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10" yWindow="615" windowWidth="18855" windowHeight="13740" firstSheet="2" activeTab="2"/>
  </bookViews>
  <sheets>
    <sheet name="План меропр. 2015-2017" sheetId="1" state="hidden" r:id="rId1"/>
    <sheet name="План меропр. 2018-2030 г. изм. " sheetId="2" state="hidden" r:id="rId2"/>
    <sheet name="на печать" sheetId="3" r:id="rId3"/>
    <sheet name="Лист1" sheetId="4" r:id="rId4"/>
    <sheet name="крупно" sheetId="5" r:id="rId5"/>
  </sheets>
  <definedNames>
    <definedName name="_xlnm.Print_Titles" localSheetId="4">крупно!5:8</definedName>
    <definedName name="_xlnm.Print_Titles" localSheetId="2">'на печать'!5:8</definedName>
    <definedName name="_xlnm.Print_Titles" localSheetId="0">'План меропр. 2015-2017'!6:9</definedName>
    <definedName name="_xlnm.Print_Titles" localSheetId="1">'План меропр. 2018-2030 г. изм. '!5:8</definedName>
    <definedName name="_xlnm.Print_Area" localSheetId="4">крупно!A1:R1486</definedName>
    <definedName name="_xlnm.Print_Area" localSheetId="2">'на печать'!$A$1:$R$1340</definedName>
    <definedName name="_xlnm.Print_Area" localSheetId="0">'План меропр. 2015-2017'!A1:I661</definedName>
    <definedName name="_xlnm.Print_Area" localSheetId="1">'План меропр. 2018-2030 г. изм. '!A2:AP1217</definedName>
  </definedNames>
  <calcPr calcId="145621"/>
</workbook>
</file>

<file path=xl/calcChain.xml><?xml version="1.0" encoding="utf-8"?>
<calcChain xmlns="http://schemas.openxmlformats.org/spreadsheetml/2006/main">
  <c r="E284" i="3" l="1"/>
  <c r="E250" i="3"/>
  <c r="F250" i="3"/>
  <c r="L242" i="3"/>
  <c r="E242" i="3"/>
  <c r="F79" i="3"/>
  <c r="G79" i="3"/>
  <c r="H79" i="3"/>
  <c r="I79" i="3"/>
  <c r="J79" i="3"/>
  <c r="K79" i="3"/>
  <c r="F208" i="3"/>
  <c r="G208" i="3"/>
  <c r="H208" i="3"/>
  <c r="I208" i="3"/>
  <c r="J208" i="3"/>
  <c r="K208" i="3"/>
  <c r="E212" i="3"/>
  <c r="E210" i="3"/>
  <c r="E208" i="3" s="1"/>
  <c r="E211" i="3"/>
  <c r="K77" i="3"/>
  <c r="F289" i="3"/>
  <c r="G289" i="3"/>
  <c r="H289" i="3"/>
  <c r="I289" i="3"/>
  <c r="J289" i="3"/>
  <c r="K289" i="3"/>
  <c r="E289" i="3"/>
  <c r="E290" i="3"/>
  <c r="E177" i="3" l="1"/>
  <c r="L1274" i="5" l="1"/>
  <c r="E1274" i="5"/>
  <c r="L1273" i="5"/>
  <c r="E1273" i="5"/>
  <c r="L1272" i="5"/>
  <c r="E1272" i="5"/>
  <c r="E1270" i="5" s="1"/>
  <c r="L1271" i="5"/>
  <c r="E1271" i="5"/>
  <c r="J1270" i="5"/>
  <c r="I1270" i="5"/>
  <c r="H1270" i="5"/>
  <c r="G1270" i="5"/>
  <c r="F1270" i="5"/>
  <c r="L1270" i="5" s="1"/>
  <c r="F1266" i="5"/>
  <c r="L1266" i="5" s="1"/>
  <c r="L1265" i="5"/>
  <c r="F1265" i="5"/>
  <c r="E1265" i="5"/>
  <c r="L1264" i="5"/>
  <c r="E1264" i="5"/>
  <c r="L1263" i="5"/>
  <c r="E1263" i="5"/>
  <c r="EK1262" i="5"/>
  <c r="L1262" i="5"/>
  <c r="E1262" i="5"/>
  <c r="EK1261" i="5"/>
  <c r="L1261" i="5"/>
  <c r="E1261" i="5"/>
  <c r="EK1260" i="5"/>
  <c r="L1260" i="5"/>
  <c r="E1260" i="5"/>
  <c r="L1259" i="5"/>
  <c r="J1258" i="5"/>
  <c r="I1258" i="5"/>
  <c r="H1258" i="5"/>
  <c r="G1258" i="5"/>
  <c r="L1257" i="5"/>
  <c r="E1257" i="5"/>
  <c r="J1256" i="5"/>
  <c r="I1256" i="5"/>
  <c r="H1256" i="5"/>
  <c r="G1256" i="5"/>
  <c r="L1256" i="5" s="1"/>
  <c r="F1256" i="5"/>
  <c r="E1256" i="5"/>
  <c r="J1255" i="5"/>
  <c r="I1255" i="5"/>
  <c r="H1255" i="5"/>
  <c r="G1255" i="5"/>
  <c r="J1254" i="5"/>
  <c r="I1254" i="5"/>
  <c r="H1254" i="5"/>
  <c r="G1254" i="5"/>
  <c r="J1253" i="5"/>
  <c r="I1253" i="5"/>
  <c r="H1253" i="5"/>
  <c r="G1253" i="5"/>
  <c r="J1252" i="5"/>
  <c r="I1252" i="5"/>
  <c r="H1252" i="5"/>
  <c r="G1252" i="5"/>
  <c r="J1251" i="5"/>
  <c r="I1251" i="5"/>
  <c r="H1251" i="5"/>
  <c r="G1251" i="5"/>
  <c r="F1251" i="5"/>
  <c r="J1250" i="5"/>
  <c r="I1250" i="5"/>
  <c r="L1250" i="5" s="1"/>
  <c r="H1250" i="5"/>
  <c r="G1250" i="5"/>
  <c r="F1250" i="5"/>
  <c r="E1250" i="5"/>
  <c r="J1249" i="5"/>
  <c r="I1249" i="5"/>
  <c r="H1249" i="5"/>
  <c r="G1249" i="5"/>
  <c r="F1249" i="5"/>
  <c r="J1248" i="5"/>
  <c r="I1248" i="5"/>
  <c r="H1248" i="5"/>
  <c r="G1248" i="5"/>
  <c r="E1248" i="5" s="1"/>
  <c r="F1248" i="5"/>
  <c r="J1247" i="5"/>
  <c r="I1247" i="5"/>
  <c r="H1247" i="5"/>
  <c r="G1247" i="5"/>
  <c r="F1247" i="5"/>
  <c r="J1246" i="5"/>
  <c r="I1246" i="5"/>
  <c r="I1244" i="5" s="1"/>
  <c r="H1246" i="5"/>
  <c r="G1246" i="5"/>
  <c r="L1246" i="5" s="1"/>
  <c r="F1246" i="5"/>
  <c r="E1246" i="5"/>
  <c r="J1245" i="5"/>
  <c r="I1245" i="5"/>
  <c r="H1245" i="5"/>
  <c r="G1245" i="5"/>
  <c r="F1245" i="5"/>
  <c r="E1245" i="5"/>
  <c r="G1244" i="5"/>
  <c r="L1243" i="5"/>
  <c r="E1243" i="5"/>
  <c r="J1242" i="5"/>
  <c r="I1242" i="5"/>
  <c r="H1242" i="5"/>
  <c r="L1242" i="5" s="1"/>
  <c r="G1242" i="5"/>
  <c r="F1242" i="5"/>
  <c r="L1241" i="5"/>
  <c r="L1240" i="5"/>
  <c r="E1240" i="5"/>
  <c r="L1239" i="5"/>
  <c r="E1239" i="5"/>
  <c r="L1238" i="5"/>
  <c r="E1238" i="5"/>
  <c r="L1237" i="5"/>
  <c r="E1237" i="5"/>
  <c r="L1236" i="5"/>
  <c r="E1236" i="5"/>
  <c r="L1235" i="5"/>
  <c r="E1235" i="5"/>
  <c r="L1234" i="5"/>
  <c r="E1234" i="5"/>
  <c r="L1233" i="5"/>
  <c r="E1233" i="5"/>
  <c r="L1232" i="5"/>
  <c r="E1232" i="5"/>
  <c r="L1231" i="5"/>
  <c r="E1231" i="5"/>
  <c r="E1229" i="5" s="1"/>
  <c r="L1230" i="5"/>
  <c r="E1230" i="5"/>
  <c r="J1229" i="5"/>
  <c r="I1229" i="5"/>
  <c r="H1229" i="5"/>
  <c r="G1229" i="5"/>
  <c r="F1229" i="5"/>
  <c r="L1229" i="5" s="1"/>
  <c r="J1228" i="5"/>
  <c r="I1228" i="5"/>
  <c r="L1228" i="5" s="1"/>
  <c r="H1228" i="5"/>
  <c r="G1228" i="5"/>
  <c r="F1228" i="5"/>
  <c r="E1228" i="5"/>
  <c r="J1227" i="5"/>
  <c r="I1227" i="5"/>
  <c r="H1227" i="5"/>
  <c r="G1227" i="5"/>
  <c r="F1227" i="5"/>
  <c r="J1226" i="5"/>
  <c r="I1226" i="5"/>
  <c r="H1226" i="5"/>
  <c r="G1226" i="5"/>
  <c r="E1226" i="5" s="1"/>
  <c r="F1226" i="5"/>
  <c r="J1225" i="5"/>
  <c r="I1225" i="5"/>
  <c r="H1225" i="5"/>
  <c r="G1225" i="5"/>
  <c r="F1225" i="5"/>
  <c r="J1224" i="5"/>
  <c r="I1224" i="5"/>
  <c r="L1224" i="5" s="1"/>
  <c r="H1224" i="5"/>
  <c r="G1224" i="5"/>
  <c r="F1224" i="5"/>
  <c r="E1224" i="5"/>
  <c r="J1223" i="5"/>
  <c r="I1223" i="5"/>
  <c r="H1223" i="5"/>
  <c r="G1223" i="5"/>
  <c r="F1223" i="5"/>
  <c r="J1222" i="5"/>
  <c r="I1222" i="5"/>
  <c r="H1222" i="5"/>
  <c r="G1222" i="5"/>
  <c r="E1222" i="5" s="1"/>
  <c r="F1222" i="5"/>
  <c r="J1221" i="5"/>
  <c r="I1221" i="5"/>
  <c r="H1221" i="5"/>
  <c r="G1221" i="5"/>
  <c r="F1221" i="5"/>
  <c r="J1220" i="5"/>
  <c r="I1220" i="5"/>
  <c r="L1220" i="5" s="1"/>
  <c r="H1220" i="5"/>
  <c r="G1220" i="5"/>
  <c r="F1220" i="5"/>
  <c r="E1220" i="5"/>
  <c r="J1219" i="5"/>
  <c r="I1219" i="5"/>
  <c r="H1219" i="5"/>
  <c r="G1219" i="5"/>
  <c r="F1219" i="5"/>
  <c r="J1218" i="5"/>
  <c r="I1218" i="5"/>
  <c r="H1218" i="5"/>
  <c r="G1218" i="5"/>
  <c r="F1218" i="5"/>
  <c r="J1217" i="5"/>
  <c r="J1216" i="5" s="1"/>
  <c r="I1217" i="5"/>
  <c r="H1217" i="5"/>
  <c r="G1217" i="5"/>
  <c r="F1217" i="5"/>
  <c r="L1215" i="5"/>
  <c r="E1215" i="5"/>
  <c r="L1214" i="5"/>
  <c r="E1214" i="5"/>
  <c r="L1213" i="5"/>
  <c r="E1213" i="5"/>
  <c r="L1212" i="5"/>
  <c r="E1212" i="5"/>
  <c r="L1211" i="5"/>
  <c r="E1211" i="5"/>
  <c r="L1210" i="5"/>
  <c r="E1210" i="5"/>
  <c r="E1208" i="5" s="1"/>
  <c r="L1209" i="5"/>
  <c r="E1209" i="5"/>
  <c r="J1208" i="5"/>
  <c r="I1208" i="5"/>
  <c r="H1208" i="5"/>
  <c r="G1208" i="5"/>
  <c r="F1208" i="5"/>
  <c r="L1208" i="5" s="1"/>
  <c r="L1207" i="5"/>
  <c r="E1207" i="5"/>
  <c r="L1206" i="5"/>
  <c r="E1206" i="5"/>
  <c r="L1205" i="5"/>
  <c r="E1205" i="5"/>
  <c r="L1204" i="5"/>
  <c r="E1204" i="5"/>
  <c r="L1203" i="5"/>
  <c r="E1203" i="5"/>
  <c r="E1196" i="5" s="1"/>
  <c r="L1202" i="5"/>
  <c r="E1202" i="5"/>
  <c r="L1201" i="5"/>
  <c r="E1201" i="5"/>
  <c r="L1200" i="5"/>
  <c r="F1200" i="5"/>
  <c r="E1200" i="5"/>
  <c r="F1199" i="5"/>
  <c r="F1198" i="5"/>
  <c r="L1198" i="5" s="1"/>
  <c r="E1198" i="5"/>
  <c r="J1197" i="5"/>
  <c r="I1197" i="5"/>
  <c r="I1174" i="5" s="1"/>
  <c r="H1197" i="5"/>
  <c r="G1197" i="5"/>
  <c r="F1197" i="5"/>
  <c r="E1197" i="5"/>
  <c r="J1196" i="5"/>
  <c r="I1196" i="5"/>
  <c r="H1196" i="5"/>
  <c r="G1196" i="5"/>
  <c r="L1196" i="5" s="1"/>
  <c r="F1196" i="5"/>
  <c r="J1195" i="5"/>
  <c r="I1195" i="5"/>
  <c r="H1195" i="5"/>
  <c r="G1195" i="5"/>
  <c r="F1195" i="5"/>
  <c r="E1195" i="5"/>
  <c r="J1194" i="5"/>
  <c r="J1193" i="5" s="1"/>
  <c r="I1194" i="5"/>
  <c r="I1193" i="5" s="1"/>
  <c r="H1194" i="5"/>
  <c r="G1194" i="5"/>
  <c r="F1194" i="5"/>
  <c r="L1194" i="5" s="1"/>
  <c r="E1194" i="5"/>
  <c r="L1192" i="5"/>
  <c r="E1192" i="5"/>
  <c r="L1191" i="5"/>
  <c r="E1191" i="5"/>
  <c r="L1190" i="5"/>
  <c r="E1190" i="5"/>
  <c r="L1189" i="5"/>
  <c r="E1189" i="5"/>
  <c r="L1188" i="5"/>
  <c r="E1188" i="5"/>
  <c r="L1187" i="5"/>
  <c r="E1187" i="5"/>
  <c r="L1186" i="5"/>
  <c r="E1186" i="5"/>
  <c r="J1185" i="5"/>
  <c r="I1185" i="5"/>
  <c r="I1177" i="5" s="1"/>
  <c r="H1185" i="5"/>
  <c r="G1185" i="5"/>
  <c r="F1185" i="5"/>
  <c r="E1185" i="5"/>
  <c r="E1177" i="5" s="1"/>
  <c r="J1184" i="5"/>
  <c r="I1184" i="5"/>
  <c r="H1184" i="5"/>
  <c r="G1184" i="5"/>
  <c r="F1184" i="5"/>
  <c r="J1183" i="5"/>
  <c r="I1183" i="5"/>
  <c r="H1183" i="5"/>
  <c r="G1183" i="5"/>
  <c r="E1183" i="5" s="1"/>
  <c r="E1175" i="5" s="1"/>
  <c r="F1183" i="5"/>
  <c r="J1182" i="5"/>
  <c r="J1174" i="5" s="1"/>
  <c r="I1182" i="5"/>
  <c r="H1182" i="5"/>
  <c r="G1182" i="5"/>
  <c r="F1182" i="5"/>
  <c r="J1181" i="5"/>
  <c r="I1181" i="5"/>
  <c r="I1173" i="5" s="1"/>
  <c r="H1181" i="5"/>
  <c r="G1181" i="5"/>
  <c r="F1181" i="5"/>
  <c r="E1181" i="5"/>
  <c r="E1173" i="5" s="1"/>
  <c r="J1180" i="5"/>
  <c r="I1180" i="5"/>
  <c r="H1180" i="5"/>
  <c r="G1180" i="5"/>
  <c r="F1180" i="5"/>
  <c r="J1179" i="5"/>
  <c r="I1179" i="5"/>
  <c r="H1179" i="5"/>
  <c r="G1179" i="5"/>
  <c r="F1179" i="5"/>
  <c r="J1178" i="5"/>
  <c r="J1177" i="5"/>
  <c r="H1177" i="5"/>
  <c r="G1177" i="5"/>
  <c r="F1177" i="5"/>
  <c r="J1176" i="5"/>
  <c r="I1176" i="5"/>
  <c r="H1176" i="5"/>
  <c r="L1176" i="5" s="1"/>
  <c r="G1176" i="5"/>
  <c r="F1176" i="5"/>
  <c r="J1175" i="5"/>
  <c r="I1175" i="5"/>
  <c r="H1175" i="5"/>
  <c r="F1175" i="5"/>
  <c r="G1174" i="5"/>
  <c r="J1173" i="5"/>
  <c r="H1173" i="5"/>
  <c r="G1173" i="5"/>
  <c r="F1173" i="5"/>
  <c r="J1172" i="5"/>
  <c r="I1172" i="5"/>
  <c r="H1172" i="5"/>
  <c r="G1172" i="5"/>
  <c r="J1171" i="5"/>
  <c r="I1171" i="5"/>
  <c r="H1171" i="5"/>
  <c r="G1171" i="5"/>
  <c r="F1171" i="5"/>
  <c r="E1169" i="5"/>
  <c r="E1168" i="5"/>
  <c r="E1167" i="5"/>
  <c r="E1113" i="5" s="1"/>
  <c r="E1166" i="5"/>
  <c r="E1165" i="5"/>
  <c r="F1164" i="5"/>
  <c r="E1164" i="5"/>
  <c r="F1162" i="5"/>
  <c r="E1162" i="5"/>
  <c r="L1161" i="5"/>
  <c r="E1161" i="5"/>
  <c r="L1160" i="5"/>
  <c r="E1160" i="5"/>
  <c r="L1159" i="5"/>
  <c r="E1159" i="5"/>
  <c r="L1158" i="5"/>
  <c r="E1158" i="5"/>
  <c r="F1156" i="5"/>
  <c r="L1156" i="5" s="1"/>
  <c r="E1156" i="5"/>
  <c r="L1155" i="5"/>
  <c r="E1155" i="5"/>
  <c r="J1154" i="5"/>
  <c r="I1154" i="5"/>
  <c r="H1154" i="5"/>
  <c r="G1154" i="5"/>
  <c r="F1154" i="5"/>
  <c r="L1154" i="5" s="1"/>
  <c r="E1154" i="5"/>
  <c r="L1153" i="5"/>
  <c r="E1153" i="5"/>
  <c r="E1152" i="5" s="1"/>
  <c r="J1152" i="5"/>
  <c r="I1152" i="5"/>
  <c r="H1152" i="5"/>
  <c r="G1152" i="5"/>
  <c r="L1152" i="5" s="1"/>
  <c r="F1152" i="5"/>
  <c r="L1151" i="5"/>
  <c r="E1151" i="5"/>
  <c r="E1150" i="5" s="1"/>
  <c r="J1150" i="5"/>
  <c r="I1150" i="5"/>
  <c r="H1150" i="5"/>
  <c r="L1150" i="5" s="1"/>
  <c r="G1150" i="5"/>
  <c r="F1150" i="5"/>
  <c r="L1149" i="5"/>
  <c r="E1149" i="5"/>
  <c r="J1148" i="5"/>
  <c r="I1148" i="5"/>
  <c r="H1148" i="5"/>
  <c r="G1148" i="5"/>
  <c r="F1148" i="5"/>
  <c r="L1148" i="5" s="1"/>
  <c r="E1148" i="5"/>
  <c r="L1147" i="5"/>
  <c r="E1147" i="5"/>
  <c r="J1146" i="5"/>
  <c r="I1146" i="5"/>
  <c r="H1146" i="5"/>
  <c r="G1146" i="5"/>
  <c r="L1146" i="5" s="1"/>
  <c r="F1146" i="5"/>
  <c r="E1146" i="5"/>
  <c r="J1145" i="5"/>
  <c r="J1119" i="5" s="1"/>
  <c r="I1145" i="5"/>
  <c r="H1145" i="5"/>
  <c r="G1145" i="5"/>
  <c r="F1145" i="5"/>
  <c r="E1145" i="5"/>
  <c r="J1144" i="5"/>
  <c r="I1144" i="5"/>
  <c r="I1118" i="5" s="1"/>
  <c r="H1144" i="5"/>
  <c r="G1144" i="5"/>
  <c r="F1144" i="5"/>
  <c r="J1143" i="5"/>
  <c r="I1143" i="5"/>
  <c r="H1143" i="5"/>
  <c r="G1143" i="5"/>
  <c r="L1143" i="5" s="1"/>
  <c r="F1143" i="5"/>
  <c r="J1142" i="5"/>
  <c r="J1116" i="5" s="1"/>
  <c r="I1142" i="5"/>
  <c r="H1142" i="5"/>
  <c r="G1142" i="5"/>
  <c r="F1142" i="5"/>
  <c r="L1142" i="5" s="1"/>
  <c r="E1142" i="5"/>
  <c r="J1141" i="5"/>
  <c r="F1141" i="5"/>
  <c r="G1138" i="5"/>
  <c r="J1137" i="5"/>
  <c r="J1138" i="5" s="1"/>
  <c r="J1139" i="5" s="1"/>
  <c r="J1140" i="5" s="1"/>
  <c r="G1137" i="5"/>
  <c r="F1137" i="5"/>
  <c r="J1136" i="5"/>
  <c r="I1136" i="5"/>
  <c r="I1137" i="5" s="1"/>
  <c r="H1136" i="5"/>
  <c r="G1136" i="5"/>
  <c r="F1136" i="5"/>
  <c r="E1136" i="5"/>
  <c r="L1135" i="5"/>
  <c r="E1135" i="5"/>
  <c r="L1134" i="5"/>
  <c r="E1134" i="5"/>
  <c r="E1114" i="5" s="1"/>
  <c r="L1133" i="5"/>
  <c r="E1133" i="5"/>
  <c r="L1132" i="5"/>
  <c r="E1132" i="5"/>
  <c r="L1131" i="5"/>
  <c r="E1131" i="5"/>
  <c r="L1130" i="5"/>
  <c r="E1130" i="5"/>
  <c r="L1129" i="5"/>
  <c r="E1129" i="5"/>
  <c r="L1127" i="5"/>
  <c r="E1127" i="5"/>
  <c r="L1126" i="5"/>
  <c r="E1126" i="5"/>
  <c r="E1123" i="5" s="1"/>
  <c r="L1125" i="5"/>
  <c r="E1125" i="5"/>
  <c r="J1124" i="5"/>
  <c r="I1124" i="5"/>
  <c r="H1124" i="5"/>
  <c r="G1124" i="5"/>
  <c r="F1124" i="5"/>
  <c r="E1124" i="5"/>
  <c r="J1123" i="5"/>
  <c r="I1123" i="5"/>
  <c r="H1123" i="5"/>
  <c r="G1123" i="5"/>
  <c r="F1123" i="5"/>
  <c r="L1123" i="5" s="1"/>
  <c r="L1122" i="5"/>
  <c r="F1122" i="5"/>
  <c r="E1122" i="5"/>
  <c r="H1121" i="5"/>
  <c r="G1121" i="5"/>
  <c r="J1120" i="5"/>
  <c r="I1120" i="5" s="1"/>
  <c r="H1120" i="5" s="1"/>
  <c r="G1120" i="5" s="1"/>
  <c r="I1119" i="5"/>
  <c r="H1119" i="5"/>
  <c r="G1119" i="5"/>
  <c r="H1118" i="5"/>
  <c r="G1118" i="5"/>
  <c r="J1117" i="5"/>
  <c r="G1117" i="5"/>
  <c r="I1116" i="5"/>
  <c r="H1116" i="5"/>
  <c r="F1116" i="5"/>
  <c r="J1115" i="5"/>
  <c r="I1115" i="5"/>
  <c r="H1115" i="5"/>
  <c r="L1115" i="5" s="1"/>
  <c r="G1115" i="5"/>
  <c r="F1115" i="5"/>
  <c r="E1115" i="5"/>
  <c r="J1114" i="5"/>
  <c r="I1114" i="5"/>
  <c r="H1114" i="5"/>
  <c r="G1114" i="5"/>
  <c r="L1114" i="5" s="1"/>
  <c r="F1114" i="5"/>
  <c r="J1113" i="5"/>
  <c r="I1113" i="5"/>
  <c r="H1113" i="5"/>
  <c r="G1113" i="5"/>
  <c r="L1113" i="5" s="1"/>
  <c r="F1113" i="5"/>
  <c r="J1112" i="5"/>
  <c r="I1112" i="5"/>
  <c r="H1112" i="5"/>
  <c r="G1112" i="5"/>
  <c r="F1112" i="5"/>
  <c r="E1112" i="5"/>
  <c r="J1111" i="5"/>
  <c r="I1111" i="5"/>
  <c r="H1111" i="5"/>
  <c r="L1111" i="5" s="1"/>
  <c r="G1111" i="5"/>
  <c r="F1111" i="5"/>
  <c r="E1111" i="5"/>
  <c r="J1110" i="5"/>
  <c r="I1110" i="5"/>
  <c r="H1110" i="5"/>
  <c r="G1110" i="5"/>
  <c r="L1110" i="5" s="1"/>
  <c r="F1110" i="5"/>
  <c r="E1110" i="5"/>
  <c r="J1109" i="5"/>
  <c r="I1109" i="5"/>
  <c r="H1109" i="5"/>
  <c r="G1109" i="5"/>
  <c r="F1109" i="5"/>
  <c r="L1109" i="5" s="1"/>
  <c r="E1109" i="5"/>
  <c r="L1107" i="5"/>
  <c r="E1107" i="5"/>
  <c r="L1106" i="5"/>
  <c r="E1106" i="5"/>
  <c r="L1105" i="5"/>
  <c r="E1105" i="5"/>
  <c r="L1104" i="5"/>
  <c r="E1104" i="5"/>
  <c r="L1103" i="5"/>
  <c r="E1103" i="5"/>
  <c r="L1102" i="5"/>
  <c r="E1102" i="5"/>
  <c r="E1064" i="5" s="1"/>
  <c r="L1101" i="5"/>
  <c r="E1101" i="5"/>
  <c r="L1100" i="5"/>
  <c r="E1100" i="5"/>
  <c r="E1062" i="5" s="1"/>
  <c r="L1099" i="5"/>
  <c r="E1099" i="5"/>
  <c r="L1098" i="5"/>
  <c r="E1098" i="5"/>
  <c r="E1060" i="5" s="1"/>
  <c r="L1097" i="5"/>
  <c r="E1097" i="5"/>
  <c r="L1096" i="5"/>
  <c r="E1096" i="5"/>
  <c r="E1095" i="5" s="1"/>
  <c r="J1095" i="5"/>
  <c r="I1095" i="5"/>
  <c r="H1095" i="5"/>
  <c r="L1095" i="5" s="1"/>
  <c r="G1095" i="5"/>
  <c r="F1095" i="5"/>
  <c r="L1094" i="5"/>
  <c r="E1094" i="5"/>
  <c r="L1093" i="5"/>
  <c r="E1093" i="5"/>
  <c r="L1092" i="5"/>
  <c r="E1092" i="5"/>
  <c r="L1091" i="5"/>
  <c r="E1091" i="5"/>
  <c r="L1090" i="5"/>
  <c r="E1090" i="5"/>
  <c r="L1089" i="5"/>
  <c r="E1089" i="5"/>
  <c r="L1088" i="5"/>
  <c r="E1088" i="5"/>
  <c r="L1087" i="5"/>
  <c r="E1087" i="5"/>
  <c r="L1086" i="5"/>
  <c r="E1086" i="5"/>
  <c r="L1085" i="5"/>
  <c r="E1085" i="5"/>
  <c r="L1084" i="5"/>
  <c r="E1084" i="5"/>
  <c r="J1083" i="5"/>
  <c r="I1083" i="5"/>
  <c r="H1083" i="5"/>
  <c r="G1083" i="5"/>
  <c r="F1083" i="5"/>
  <c r="L1083" i="5" s="1"/>
  <c r="E1083" i="5"/>
  <c r="L1082" i="5"/>
  <c r="E1082" i="5"/>
  <c r="L1081" i="5"/>
  <c r="E1081" i="5"/>
  <c r="L1080" i="5"/>
  <c r="E1080" i="5"/>
  <c r="L1079" i="5"/>
  <c r="E1079" i="5"/>
  <c r="L1078" i="5"/>
  <c r="E1078" i="5"/>
  <c r="L1077" i="5"/>
  <c r="L1076" i="5"/>
  <c r="L1075" i="5"/>
  <c r="L1074" i="5"/>
  <c r="L1073" i="5"/>
  <c r="L1072" i="5"/>
  <c r="E1072" i="5"/>
  <c r="L1071" i="5"/>
  <c r="E1071" i="5"/>
  <c r="J1070" i="5"/>
  <c r="I1070" i="5"/>
  <c r="H1070" i="5"/>
  <c r="G1070" i="5"/>
  <c r="L1070" i="5" s="1"/>
  <c r="F1070" i="5"/>
  <c r="J1069" i="5"/>
  <c r="I1069" i="5"/>
  <c r="H1069" i="5"/>
  <c r="G1069" i="5"/>
  <c r="L1069" i="5" s="1"/>
  <c r="F1069" i="5"/>
  <c r="E1069" i="5"/>
  <c r="J1068" i="5"/>
  <c r="I1068" i="5"/>
  <c r="H1068" i="5"/>
  <c r="G1068" i="5"/>
  <c r="F1068" i="5"/>
  <c r="E1068" i="5"/>
  <c r="J1067" i="5"/>
  <c r="I1067" i="5"/>
  <c r="H1067" i="5"/>
  <c r="L1067" i="5" s="1"/>
  <c r="G1067" i="5"/>
  <c r="F1067" i="5"/>
  <c r="E1067" i="5"/>
  <c r="J1066" i="5"/>
  <c r="I1066" i="5"/>
  <c r="H1066" i="5"/>
  <c r="G1066" i="5"/>
  <c r="L1066" i="5" s="1"/>
  <c r="F1066" i="5"/>
  <c r="J1065" i="5"/>
  <c r="I1065" i="5"/>
  <c r="H1065" i="5"/>
  <c r="G1065" i="5"/>
  <c r="L1065" i="5" s="1"/>
  <c r="F1065" i="5"/>
  <c r="E1065" i="5"/>
  <c r="J1064" i="5"/>
  <c r="I1064" i="5"/>
  <c r="H1064" i="5"/>
  <c r="G1064" i="5"/>
  <c r="F1064" i="5"/>
  <c r="L1064" i="5" s="1"/>
  <c r="J1063" i="5"/>
  <c r="I1063" i="5"/>
  <c r="H1063" i="5"/>
  <c r="L1063" i="5" s="1"/>
  <c r="G1063" i="5"/>
  <c r="F1063" i="5"/>
  <c r="E1063" i="5"/>
  <c r="J1062" i="5"/>
  <c r="I1062" i="5"/>
  <c r="H1062" i="5"/>
  <c r="G1062" i="5"/>
  <c r="L1062" i="5" s="1"/>
  <c r="F1062" i="5"/>
  <c r="J1061" i="5"/>
  <c r="I1061" i="5"/>
  <c r="H1061" i="5"/>
  <c r="G1061" i="5"/>
  <c r="F1061" i="5"/>
  <c r="L1061" i="5" s="1"/>
  <c r="E1061" i="5"/>
  <c r="J1060" i="5"/>
  <c r="I1060" i="5"/>
  <c r="H1060" i="5"/>
  <c r="G1060" i="5"/>
  <c r="F1060" i="5"/>
  <c r="L1060" i="5" s="1"/>
  <c r="J1059" i="5"/>
  <c r="I1059" i="5"/>
  <c r="I1057" i="5" s="1"/>
  <c r="H1059" i="5"/>
  <c r="G1059" i="5"/>
  <c r="F1059" i="5"/>
  <c r="E1059" i="5"/>
  <c r="J1058" i="5"/>
  <c r="I1058" i="5"/>
  <c r="H1058" i="5"/>
  <c r="H1057" i="5" s="1"/>
  <c r="G1058" i="5"/>
  <c r="L1058" i="5" s="1"/>
  <c r="F1058" i="5"/>
  <c r="J1057" i="5"/>
  <c r="L1056" i="5"/>
  <c r="L1055" i="5"/>
  <c r="L1054" i="5"/>
  <c r="L1053" i="5"/>
  <c r="L1052" i="5"/>
  <c r="L1051" i="5"/>
  <c r="L1050" i="5"/>
  <c r="L1049" i="5"/>
  <c r="L1048" i="5"/>
  <c r="L1047" i="5"/>
  <c r="L1046" i="5"/>
  <c r="L1045" i="5"/>
  <c r="J1044" i="5"/>
  <c r="J1031" i="5" s="1"/>
  <c r="I1044" i="5"/>
  <c r="I1031" i="5" s="1"/>
  <c r="H1044" i="5"/>
  <c r="G1044" i="5"/>
  <c r="F1044" i="5"/>
  <c r="E1044" i="5"/>
  <c r="E1031" i="5" s="1"/>
  <c r="J1043" i="5"/>
  <c r="I1043" i="5"/>
  <c r="H1043" i="5"/>
  <c r="L1043" i="5" s="1"/>
  <c r="G1043" i="5"/>
  <c r="F1043" i="5"/>
  <c r="E1043" i="5"/>
  <c r="J1042" i="5"/>
  <c r="I1042" i="5"/>
  <c r="H1042" i="5"/>
  <c r="G1042" i="5"/>
  <c r="L1042" i="5" s="1"/>
  <c r="F1042" i="5"/>
  <c r="E1042" i="5"/>
  <c r="J1041" i="5"/>
  <c r="I1041" i="5"/>
  <c r="H1041" i="5"/>
  <c r="G1041" i="5"/>
  <c r="F1041" i="5"/>
  <c r="L1041" i="5" s="1"/>
  <c r="E1041" i="5"/>
  <c r="J1040" i="5"/>
  <c r="I1040" i="5"/>
  <c r="H1040" i="5"/>
  <c r="G1040" i="5"/>
  <c r="F1040" i="5"/>
  <c r="L1040" i="5" s="1"/>
  <c r="E1040" i="5"/>
  <c r="J1039" i="5"/>
  <c r="I1039" i="5"/>
  <c r="H1039" i="5"/>
  <c r="G1039" i="5"/>
  <c r="F1039" i="5"/>
  <c r="E1039" i="5"/>
  <c r="J1038" i="5"/>
  <c r="I1038" i="5"/>
  <c r="H1038" i="5"/>
  <c r="G1038" i="5"/>
  <c r="L1038" i="5" s="1"/>
  <c r="F1038" i="5"/>
  <c r="E1038" i="5"/>
  <c r="J1037" i="5"/>
  <c r="I1037" i="5"/>
  <c r="H1037" i="5"/>
  <c r="G1037" i="5"/>
  <c r="L1037" i="5" s="1"/>
  <c r="F1037" i="5"/>
  <c r="E1037" i="5"/>
  <c r="J1036" i="5"/>
  <c r="I1036" i="5"/>
  <c r="H1036" i="5"/>
  <c r="G1036" i="5"/>
  <c r="F1036" i="5"/>
  <c r="E1036" i="5"/>
  <c r="J1035" i="5"/>
  <c r="I1035" i="5"/>
  <c r="H1035" i="5"/>
  <c r="L1035" i="5" s="1"/>
  <c r="G1035" i="5"/>
  <c r="F1035" i="5"/>
  <c r="E1035" i="5"/>
  <c r="J1034" i="5"/>
  <c r="I1034" i="5"/>
  <c r="H1034" i="5"/>
  <c r="G1034" i="5"/>
  <c r="L1034" i="5" s="1"/>
  <c r="F1034" i="5"/>
  <c r="E1034" i="5"/>
  <c r="J1033" i="5"/>
  <c r="I1033" i="5"/>
  <c r="H1033" i="5"/>
  <c r="G1033" i="5"/>
  <c r="F1033" i="5"/>
  <c r="L1033" i="5" s="1"/>
  <c r="E1033" i="5"/>
  <c r="J1032" i="5"/>
  <c r="I1032" i="5"/>
  <c r="H1032" i="5"/>
  <c r="G1032" i="5"/>
  <c r="F1032" i="5"/>
  <c r="L1032" i="5" s="1"/>
  <c r="E1032" i="5"/>
  <c r="H1031" i="5"/>
  <c r="G1031" i="5"/>
  <c r="L1030" i="5"/>
  <c r="E1030" i="5"/>
  <c r="L1029" i="5"/>
  <c r="E1029" i="5"/>
  <c r="L1028" i="5"/>
  <c r="E1028" i="5"/>
  <c r="L1027" i="5"/>
  <c r="E1027" i="5"/>
  <c r="L1026" i="5"/>
  <c r="E1026" i="5"/>
  <c r="L1025" i="5"/>
  <c r="E1025" i="5"/>
  <c r="L1024" i="5"/>
  <c r="E1024" i="5"/>
  <c r="L1023" i="5"/>
  <c r="E1023" i="5"/>
  <c r="L1022" i="5"/>
  <c r="E1022" i="5"/>
  <c r="L1021" i="5"/>
  <c r="E1021" i="5"/>
  <c r="L1020" i="5"/>
  <c r="E1020" i="5"/>
  <c r="L1019" i="5"/>
  <c r="E1019" i="5"/>
  <c r="J1018" i="5"/>
  <c r="I1018" i="5"/>
  <c r="I1005" i="5" s="1"/>
  <c r="H1018" i="5"/>
  <c r="G1018" i="5"/>
  <c r="G1005" i="5" s="1"/>
  <c r="F1018" i="5"/>
  <c r="E1018" i="5"/>
  <c r="E1005" i="5" s="1"/>
  <c r="J1017" i="5"/>
  <c r="I1017" i="5"/>
  <c r="H1017" i="5"/>
  <c r="G1017" i="5"/>
  <c r="F1017" i="5"/>
  <c r="L1017" i="5" s="1"/>
  <c r="E1017" i="5"/>
  <c r="J1016" i="5"/>
  <c r="I1016" i="5"/>
  <c r="H1016" i="5"/>
  <c r="G1016" i="5"/>
  <c r="L1016" i="5" s="1"/>
  <c r="F1016" i="5"/>
  <c r="E1016" i="5"/>
  <c r="J1015" i="5"/>
  <c r="I1015" i="5"/>
  <c r="H1015" i="5"/>
  <c r="G1015" i="5"/>
  <c r="F1015" i="5"/>
  <c r="L1015" i="5" s="1"/>
  <c r="E1015" i="5"/>
  <c r="J1014" i="5"/>
  <c r="I1014" i="5"/>
  <c r="H1014" i="5"/>
  <c r="G1014" i="5"/>
  <c r="L1014" i="5" s="1"/>
  <c r="F1014" i="5"/>
  <c r="E1014" i="5"/>
  <c r="J1013" i="5"/>
  <c r="I1013" i="5"/>
  <c r="H1013" i="5"/>
  <c r="G1013" i="5"/>
  <c r="L1013" i="5" s="1"/>
  <c r="F1013" i="5"/>
  <c r="E1013" i="5"/>
  <c r="J1012" i="5"/>
  <c r="I1012" i="5"/>
  <c r="H1012" i="5"/>
  <c r="G1012" i="5"/>
  <c r="L1012" i="5" s="1"/>
  <c r="F1012" i="5"/>
  <c r="E1012" i="5"/>
  <c r="J1011" i="5"/>
  <c r="I1011" i="5"/>
  <c r="H1011" i="5"/>
  <c r="G1011" i="5"/>
  <c r="F1011" i="5"/>
  <c r="L1011" i="5" s="1"/>
  <c r="E1011" i="5"/>
  <c r="J1010" i="5"/>
  <c r="I1010" i="5"/>
  <c r="H1010" i="5"/>
  <c r="G1010" i="5"/>
  <c r="L1010" i="5" s="1"/>
  <c r="F1010" i="5"/>
  <c r="E1010" i="5"/>
  <c r="J1009" i="5"/>
  <c r="I1009" i="5"/>
  <c r="H1009" i="5"/>
  <c r="G1009" i="5"/>
  <c r="L1009" i="5" s="1"/>
  <c r="F1009" i="5"/>
  <c r="E1009" i="5"/>
  <c r="J1008" i="5"/>
  <c r="I1008" i="5"/>
  <c r="H1008" i="5"/>
  <c r="G1008" i="5"/>
  <c r="L1008" i="5" s="1"/>
  <c r="F1008" i="5"/>
  <c r="E1008" i="5"/>
  <c r="J1007" i="5"/>
  <c r="I1007" i="5"/>
  <c r="H1007" i="5"/>
  <c r="G1007" i="5"/>
  <c r="F1007" i="5"/>
  <c r="E1007" i="5"/>
  <c r="J1006" i="5"/>
  <c r="I1006" i="5"/>
  <c r="H1006" i="5"/>
  <c r="G1006" i="5"/>
  <c r="L1006" i="5" s="1"/>
  <c r="F1006" i="5"/>
  <c r="E1006" i="5"/>
  <c r="J1005" i="5"/>
  <c r="H1005" i="5"/>
  <c r="F1005" i="5"/>
  <c r="L1005" i="5" s="1"/>
  <c r="L1004" i="5"/>
  <c r="E1004" i="5"/>
  <c r="L1003" i="5"/>
  <c r="E1003" i="5"/>
  <c r="L1002" i="5"/>
  <c r="E1002" i="5"/>
  <c r="E989" i="5" s="1"/>
  <c r="L1001" i="5"/>
  <c r="E1001" i="5"/>
  <c r="L1000" i="5"/>
  <c r="E1000" i="5"/>
  <c r="E987" i="5" s="1"/>
  <c r="L999" i="5"/>
  <c r="E999" i="5"/>
  <c r="L998" i="5"/>
  <c r="E998" i="5"/>
  <c r="E985" i="5" s="1"/>
  <c r="L997" i="5"/>
  <c r="E997" i="5"/>
  <c r="L996" i="5"/>
  <c r="L983" i="5" s="1"/>
  <c r="E996" i="5"/>
  <c r="E983" i="5" s="1"/>
  <c r="L995" i="5"/>
  <c r="E995" i="5"/>
  <c r="L994" i="5"/>
  <c r="E994" i="5"/>
  <c r="E992" i="5" s="1"/>
  <c r="E979" i="5" s="1"/>
  <c r="L993" i="5"/>
  <c r="E993" i="5"/>
  <c r="J992" i="5"/>
  <c r="I992" i="5"/>
  <c r="I979" i="5" s="1"/>
  <c r="H992" i="5"/>
  <c r="G992" i="5"/>
  <c r="L992" i="5" s="1"/>
  <c r="F992" i="5"/>
  <c r="J991" i="5"/>
  <c r="I991" i="5"/>
  <c r="H991" i="5"/>
  <c r="G991" i="5"/>
  <c r="F991" i="5"/>
  <c r="E991" i="5"/>
  <c r="J990" i="5"/>
  <c r="I990" i="5"/>
  <c r="H990" i="5"/>
  <c r="G990" i="5"/>
  <c r="L990" i="5" s="1"/>
  <c r="F990" i="5"/>
  <c r="E990" i="5"/>
  <c r="J989" i="5"/>
  <c r="I989" i="5"/>
  <c r="H989" i="5"/>
  <c r="G989" i="5"/>
  <c r="L989" i="5" s="1"/>
  <c r="F989" i="5"/>
  <c r="J988" i="5"/>
  <c r="I988" i="5"/>
  <c r="H988" i="5"/>
  <c r="G988" i="5"/>
  <c r="F988" i="5"/>
  <c r="E988" i="5"/>
  <c r="J987" i="5"/>
  <c r="I987" i="5"/>
  <c r="H987" i="5"/>
  <c r="G987" i="5"/>
  <c r="F987" i="5"/>
  <c r="J986" i="5"/>
  <c r="I986" i="5"/>
  <c r="H986" i="5"/>
  <c r="G986" i="5"/>
  <c r="L986" i="5" s="1"/>
  <c r="E986" i="5"/>
  <c r="J985" i="5"/>
  <c r="I985" i="5"/>
  <c r="H985" i="5"/>
  <c r="G985" i="5"/>
  <c r="J984" i="5"/>
  <c r="I984" i="5"/>
  <c r="H984" i="5"/>
  <c r="G984" i="5"/>
  <c r="L984" i="5" s="1"/>
  <c r="F984" i="5"/>
  <c r="E984" i="5"/>
  <c r="J983" i="5"/>
  <c r="I983" i="5"/>
  <c r="H983" i="5"/>
  <c r="G983" i="5"/>
  <c r="F983" i="5"/>
  <c r="J982" i="5"/>
  <c r="I982" i="5"/>
  <c r="H982" i="5"/>
  <c r="G982" i="5"/>
  <c r="L982" i="5" s="1"/>
  <c r="F982" i="5"/>
  <c r="E982" i="5"/>
  <c r="J981" i="5"/>
  <c r="I981" i="5"/>
  <c r="H981" i="5"/>
  <c r="G981" i="5"/>
  <c r="F981" i="5"/>
  <c r="E981" i="5"/>
  <c r="J980" i="5"/>
  <c r="I980" i="5"/>
  <c r="H980" i="5"/>
  <c r="G980" i="5"/>
  <c r="L980" i="5" s="1"/>
  <c r="F980" i="5"/>
  <c r="E980" i="5"/>
  <c r="J979" i="5"/>
  <c r="H979" i="5"/>
  <c r="G979" i="5"/>
  <c r="F979" i="5"/>
  <c r="L979" i="5" s="1"/>
  <c r="L978" i="5"/>
  <c r="E978" i="5"/>
  <c r="L977" i="5"/>
  <c r="E977" i="5"/>
  <c r="L976" i="5"/>
  <c r="E976" i="5"/>
  <c r="L975" i="5"/>
  <c r="E975" i="5"/>
  <c r="L974" i="5"/>
  <c r="E974" i="5"/>
  <c r="L973" i="5"/>
  <c r="E973" i="5"/>
  <c r="L972" i="5"/>
  <c r="E972" i="5"/>
  <c r="L971" i="5"/>
  <c r="E971" i="5"/>
  <c r="L970" i="5"/>
  <c r="E970" i="5"/>
  <c r="L969" i="5"/>
  <c r="E969" i="5"/>
  <c r="L968" i="5"/>
  <c r="E968" i="5"/>
  <c r="L967" i="5"/>
  <c r="E967" i="5"/>
  <c r="J966" i="5"/>
  <c r="I966" i="5"/>
  <c r="H966" i="5"/>
  <c r="G966" i="5"/>
  <c r="G953" i="5" s="1"/>
  <c r="F966" i="5"/>
  <c r="E966" i="5"/>
  <c r="J965" i="5"/>
  <c r="I965" i="5"/>
  <c r="H965" i="5"/>
  <c r="G965" i="5"/>
  <c r="E965" i="5"/>
  <c r="J964" i="5"/>
  <c r="I964" i="5"/>
  <c r="I901" i="5" s="1"/>
  <c r="H964" i="5"/>
  <c r="G964" i="5"/>
  <c r="E964" i="5"/>
  <c r="J963" i="5"/>
  <c r="I963" i="5"/>
  <c r="H963" i="5"/>
  <c r="G963" i="5"/>
  <c r="L963" i="5" s="1"/>
  <c r="E963" i="5"/>
  <c r="J962" i="5"/>
  <c r="I962" i="5"/>
  <c r="H962" i="5"/>
  <c r="G962" i="5"/>
  <c r="E962" i="5"/>
  <c r="J961" i="5"/>
  <c r="J898" i="5" s="1"/>
  <c r="J890" i="5" s="1"/>
  <c r="I961" i="5"/>
  <c r="H961" i="5"/>
  <c r="G961" i="5"/>
  <c r="L961" i="5" s="1"/>
  <c r="E961" i="5"/>
  <c r="J960" i="5"/>
  <c r="I960" i="5"/>
  <c r="H960" i="5"/>
  <c r="G960" i="5"/>
  <c r="L960" i="5" s="1"/>
  <c r="F960" i="5"/>
  <c r="E960" i="5"/>
  <c r="J959" i="5"/>
  <c r="I959" i="5"/>
  <c r="H959" i="5"/>
  <c r="G959" i="5"/>
  <c r="L959" i="5" s="1"/>
  <c r="F959" i="5"/>
  <c r="E959" i="5"/>
  <c r="J958" i="5"/>
  <c r="I958" i="5"/>
  <c r="H958" i="5"/>
  <c r="G958" i="5"/>
  <c r="L958" i="5" s="1"/>
  <c r="F958" i="5"/>
  <c r="E958" i="5"/>
  <c r="J957" i="5"/>
  <c r="I957" i="5"/>
  <c r="H957" i="5"/>
  <c r="G957" i="5"/>
  <c r="F957" i="5"/>
  <c r="E957" i="5"/>
  <c r="J956" i="5"/>
  <c r="I956" i="5"/>
  <c r="H956" i="5"/>
  <c r="H893" i="5" s="1"/>
  <c r="G956" i="5"/>
  <c r="L956" i="5" s="1"/>
  <c r="F956" i="5"/>
  <c r="E956" i="5"/>
  <c r="J955" i="5"/>
  <c r="I955" i="5"/>
  <c r="H955" i="5"/>
  <c r="G955" i="5"/>
  <c r="G892" i="5" s="1"/>
  <c r="F955" i="5"/>
  <c r="E955" i="5"/>
  <c r="J954" i="5"/>
  <c r="I954" i="5"/>
  <c r="H954" i="5"/>
  <c r="G954" i="5"/>
  <c r="F954" i="5"/>
  <c r="E954" i="5" s="1"/>
  <c r="J953" i="5"/>
  <c r="I953" i="5"/>
  <c r="H953" i="5"/>
  <c r="F953" i="5"/>
  <c r="E953" i="5"/>
  <c r="L952" i="5"/>
  <c r="E952" i="5"/>
  <c r="L951" i="5"/>
  <c r="E951" i="5"/>
  <c r="L950" i="5"/>
  <c r="E950" i="5"/>
  <c r="L949" i="5"/>
  <c r="E949" i="5"/>
  <c r="L948" i="5"/>
  <c r="E948" i="5"/>
  <c r="L947" i="5"/>
  <c r="E947" i="5"/>
  <c r="L946" i="5"/>
  <c r="E946" i="5"/>
  <c r="L945" i="5"/>
  <c r="E945" i="5"/>
  <c r="L944" i="5"/>
  <c r="E944" i="5"/>
  <c r="L943" i="5"/>
  <c r="E943" i="5"/>
  <c r="L942" i="5"/>
  <c r="E942" i="5"/>
  <c r="L941" i="5"/>
  <c r="E941" i="5"/>
  <c r="E940" i="5" s="1"/>
  <c r="J940" i="5"/>
  <c r="I940" i="5"/>
  <c r="H940" i="5"/>
  <c r="G940" i="5"/>
  <c r="L940" i="5" s="1"/>
  <c r="F940" i="5"/>
  <c r="F935" i="5"/>
  <c r="L934" i="5"/>
  <c r="E934" i="5"/>
  <c r="E910" i="5" s="1"/>
  <c r="E897" i="5" s="1"/>
  <c r="L933" i="5"/>
  <c r="E933" i="5"/>
  <c r="L932" i="5"/>
  <c r="E932" i="5"/>
  <c r="E908" i="5" s="1"/>
  <c r="E895" i="5" s="1"/>
  <c r="L931" i="5"/>
  <c r="E931" i="5"/>
  <c r="L930" i="5"/>
  <c r="E930" i="5"/>
  <c r="L929" i="5"/>
  <c r="E929" i="5"/>
  <c r="L928" i="5"/>
  <c r="E928" i="5"/>
  <c r="J927" i="5"/>
  <c r="I927" i="5"/>
  <c r="H927" i="5"/>
  <c r="G927" i="5"/>
  <c r="E926" i="5"/>
  <c r="L925" i="5"/>
  <c r="E925" i="5"/>
  <c r="L924" i="5"/>
  <c r="E924" i="5"/>
  <c r="L923" i="5"/>
  <c r="E923" i="5"/>
  <c r="J922" i="5"/>
  <c r="I922" i="5"/>
  <c r="H922" i="5"/>
  <c r="G922" i="5"/>
  <c r="L922" i="5" s="1"/>
  <c r="F922" i="5"/>
  <c r="E922" i="5"/>
  <c r="L921" i="5"/>
  <c r="E921" i="5"/>
  <c r="L920" i="5"/>
  <c r="E920" i="5"/>
  <c r="E907" i="5" s="1"/>
  <c r="E894" i="5" s="1"/>
  <c r="L919" i="5"/>
  <c r="E919" i="5"/>
  <c r="L918" i="5"/>
  <c r="E918" i="5"/>
  <c r="E905" i="5" s="1"/>
  <c r="E892" i="5" s="1"/>
  <c r="L917" i="5"/>
  <c r="E917" i="5"/>
  <c r="J916" i="5"/>
  <c r="I916" i="5"/>
  <c r="H916" i="5"/>
  <c r="G916" i="5"/>
  <c r="F916" i="5"/>
  <c r="L916" i="5" s="1"/>
  <c r="J915" i="5"/>
  <c r="I915" i="5"/>
  <c r="H915" i="5"/>
  <c r="G915" i="5"/>
  <c r="G902" i="5" s="1"/>
  <c r="J914" i="5"/>
  <c r="J901" i="5" s="1"/>
  <c r="I914" i="5"/>
  <c r="H914" i="5"/>
  <c r="H901" i="5" s="1"/>
  <c r="G914" i="5"/>
  <c r="J913" i="5"/>
  <c r="I913" i="5"/>
  <c r="I900" i="5" s="1"/>
  <c r="H913" i="5"/>
  <c r="G913" i="5"/>
  <c r="G900" i="5" s="1"/>
  <c r="J912" i="5"/>
  <c r="I912" i="5"/>
  <c r="H912" i="5"/>
  <c r="G912" i="5"/>
  <c r="G899" i="5" s="1"/>
  <c r="J911" i="5"/>
  <c r="I911" i="5"/>
  <c r="I898" i="5" s="1"/>
  <c r="H911" i="5"/>
  <c r="G911" i="5"/>
  <c r="G898" i="5" s="1"/>
  <c r="J910" i="5"/>
  <c r="J897" i="5" s="1"/>
  <c r="I910" i="5"/>
  <c r="I897" i="5" s="1"/>
  <c r="H910" i="5"/>
  <c r="G910" i="5"/>
  <c r="F910" i="5"/>
  <c r="J909" i="5"/>
  <c r="I909" i="5"/>
  <c r="I896" i="5" s="1"/>
  <c r="H909" i="5"/>
  <c r="H896" i="5" s="1"/>
  <c r="G909" i="5"/>
  <c r="L909" i="5" s="1"/>
  <c r="F909" i="5"/>
  <c r="E909" i="5"/>
  <c r="E896" i="5" s="1"/>
  <c r="J908" i="5"/>
  <c r="I908" i="5"/>
  <c r="H908" i="5"/>
  <c r="H895" i="5" s="1"/>
  <c r="G908" i="5"/>
  <c r="G895" i="5" s="1"/>
  <c r="F908" i="5"/>
  <c r="J907" i="5"/>
  <c r="I907" i="5"/>
  <c r="I894" i="5" s="1"/>
  <c r="H907" i="5"/>
  <c r="G907" i="5"/>
  <c r="G894" i="5" s="1"/>
  <c r="F907" i="5"/>
  <c r="J906" i="5"/>
  <c r="J893" i="5" s="1"/>
  <c r="I906" i="5"/>
  <c r="H906" i="5"/>
  <c r="G906" i="5"/>
  <c r="F906" i="5"/>
  <c r="E906" i="5"/>
  <c r="E893" i="5" s="1"/>
  <c r="J905" i="5"/>
  <c r="I905" i="5"/>
  <c r="H905" i="5"/>
  <c r="H892" i="5" s="1"/>
  <c r="G905" i="5"/>
  <c r="L905" i="5" s="1"/>
  <c r="F905" i="5"/>
  <c r="J904" i="5"/>
  <c r="I904" i="5"/>
  <c r="H904" i="5"/>
  <c r="G904" i="5"/>
  <c r="L904" i="5" s="1"/>
  <c r="F904" i="5"/>
  <c r="I903" i="5"/>
  <c r="J902" i="5"/>
  <c r="I902" i="5"/>
  <c r="H902" i="5"/>
  <c r="G901" i="5"/>
  <c r="J900" i="5"/>
  <c r="H900" i="5"/>
  <c r="J899" i="5"/>
  <c r="I899" i="5"/>
  <c r="H898" i="5"/>
  <c r="H897" i="5"/>
  <c r="G897" i="5"/>
  <c r="J896" i="5"/>
  <c r="G896" i="5"/>
  <c r="F896" i="5"/>
  <c r="L896" i="5" s="1"/>
  <c r="J895" i="5"/>
  <c r="I895" i="5"/>
  <c r="F895" i="5"/>
  <c r="L895" i="5" s="1"/>
  <c r="J894" i="5"/>
  <c r="H894" i="5"/>
  <c r="F894" i="5"/>
  <c r="I893" i="5"/>
  <c r="J892" i="5"/>
  <c r="F892" i="5"/>
  <c r="J891" i="5"/>
  <c r="I891" i="5"/>
  <c r="G891" i="5"/>
  <c r="L889" i="5"/>
  <c r="E889" i="5"/>
  <c r="L888" i="5"/>
  <c r="L887" i="5" s="1"/>
  <c r="E888" i="5"/>
  <c r="J887" i="5"/>
  <c r="I887" i="5"/>
  <c r="H887" i="5"/>
  <c r="G887" i="5"/>
  <c r="F887" i="5"/>
  <c r="E887" i="5"/>
  <c r="L886" i="5"/>
  <c r="E886" i="5"/>
  <c r="E835" i="5" s="1"/>
  <c r="L885" i="5"/>
  <c r="L884" i="5" s="1"/>
  <c r="E885" i="5"/>
  <c r="E884" i="5" s="1"/>
  <c r="J884" i="5"/>
  <c r="I884" i="5"/>
  <c r="H884" i="5"/>
  <c r="G884" i="5"/>
  <c r="F884" i="5"/>
  <c r="L883" i="5"/>
  <c r="E883" i="5"/>
  <c r="L882" i="5"/>
  <c r="E882" i="5"/>
  <c r="L881" i="5"/>
  <c r="J881" i="5"/>
  <c r="I881" i="5"/>
  <c r="H881" i="5"/>
  <c r="G881" i="5"/>
  <c r="F881" i="5"/>
  <c r="E881" i="5"/>
  <c r="E880" i="5"/>
  <c r="L879" i="5"/>
  <c r="E879" i="5"/>
  <c r="L878" i="5"/>
  <c r="E878" i="5"/>
  <c r="J877" i="5"/>
  <c r="I877" i="5"/>
  <c r="H877" i="5"/>
  <c r="G877" i="5"/>
  <c r="L877" i="5" s="1"/>
  <c r="F877" i="5"/>
  <c r="E877" i="5"/>
  <c r="E876" i="5"/>
  <c r="L875" i="5"/>
  <c r="E875" i="5"/>
  <c r="L874" i="5"/>
  <c r="E874" i="5"/>
  <c r="J873" i="5"/>
  <c r="I873" i="5"/>
  <c r="H873" i="5"/>
  <c r="G873" i="5"/>
  <c r="L873" i="5" s="1"/>
  <c r="F873" i="5"/>
  <c r="E873" i="5"/>
  <c r="L872" i="5"/>
  <c r="E872" i="5"/>
  <c r="E871" i="5" s="1"/>
  <c r="I871" i="5"/>
  <c r="H871" i="5"/>
  <c r="G871" i="5"/>
  <c r="F871" i="5"/>
  <c r="L871" i="5" s="1"/>
  <c r="L870" i="5"/>
  <c r="E870" i="5"/>
  <c r="E869" i="5" s="1"/>
  <c r="J869" i="5"/>
  <c r="I869" i="5"/>
  <c r="H869" i="5"/>
  <c r="G869" i="5"/>
  <c r="F869" i="5"/>
  <c r="L869" i="5" s="1"/>
  <c r="L868" i="5"/>
  <c r="E868" i="5"/>
  <c r="I867" i="5"/>
  <c r="H867" i="5"/>
  <c r="G867" i="5"/>
  <c r="F867" i="5"/>
  <c r="L867" i="5" s="1"/>
  <c r="E867" i="5"/>
  <c r="L866" i="5"/>
  <c r="E866" i="5"/>
  <c r="I865" i="5"/>
  <c r="H865" i="5"/>
  <c r="G865" i="5"/>
  <c r="F865" i="5"/>
  <c r="L865" i="5" s="1"/>
  <c r="E865" i="5"/>
  <c r="L864" i="5"/>
  <c r="E864" i="5"/>
  <c r="I863" i="5"/>
  <c r="H863" i="5"/>
  <c r="G863" i="5"/>
  <c r="F863" i="5"/>
  <c r="L863" i="5" s="1"/>
  <c r="E863" i="5"/>
  <c r="L862" i="5"/>
  <c r="E862" i="5"/>
  <c r="I861" i="5"/>
  <c r="H861" i="5"/>
  <c r="G861" i="5"/>
  <c r="F861" i="5"/>
  <c r="L861" i="5" s="1"/>
  <c r="E861" i="5"/>
  <c r="E860" i="5"/>
  <c r="E833" i="5" s="1"/>
  <c r="E859" i="5"/>
  <c r="L858" i="5"/>
  <c r="E858" i="5"/>
  <c r="L857" i="5"/>
  <c r="E857" i="5"/>
  <c r="J856" i="5"/>
  <c r="I856" i="5"/>
  <c r="H856" i="5"/>
  <c r="G856" i="5"/>
  <c r="L856" i="5" s="1"/>
  <c r="F856" i="5"/>
  <c r="E856" i="5"/>
  <c r="E855" i="5"/>
  <c r="L854" i="5"/>
  <c r="E854" i="5"/>
  <c r="L853" i="5"/>
  <c r="E853" i="5"/>
  <c r="L852" i="5"/>
  <c r="E852" i="5"/>
  <c r="J851" i="5"/>
  <c r="I851" i="5"/>
  <c r="H851" i="5"/>
  <c r="G851" i="5"/>
  <c r="L851" i="5" s="1"/>
  <c r="F851" i="5"/>
  <c r="E851" i="5"/>
  <c r="L850" i="5"/>
  <c r="E850" i="5"/>
  <c r="E837" i="5" s="1"/>
  <c r="L849" i="5"/>
  <c r="E849" i="5"/>
  <c r="L848" i="5"/>
  <c r="E848" i="5"/>
  <c r="E847" i="5" s="1"/>
  <c r="J847" i="5"/>
  <c r="I847" i="5"/>
  <c r="H847" i="5"/>
  <c r="G847" i="5"/>
  <c r="F847" i="5"/>
  <c r="L847" i="5" s="1"/>
  <c r="L846" i="5"/>
  <c r="E846" i="5"/>
  <c r="L845" i="5"/>
  <c r="E845" i="5"/>
  <c r="L844" i="5"/>
  <c r="E844" i="5"/>
  <c r="L843" i="5"/>
  <c r="E843" i="5"/>
  <c r="J842" i="5"/>
  <c r="I842" i="5"/>
  <c r="H842" i="5"/>
  <c r="G842" i="5"/>
  <c r="L842" i="5" s="1"/>
  <c r="F842" i="5"/>
  <c r="E842" i="5"/>
  <c r="L841" i="5"/>
  <c r="E841" i="5"/>
  <c r="L840" i="5"/>
  <c r="E840" i="5"/>
  <c r="E839" i="5" s="1"/>
  <c r="J839" i="5"/>
  <c r="I839" i="5"/>
  <c r="H839" i="5"/>
  <c r="G839" i="5"/>
  <c r="F839" i="5"/>
  <c r="L839" i="5" s="1"/>
  <c r="J838" i="5"/>
  <c r="I838" i="5"/>
  <c r="H838" i="5"/>
  <c r="G838" i="5"/>
  <c r="L838" i="5" s="1"/>
  <c r="F838" i="5"/>
  <c r="E838" i="5"/>
  <c r="J837" i="5"/>
  <c r="I837" i="5"/>
  <c r="H837" i="5"/>
  <c r="G837" i="5"/>
  <c r="F837" i="5"/>
  <c r="L837" i="5" s="1"/>
  <c r="J836" i="5"/>
  <c r="I836" i="5"/>
  <c r="H836" i="5"/>
  <c r="G836" i="5"/>
  <c r="L836" i="5" s="1"/>
  <c r="F836" i="5"/>
  <c r="E836" i="5"/>
  <c r="J835" i="5"/>
  <c r="I835" i="5"/>
  <c r="H835" i="5"/>
  <c r="G835" i="5"/>
  <c r="F835" i="5"/>
  <c r="L835" i="5" s="1"/>
  <c r="J834" i="5"/>
  <c r="I834" i="5"/>
  <c r="H834" i="5"/>
  <c r="G834" i="5"/>
  <c r="L834" i="5" s="1"/>
  <c r="F834" i="5"/>
  <c r="E834" i="5"/>
  <c r="J833" i="5"/>
  <c r="I833" i="5"/>
  <c r="H833" i="5"/>
  <c r="G833" i="5"/>
  <c r="F833" i="5"/>
  <c r="L833" i="5" s="1"/>
  <c r="J832" i="5"/>
  <c r="I832" i="5"/>
  <c r="H832" i="5"/>
  <c r="G832" i="5"/>
  <c r="L832" i="5" s="1"/>
  <c r="F832" i="5"/>
  <c r="J831" i="5"/>
  <c r="J829" i="5" s="1"/>
  <c r="I831" i="5"/>
  <c r="H831" i="5"/>
  <c r="G831" i="5"/>
  <c r="F831" i="5"/>
  <c r="L831" i="5" s="1"/>
  <c r="J830" i="5"/>
  <c r="I830" i="5"/>
  <c r="I829" i="5" s="1"/>
  <c r="H830" i="5"/>
  <c r="G830" i="5"/>
  <c r="G829" i="5" s="1"/>
  <c r="F830" i="5"/>
  <c r="E830" i="5"/>
  <c r="H829" i="5"/>
  <c r="F825" i="5"/>
  <c r="F826" i="5" s="1"/>
  <c r="L824" i="5"/>
  <c r="F824" i="5"/>
  <c r="E824" i="5"/>
  <c r="L823" i="5"/>
  <c r="E823" i="5"/>
  <c r="L822" i="5"/>
  <c r="E822" i="5"/>
  <c r="L821" i="5"/>
  <c r="E821" i="5"/>
  <c r="L820" i="5"/>
  <c r="E820" i="5"/>
  <c r="L819" i="5"/>
  <c r="E819" i="5"/>
  <c r="E818" i="5" s="1"/>
  <c r="J818" i="5"/>
  <c r="I818" i="5"/>
  <c r="H818" i="5"/>
  <c r="G818" i="5"/>
  <c r="F818" i="5"/>
  <c r="L818" i="5" s="1"/>
  <c r="F812" i="5"/>
  <c r="L812" i="5" s="1"/>
  <c r="F811" i="5"/>
  <c r="L811" i="5" s="1"/>
  <c r="E811" i="5"/>
  <c r="F810" i="5"/>
  <c r="L810" i="5" s="1"/>
  <c r="E810" i="5"/>
  <c r="L809" i="5"/>
  <c r="E809" i="5"/>
  <c r="L808" i="5"/>
  <c r="E808" i="5"/>
  <c r="L807" i="5"/>
  <c r="E807" i="5"/>
  <c r="J806" i="5"/>
  <c r="I806" i="5"/>
  <c r="H806" i="5"/>
  <c r="G806" i="5"/>
  <c r="L805" i="5"/>
  <c r="E805" i="5"/>
  <c r="L804" i="5"/>
  <c r="E804" i="5"/>
  <c r="E803" i="5" s="1"/>
  <c r="J803" i="5"/>
  <c r="I803" i="5"/>
  <c r="H803" i="5"/>
  <c r="G803" i="5"/>
  <c r="F803" i="5"/>
  <c r="L803" i="5" s="1"/>
  <c r="L802" i="5"/>
  <c r="E802" i="5"/>
  <c r="L801" i="5"/>
  <c r="E801" i="5"/>
  <c r="L800" i="5"/>
  <c r="E800" i="5"/>
  <c r="L799" i="5"/>
  <c r="E799" i="5"/>
  <c r="L798" i="5"/>
  <c r="E798" i="5"/>
  <c r="L797" i="5"/>
  <c r="E797" i="5"/>
  <c r="L796" i="5"/>
  <c r="E796" i="5"/>
  <c r="L795" i="5"/>
  <c r="E795" i="5"/>
  <c r="L794" i="5"/>
  <c r="E794" i="5"/>
  <c r="L793" i="5"/>
  <c r="E793" i="5"/>
  <c r="L792" i="5"/>
  <c r="E792" i="5"/>
  <c r="L791" i="5"/>
  <c r="E791" i="5"/>
  <c r="E790" i="5" s="1"/>
  <c r="J790" i="5"/>
  <c r="I790" i="5"/>
  <c r="H790" i="5"/>
  <c r="G790" i="5"/>
  <c r="L790" i="5" s="1"/>
  <c r="F790" i="5"/>
  <c r="F781" i="5"/>
  <c r="L781" i="5" s="1"/>
  <c r="F780" i="5"/>
  <c r="L780" i="5" s="1"/>
  <c r="E780" i="5"/>
  <c r="F779" i="5"/>
  <c r="L779" i="5" s="1"/>
  <c r="E779" i="5"/>
  <c r="J778" i="5"/>
  <c r="I778" i="5"/>
  <c r="I777" i="5" s="1"/>
  <c r="H778" i="5"/>
  <c r="H777" i="5" s="1"/>
  <c r="G778" i="5"/>
  <c r="G777" i="5" s="1"/>
  <c r="F778" i="5"/>
  <c r="J777" i="5"/>
  <c r="E776" i="5"/>
  <c r="J775" i="5"/>
  <c r="L775" i="5" s="1"/>
  <c r="H775" i="5"/>
  <c r="L774" i="5"/>
  <c r="E774" i="5"/>
  <c r="J773" i="5"/>
  <c r="H773" i="5"/>
  <c r="L773" i="5" s="1"/>
  <c r="E773" i="5"/>
  <c r="L772" i="5"/>
  <c r="E772" i="5"/>
  <c r="J771" i="5"/>
  <c r="L771" i="5" s="1"/>
  <c r="H771" i="5"/>
  <c r="L770" i="5"/>
  <c r="E770" i="5"/>
  <c r="E739" i="5" s="1"/>
  <c r="J769" i="5"/>
  <c r="I769" i="5"/>
  <c r="H769" i="5"/>
  <c r="L769" i="5" s="1"/>
  <c r="L768" i="5"/>
  <c r="E768" i="5"/>
  <c r="L767" i="5"/>
  <c r="E767" i="5"/>
  <c r="J766" i="5"/>
  <c r="I766" i="5"/>
  <c r="H766" i="5"/>
  <c r="G766" i="5"/>
  <c r="F766" i="5"/>
  <c r="L766" i="5" s="1"/>
  <c r="E766" i="5"/>
  <c r="L765" i="5"/>
  <c r="E765" i="5"/>
  <c r="E741" i="5" s="1"/>
  <c r="L764" i="5"/>
  <c r="E764" i="5"/>
  <c r="L763" i="5"/>
  <c r="E763" i="5"/>
  <c r="L762" i="5"/>
  <c r="E762" i="5"/>
  <c r="E761" i="5" s="1"/>
  <c r="J761" i="5"/>
  <c r="I761" i="5"/>
  <c r="H761" i="5"/>
  <c r="G761" i="5"/>
  <c r="F761" i="5"/>
  <c r="L761" i="5" s="1"/>
  <c r="L756" i="5"/>
  <c r="E756" i="5"/>
  <c r="J755" i="5"/>
  <c r="I755" i="5"/>
  <c r="I753" i="5" s="1"/>
  <c r="H755" i="5"/>
  <c r="G755" i="5"/>
  <c r="F755" i="5"/>
  <c r="L755" i="5" s="1"/>
  <c r="E755" i="5"/>
  <c r="G753" i="5"/>
  <c r="F753" i="5"/>
  <c r="L752" i="5"/>
  <c r="E752" i="5"/>
  <c r="L751" i="5"/>
  <c r="E751" i="5"/>
  <c r="E737" i="5" s="1"/>
  <c r="J750" i="5"/>
  <c r="I750" i="5"/>
  <c r="H750" i="5"/>
  <c r="G750" i="5"/>
  <c r="L750" i="5" s="1"/>
  <c r="F750" i="5"/>
  <c r="L749" i="5"/>
  <c r="L748" i="5"/>
  <c r="E748" i="5"/>
  <c r="L747" i="5"/>
  <c r="E747" i="5"/>
  <c r="L746" i="5"/>
  <c r="E746" i="5"/>
  <c r="J745" i="5"/>
  <c r="I745" i="5"/>
  <c r="H745" i="5"/>
  <c r="G745" i="5"/>
  <c r="F745" i="5"/>
  <c r="L745" i="5" s="1"/>
  <c r="E745" i="5"/>
  <c r="L744" i="5"/>
  <c r="E744" i="5"/>
  <c r="L743" i="5"/>
  <c r="J742" i="5"/>
  <c r="I742" i="5"/>
  <c r="H742" i="5"/>
  <c r="G742" i="5"/>
  <c r="L742" i="5" s="1"/>
  <c r="F742" i="5"/>
  <c r="E742" i="5"/>
  <c r="J741" i="5"/>
  <c r="I741" i="5"/>
  <c r="H741" i="5"/>
  <c r="G741" i="5"/>
  <c r="F741" i="5"/>
  <c r="L741" i="5" s="1"/>
  <c r="J740" i="5"/>
  <c r="I740" i="5"/>
  <c r="H740" i="5"/>
  <c r="G740" i="5"/>
  <c r="F740" i="5"/>
  <c r="L740" i="5" s="1"/>
  <c r="E740" i="5"/>
  <c r="J739" i="5"/>
  <c r="I739" i="5"/>
  <c r="H739" i="5"/>
  <c r="G739" i="5"/>
  <c r="F739" i="5"/>
  <c r="L739" i="5" s="1"/>
  <c r="J738" i="5"/>
  <c r="I738" i="5"/>
  <c r="H738" i="5"/>
  <c r="G738" i="5"/>
  <c r="L738" i="5" s="1"/>
  <c r="F738" i="5"/>
  <c r="J737" i="5"/>
  <c r="J736" i="5" s="1"/>
  <c r="I737" i="5"/>
  <c r="H737" i="5"/>
  <c r="H736" i="5" s="1"/>
  <c r="G737" i="5"/>
  <c r="G736" i="5" s="1"/>
  <c r="F737" i="5"/>
  <c r="L737" i="5" s="1"/>
  <c r="I736" i="5"/>
  <c r="E735" i="5"/>
  <c r="J734" i="5"/>
  <c r="I734" i="5"/>
  <c r="H734" i="5"/>
  <c r="G734" i="5"/>
  <c r="F734" i="5"/>
  <c r="E734" i="5"/>
  <c r="E733" i="5"/>
  <c r="E732" i="5" s="1"/>
  <c r="J732" i="5"/>
  <c r="I732" i="5"/>
  <c r="H732" i="5"/>
  <c r="G732" i="5"/>
  <c r="F732" i="5"/>
  <c r="E731" i="5"/>
  <c r="E730" i="5" s="1"/>
  <c r="J730" i="5"/>
  <c r="I730" i="5"/>
  <c r="H730" i="5"/>
  <c r="G730" i="5"/>
  <c r="F730" i="5"/>
  <c r="L729" i="5"/>
  <c r="E729" i="5"/>
  <c r="E728" i="5" s="1"/>
  <c r="J728" i="5"/>
  <c r="I728" i="5"/>
  <c r="H728" i="5"/>
  <c r="G728" i="5"/>
  <c r="L728" i="5" s="1"/>
  <c r="F728" i="5"/>
  <c r="L727" i="5"/>
  <c r="E727" i="5"/>
  <c r="E726" i="5" s="1"/>
  <c r="J726" i="5"/>
  <c r="I726" i="5"/>
  <c r="H726" i="5"/>
  <c r="G726" i="5"/>
  <c r="F726" i="5"/>
  <c r="L726" i="5" s="1"/>
  <c r="L725" i="5"/>
  <c r="E725" i="5"/>
  <c r="L724" i="5"/>
  <c r="E724" i="5"/>
  <c r="L723" i="5"/>
  <c r="E723" i="5"/>
  <c r="J722" i="5"/>
  <c r="I722" i="5"/>
  <c r="H722" i="5"/>
  <c r="G722" i="5"/>
  <c r="F722" i="5"/>
  <c r="L722" i="5" s="1"/>
  <c r="E722" i="5"/>
  <c r="L721" i="5"/>
  <c r="E721" i="5"/>
  <c r="J720" i="5"/>
  <c r="I720" i="5"/>
  <c r="H720" i="5"/>
  <c r="G720" i="5"/>
  <c r="F720" i="5"/>
  <c r="L720" i="5" s="1"/>
  <c r="J719" i="5"/>
  <c r="I719" i="5"/>
  <c r="H719" i="5"/>
  <c r="G719" i="5"/>
  <c r="F719" i="5"/>
  <c r="L719" i="5" s="1"/>
  <c r="E719" i="5"/>
  <c r="J718" i="5"/>
  <c r="I718" i="5"/>
  <c r="H718" i="5"/>
  <c r="G718" i="5"/>
  <c r="F718" i="5"/>
  <c r="L718" i="5" s="1"/>
  <c r="E718" i="5"/>
  <c r="J717" i="5"/>
  <c r="I717" i="5"/>
  <c r="I716" i="5" s="1"/>
  <c r="H717" i="5"/>
  <c r="H716" i="5" s="1"/>
  <c r="G717" i="5"/>
  <c r="G716" i="5" s="1"/>
  <c r="F717" i="5"/>
  <c r="J716" i="5"/>
  <c r="F716" i="5"/>
  <c r="L715" i="5"/>
  <c r="E715" i="5"/>
  <c r="L714" i="5"/>
  <c r="E714" i="5"/>
  <c r="L713" i="5"/>
  <c r="E713" i="5"/>
  <c r="L712" i="5"/>
  <c r="E712" i="5"/>
  <c r="J711" i="5"/>
  <c r="I711" i="5"/>
  <c r="H711" i="5"/>
  <c r="G711" i="5"/>
  <c r="F711" i="5"/>
  <c r="L711" i="5" s="1"/>
  <c r="E711" i="5"/>
  <c r="E710" i="5"/>
  <c r="H709" i="5"/>
  <c r="E709" i="5"/>
  <c r="L708" i="5"/>
  <c r="L707" i="5" s="1"/>
  <c r="E708" i="5"/>
  <c r="J707" i="5"/>
  <c r="I707" i="5"/>
  <c r="H707" i="5"/>
  <c r="G707" i="5"/>
  <c r="F707" i="5"/>
  <c r="E707" i="5"/>
  <c r="E706" i="5"/>
  <c r="J705" i="5"/>
  <c r="I705" i="5"/>
  <c r="H705" i="5"/>
  <c r="G705" i="5"/>
  <c r="F705" i="5"/>
  <c r="E705" i="5"/>
  <c r="E704" i="5"/>
  <c r="E703" i="5" s="1"/>
  <c r="J703" i="5"/>
  <c r="I703" i="5"/>
  <c r="H703" i="5"/>
  <c r="G703" i="5"/>
  <c r="F703" i="5"/>
  <c r="L702" i="5"/>
  <c r="E702" i="5"/>
  <c r="E701" i="5" s="1"/>
  <c r="J701" i="5"/>
  <c r="I701" i="5"/>
  <c r="H701" i="5"/>
  <c r="H596" i="5" s="1"/>
  <c r="H595" i="5" s="1"/>
  <c r="G701" i="5"/>
  <c r="F701" i="5"/>
  <c r="L701" i="5" s="1"/>
  <c r="L700" i="5"/>
  <c r="E700" i="5"/>
  <c r="J699" i="5"/>
  <c r="I699" i="5"/>
  <c r="H699" i="5"/>
  <c r="G699" i="5"/>
  <c r="F699" i="5"/>
  <c r="L699" i="5" s="1"/>
  <c r="E699" i="5"/>
  <c r="L698" i="5"/>
  <c r="E698" i="5"/>
  <c r="L697" i="5"/>
  <c r="E697" i="5"/>
  <c r="L696" i="5"/>
  <c r="E696" i="5"/>
  <c r="L695" i="5"/>
  <c r="E695" i="5"/>
  <c r="L694" i="5"/>
  <c r="E694" i="5"/>
  <c r="L693" i="5"/>
  <c r="E693" i="5"/>
  <c r="E692" i="5" s="1"/>
  <c r="J692" i="5"/>
  <c r="I692" i="5"/>
  <c r="H692" i="5"/>
  <c r="G692" i="5"/>
  <c r="F692" i="5"/>
  <c r="L692" i="5" s="1"/>
  <c r="E691" i="5"/>
  <c r="E690" i="5" s="1"/>
  <c r="K690" i="5"/>
  <c r="J690" i="5"/>
  <c r="I690" i="5"/>
  <c r="H690" i="5"/>
  <c r="G690" i="5"/>
  <c r="F690" i="5"/>
  <c r="L689" i="5"/>
  <c r="L688" i="5"/>
  <c r="E688" i="5"/>
  <c r="L687" i="5"/>
  <c r="E687" i="5"/>
  <c r="L686" i="5"/>
  <c r="E686" i="5"/>
  <c r="L685" i="5"/>
  <c r="E685" i="5"/>
  <c r="E684" i="5" s="1"/>
  <c r="J684" i="5"/>
  <c r="I684" i="5"/>
  <c r="H684" i="5"/>
  <c r="G684" i="5"/>
  <c r="F684" i="5"/>
  <c r="L684" i="5" s="1"/>
  <c r="L683" i="5"/>
  <c r="E683" i="5"/>
  <c r="J682" i="5"/>
  <c r="I682" i="5"/>
  <c r="H682" i="5"/>
  <c r="G682" i="5"/>
  <c r="F682" i="5"/>
  <c r="L682" i="5" s="1"/>
  <c r="E682" i="5"/>
  <c r="L681" i="5"/>
  <c r="E681" i="5"/>
  <c r="E680" i="5" s="1"/>
  <c r="J680" i="5"/>
  <c r="I680" i="5"/>
  <c r="H680" i="5"/>
  <c r="G680" i="5"/>
  <c r="F680" i="5"/>
  <c r="L680" i="5" s="1"/>
  <c r="L679" i="5"/>
  <c r="E679" i="5"/>
  <c r="E678" i="5" s="1"/>
  <c r="E677" i="5" s="1"/>
  <c r="J678" i="5"/>
  <c r="I678" i="5"/>
  <c r="I677" i="5" s="1"/>
  <c r="H678" i="5"/>
  <c r="H677" i="5" s="1"/>
  <c r="G678" i="5"/>
  <c r="G677" i="5" s="1"/>
  <c r="F678" i="5"/>
  <c r="J677" i="5"/>
  <c r="F677" i="5"/>
  <c r="L677" i="5" s="1"/>
  <c r="L676" i="5"/>
  <c r="E676" i="5"/>
  <c r="E675" i="5" s="1"/>
  <c r="J675" i="5"/>
  <c r="I675" i="5"/>
  <c r="I674" i="5" s="1"/>
  <c r="H675" i="5"/>
  <c r="H674" i="5" s="1"/>
  <c r="G675" i="5"/>
  <c r="G674" i="5" s="1"/>
  <c r="F675" i="5"/>
  <c r="J674" i="5"/>
  <c r="F674" i="5"/>
  <c r="L673" i="5"/>
  <c r="E673" i="5"/>
  <c r="E672" i="5" s="1"/>
  <c r="J672" i="5"/>
  <c r="I672" i="5"/>
  <c r="H672" i="5"/>
  <c r="H671" i="5" s="1"/>
  <c r="G672" i="5"/>
  <c r="G671" i="5" s="1"/>
  <c r="F672" i="5"/>
  <c r="J671" i="5"/>
  <c r="I671" i="5"/>
  <c r="F671" i="5"/>
  <c r="L670" i="5"/>
  <c r="E670" i="5"/>
  <c r="E669" i="5" s="1"/>
  <c r="K669" i="5"/>
  <c r="J669" i="5"/>
  <c r="I669" i="5"/>
  <c r="H669" i="5"/>
  <c r="G669" i="5"/>
  <c r="F669" i="5"/>
  <c r="J668" i="5"/>
  <c r="J667" i="5" s="1"/>
  <c r="I668" i="5"/>
  <c r="H668" i="5"/>
  <c r="G668" i="5"/>
  <c r="G667" i="5" s="1"/>
  <c r="F668" i="5"/>
  <c r="L668" i="5" s="1"/>
  <c r="E668" i="5"/>
  <c r="I667" i="5"/>
  <c r="H667" i="5"/>
  <c r="E667" i="5"/>
  <c r="I666" i="5"/>
  <c r="H666" i="5"/>
  <c r="H597" i="5" s="1"/>
  <c r="J665" i="5"/>
  <c r="I665" i="5"/>
  <c r="H665" i="5"/>
  <c r="H664" i="5" s="1"/>
  <c r="G665" i="5"/>
  <c r="F665" i="5"/>
  <c r="I664" i="5"/>
  <c r="L663" i="5"/>
  <c r="E663" i="5"/>
  <c r="L662" i="5"/>
  <c r="E662" i="5"/>
  <c r="L661" i="5"/>
  <c r="E661" i="5"/>
  <c r="L660" i="5"/>
  <c r="E660" i="5"/>
  <c r="L659" i="5"/>
  <c r="E659" i="5"/>
  <c r="L658" i="5"/>
  <c r="L598" i="5" s="1"/>
  <c r="E658" i="5"/>
  <c r="L657" i="5"/>
  <c r="E657" i="5"/>
  <c r="L656" i="5"/>
  <c r="E656" i="5"/>
  <c r="J655" i="5"/>
  <c r="I655" i="5"/>
  <c r="H655" i="5"/>
  <c r="G655" i="5"/>
  <c r="F655" i="5"/>
  <c r="L655" i="5" s="1"/>
  <c r="E655" i="5"/>
  <c r="L654" i="5"/>
  <c r="E654" i="5"/>
  <c r="L653" i="5"/>
  <c r="E653" i="5"/>
  <c r="E641" i="5" s="1"/>
  <c r="L652" i="5"/>
  <c r="E652" i="5"/>
  <c r="L651" i="5"/>
  <c r="E651" i="5"/>
  <c r="L650" i="5"/>
  <c r="E650" i="5"/>
  <c r="L649" i="5"/>
  <c r="E649" i="5"/>
  <c r="L648" i="5"/>
  <c r="E648" i="5"/>
  <c r="L647" i="5"/>
  <c r="E647" i="5"/>
  <c r="L646" i="5"/>
  <c r="E646" i="5"/>
  <c r="L645" i="5"/>
  <c r="E645" i="5"/>
  <c r="L644" i="5"/>
  <c r="E644" i="5"/>
  <c r="L643" i="5"/>
  <c r="E643" i="5"/>
  <c r="L642" i="5"/>
  <c r="E642" i="5"/>
  <c r="J641" i="5"/>
  <c r="I641" i="5"/>
  <c r="H641" i="5"/>
  <c r="G641" i="5"/>
  <c r="F641" i="5"/>
  <c r="L641" i="5" s="1"/>
  <c r="J640" i="5"/>
  <c r="J639" i="5" s="1"/>
  <c r="I640" i="5"/>
  <c r="I639" i="5" s="1"/>
  <c r="H640" i="5"/>
  <c r="G640" i="5"/>
  <c r="F640" i="5"/>
  <c r="L640" i="5" s="1"/>
  <c r="E640" i="5"/>
  <c r="H639" i="5"/>
  <c r="G639" i="5"/>
  <c r="L638" i="5"/>
  <c r="E638" i="5"/>
  <c r="J637" i="5"/>
  <c r="I637" i="5"/>
  <c r="H637" i="5"/>
  <c r="G637" i="5"/>
  <c r="F637" i="5"/>
  <c r="L637" i="5" s="1"/>
  <c r="E637" i="5"/>
  <c r="E636" i="5"/>
  <c r="E635" i="5" s="1"/>
  <c r="J635" i="5"/>
  <c r="I635" i="5"/>
  <c r="H635" i="5"/>
  <c r="G635" i="5"/>
  <c r="F635" i="5"/>
  <c r="E634" i="5"/>
  <c r="E633" i="5" s="1"/>
  <c r="J633" i="5"/>
  <c r="I633" i="5"/>
  <c r="H633" i="5"/>
  <c r="G633" i="5"/>
  <c r="F633" i="5"/>
  <c r="L632" i="5"/>
  <c r="E632" i="5"/>
  <c r="E631" i="5" s="1"/>
  <c r="J631" i="5"/>
  <c r="I631" i="5"/>
  <c r="H631" i="5"/>
  <c r="G631" i="5"/>
  <c r="L631" i="5" s="1"/>
  <c r="F631" i="5"/>
  <c r="L630" i="5"/>
  <c r="E630" i="5"/>
  <c r="J629" i="5"/>
  <c r="I629" i="5"/>
  <c r="H629" i="5"/>
  <c r="G629" i="5"/>
  <c r="F629" i="5"/>
  <c r="L629" i="5" s="1"/>
  <c r="E629" i="5"/>
  <c r="L628" i="5"/>
  <c r="E628" i="5"/>
  <c r="J627" i="5"/>
  <c r="I627" i="5"/>
  <c r="H627" i="5"/>
  <c r="G627" i="5"/>
  <c r="F627" i="5"/>
  <c r="L627" i="5" s="1"/>
  <c r="E627" i="5"/>
  <c r="L626" i="5"/>
  <c r="E626" i="5"/>
  <c r="E625" i="5" s="1"/>
  <c r="J625" i="5"/>
  <c r="I625" i="5"/>
  <c r="H625" i="5"/>
  <c r="G625" i="5"/>
  <c r="L625" i="5" s="1"/>
  <c r="F625" i="5"/>
  <c r="L624" i="5"/>
  <c r="E624" i="5"/>
  <c r="E623" i="5" s="1"/>
  <c r="J623" i="5"/>
  <c r="I623" i="5"/>
  <c r="H623" i="5"/>
  <c r="G623" i="5"/>
  <c r="L623" i="5" s="1"/>
  <c r="F623" i="5"/>
  <c r="L622" i="5"/>
  <c r="L601" i="5" s="1"/>
  <c r="E622" i="5"/>
  <c r="J621" i="5"/>
  <c r="I621" i="5"/>
  <c r="H621" i="5"/>
  <c r="G621" i="5"/>
  <c r="F621" i="5"/>
  <c r="L621" i="5" s="1"/>
  <c r="E621" i="5"/>
  <c r="L620" i="5"/>
  <c r="E620" i="5"/>
  <c r="J619" i="5"/>
  <c r="I619" i="5"/>
  <c r="H619" i="5"/>
  <c r="G619" i="5"/>
  <c r="F619" i="5"/>
  <c r="L619" i="5" s="1"/>
  <c r="E619" i="5"/>
  <c r="L618" i="5"/>
  <c r="E618" i="5"/>
  <c r="E617" i="5" s="1"/>
  <c r="J617" i="5"/>
  <c r="I617" i="5"/>
  <c r="H617" i="5"/>
  <c r="G617" i="5"/>
  <c r="L617" i="5" s="1"/>
  <c r="F617" i="5"/>
  <c r="L616" i="5"/>
  <c r="E616" i="5"/>
  <c r="E615" i="5" s="1"/>
  <c r="J615" i="5"/>
  <c r="I615" i="5"/>
  <c r="H615" i="5"/>
  <c r="G615" i="5"/>
  <c r="F615" i="5"/>
  <c r="L615" i="5" s="1"/>
  <c r="L614" i="5"/>
  <c r="E614" i="5"/>
  <c r="J613" i="5"/>
  <c r="I613" i="5"/>
  <c r="H613" i="5"/>
  <c r="G613" i="5"/>
  <c r="F613" i="5"/>
  <c r="L613" i="5" s="1"/>
  <c r="E613" i="5"/>
  <c r="L612" i="5"/>
  <c r="E612" i="5"/>
  <c r="L611" i="5"/>
  <c r="E611" i="5"/>
  <c r="L610" i="5"/>
  <c r="E610" i="5"/>
  <c r="L609" i="5"/>
  <c r="E609" i="5"/>
  <c r="K608" i="5"/>
  <c r="J608" i="5"/>
  <c r="I608" i="5"/>
  <c r="H608" i="5"/>
  <c r="G608" i="5"/>
  <c r="F608" i="5"/>
  <c r="L608" i="5" s="1"/>
  <c r="E608" i="5"/>
  <c r="I607" i="5"/>
  <c r="G607" i="5"/>
  <c r="F607" i="5"/>
  <c r="L607" i="5" s="1"/>
  <c r="K606" i="5"/>
  <c r="J606" i="5"/>
  <c r="I606" i="5"/>
  <c r="H606" i="5"/>
  <c r="G606" i="5"/>
  <c r="F606" i="5"/>
  <c r="L606" i="5" s="1"/>
  <c r="E606" i="5"/>
  <c r="K605" i="5"/>
  <c r="J605" i="5"/>
  <c r="I605" i="5"/>
  <c r="H605" i="5"/>
  <c r="G605" i="5"/>
  <c r="F605" i="5"/>
  <c r="L605" i="5" s="1"/>
  <c r="E605" i="5"/>
  <c r="K604" i="5"/>
  <c r="J604" i="5"/>
  <c r="I604" i="5"/>
  <c r="H604" i="5"/>
  <c r="G604" i="5"/>
  <c r="F604" i="5"/>
  <c r="L604" i="5" s="1"/>
  <c r="E604" i="5"/>
  <c r="K603" i="5"/>
  <c r="J603" i="5"/>
  <c r="I603" i="5"/>
  <c r="H603" i="5"/>
  <c r="G603" i="5"/>
  <c r="F603" i="5"/>
  <c r="L603" i="5" s="1"/>
  <c r="E603" i="5"/>
  <c r="K602" i="5"/>
  <c r="J602" i="5"/>
  <c r="I602" i="5"/>
  <c r="H602" i="5"/>
  <c r="G602" i="5"/>
  <c r="F602" i="5"/>
  <c r="L602" i="5" s="1"/>
  <c r="E602" i="5"/>
  <c r="K601" i="5"/>
  <c r="J601" i="5"/>
  <c r="I601" i="5"/>
  <c r="H601" i="5"/>
  <c r="G601" i="5"/>
  <c r="F601" i="5"/>
  <c r="E601" i="5"/>
  <c r="K600" i="5"/>
  <c r="J600" i="5"/>
  <c r="I600" i="5"/>
  <c r="H600" i="5"/>
  <c r="G600" i="5"/>
  <c r="F600" i="5"/>
  <c r="L600" i="5" s="1"/>
  <c r="E600" i="5"/>
  <c r="K599" i="5"/>
  <c r="J599" i="5"/>
  <c r="I599" i="5"/>
  <c r="H599" i="5"/>
  <c r="G599" i="5"/>
  <c r="F599" i="5"/>
  <c r="L599" i="5" s="1"/>
  <c r="E599" i="5"/>
  <c r="K598" i="5"/>
  <c r="J598" i="5"/>
  <c r="I598" i="5"/>
  <c r="H598" i="5"/>
  <c r="G598" i="5"/>
  <c r="F598" i="5"/>
  <c r="E598" i="5"/>
  <c r="K597" i="5"/>
  <c r="I597" i="5"/>
  <c r="K596" i="5"/>
  <c r="J596" i="5"/>
  <c r="I596" i="5"/>
  <c r="F596" i="5"/>
  <c r="K595" i="5"/>
  <c r="I595" i="5"/>
  <c r="L594" i="5"/>
  <c r="E594" i="5"/>
  <c r="L593" i="5"/>
  <c r="E593" i="5"/>
  <c r="E586" i="5" s="1"/>
  <c r="L592" i="5"/>
  <c r="E592" i="5"/>
  <c r="L591" i="5"/>
  <c r="E591" i="5"/>
  <c r="E584" i="5" s="1"/>
  <c r="L590" i="5"/>
  <c r="E590" i="5"/>
  <c r="L589" i="5"/>
  <c r="E589" i="5"/>
  <c r="J588" i="5"/>
  <c r="J581" i="5" s="1"/>
  <c r="I588" i="5"/>
  <c r="H588" i="5"/>
  <c r="H581" i="5" s="1"/>
  <c r="G588" i="5"/>
  <c r="F588" i="5"/>
  <c r="F581" i="5" s="1"/>
  <c r="J587" i="5"/>
  <c r="I587" i="5"/>
  <c r="H587" i="5"/>
  <c r="G587" i="5"/>
  <c r="L587" i="5" s="1"/>
  <c r="F587" i="5"/>
  <c r="E587" i="5"/>
  <c r="J586" i="5"/>
  <c r="I586" i="5"/>
  <c r="H586" i="5"/>
  <c r="G586" i="5"/>
  <c r="F586" i="5"/>
  <c r="L586" i="5" s="1"/>
  <c r="J585" i="5"/>
  <c r="I585" i="5"/>
  <c r="H585" i="5"/>
  <c r="G585" i="5"/>
  <c r="L585" i="5" s="1"/>
  <c r="F585" i="5"/>
  <c r="E585" i="5"/>
  <c r="J584" i="5"/>
  <c r="I584" i="5"/>
  <c r="H584" i="5"/>
  <c r="G584" i="5"/>
  <c r="F584" i="5"/>
  <c r="J583" i="5"/>
  <c r="I583" i="5"/>
  <c r="H583" i="5"/>
  <c r="G583" i="5"/>
  <c r="L583" i="5" s="1"/>
  <c r="F583" i="5"/>
  <c r="E583" i="5"/>
  <c r="J582" i="5"/>
  <c r="I582" i="5"/>
  <c r="H582" i="5"/>
  <c r="G582" i="5"/>
  <c r="F582" i="5"/>
  <c r="L582" i="5" s="1"/>
  <c r="I581" i="5"/>
  <c r="G581" i="5"/>
  <c r="L580" i="5"/>
  <c r="E580" i="5"/>
  <c r="L579" i="5"/>
  <c r="E579" i="5"/>
  <c r="E566" i="5" s="1"/>
  <c r="L578" i="5"/>
  <c r="E578" i="5"/>
  <c r="L577" i="5"/>
  <c r="E577" i="5"/>
  <c r="E564" i="5" s="1"/>
  <c r="L576" i="5"/>
  <c r="E576" i="5"/>
  <c r="L575" i="5"/>
  <c r="E575" i="5"/>
  <c r="E562" i="5" s="1"/>
  <c r="L574" i="5"/>
  <c r="E574" i="5"/>
  <c r="L573" i="5"/>
  <c r="E573" i="5"/>
  <c r="E560" i="5" s="1"/>
  <c r="L572" i="5"/>
  <c r="E572" i="5"/>
  <c r="L571" i="5"/>
  <c r="E571" i="5"/>
  <c r="E558" i="5" s="1"/>
  <c r="L570" i="5"/>
  <c r="E570" i="5"/>
  <c r="L569" i="5"/>
  <c r="E569" i="5"/>
  <c r="J568" i="5"/>
  <c r="I568" i="5"/>
  <c r="H568" i="5"/>
  <c r="G568" i="5"/>
  <c r="F568" i="5"/>
  <c r="J567" i="5"/>
  <c r="I567" i="5"/>
  <c r="H567" i="5"/>
  <c r="G567" i="5"/>
  <c r="L567" i="5" s="1"/>
  <c r="F567" i="5"/>
  <c r="E567" i="5"/>
  <c r="J566" i="5"/>
  <c r="I566" i="5"/>
  <c r="H566" i="5"/>
  <c r="G566" i="5"/>
  <c r="F566" i="5"/>
  <c r="L566" i="5" s="1"/>
  <c r="J565" i="5"/>
  <c r="I565" i="5"/>
  <c r="H565" i="5"/>
  <c r="G565" i="5"/>
  <c r="F565" i="5"/>
  <c r="E565" i="5"/>
  <c r="J564" i="5"/>
  <c r="I564" i="5"/>
  <c r="H564" i="5"/>
  <c r="G564" i="5"/>
  <c r="F564" i="5"/>
  <c r="L564" i="5" s="1"/>
  <c r="J563" i="5"/>
  <c r="I563" i="5"/>
  <c r="H563" i="5"/>
  <c r="G563" i="5"/>
  <c r="G555" i="5" s="1"/>
  <c r="F563" i="5"/>
  <c r="E563" i="5"/>
  <c r="J562" i="5"/>
  <c r="I562" i="5"/>
  <c r="H562" i="5"/>
  <c r="G562" i="5"/>
  <c r="F562" i="5"/>
  <c r="L562" i="5" s="1"/>
  <c r="J561" i="5"/>
  <c r="I561" i="5"/>
  <c r="H561" i="5"/>
  <c r="G561" i="5"/>
  <c r="L561" i="5" s="1"/>
  <c r="F561" i="5"/>
  <c r="E561" i="5"/>
  <c r="J560" i="5"/>
  <c r="I560" i="5"/>
  <c r="H560" i="5"/>
  <c r="G560" i="5"/>
  <c r="F560" i="5"/>
  <c r="J559" i="5"/>
  <c r="I559" i="5"/>
  <c r="H559" i="5"/>
  <c r="G559" i="5"/>
  <c r="L559" i="5" s="1"/>
  <c r="F559" i="5"/>
  <c r="E559" i="5"/>
  <c r="J558" i="5"/>
  <c r="J555" i="5" s="1"/>
  <c r="I558" i="5"/>
  <c r="H558" i="5"/>
  <c r="G558" i="5"/>
  <c r="F558" i="5"/>
  <c r="J557" i="5"/>
  <c r="I557" i="5"/>
  <c r="H557" i="5"/>
  <c r="G557" i="5"/>
  <c r="L557" i="5" s="1"/>
  <c r="F557" i="5"/>
  <c r="E557" i="5"/>
  <c r="J556" i="5"/>
  <c r="I556" i="5"/>
  <c r="H556" i="5"/>
  <c r="G556" i="5"/>
  <c r="L556" i="5" s="1"/>
  <c r="F556" i="5"/>
  <c r="L554" i="5"/>
  <c r="E554" i="5"/>
  <c r="J553" i="5"/>
  <c r="I553" i="5"/>
  <c r="H553" i="5"/>
  <c r="H551" i="5" s="1"/>
  <c r="G553" i="5"/>
  <c r="G551" i="5" s="1"/>
  <c r="F553" i="5"/>
  <c r="J552" i="5"/>
  <c r="I552" i="5"/>
  <c r="H552" i="5"/>
  <c r="G552" i="5"/>
  <c r="L552" i="5" s="1"/>
  <c r="F552" i="5"/>
  <c r="J551" i="5"/>
  <c r="I551" i="5"/>
  <c r="F551" i="5"/>
  <c r="E550" i="5"/>
  <c r="J549" i="5"/>
  <c r="I549" i="5"/>
  <c r="H549" i="5"/>
  <c r="G549" i="5"/>
  <c r="E548" i="5"/>
  <c r="E547" i="5"/>
  <c r="J546" i="5"/>
  <c r="I546" i="5"/>
  <c r="H546" i="5"/>
  <c r="G546" i="5"/>
  <c r="F546" i="5"/>
  <c r="E546" i="5"/>
  <c r="L545" i="5"/>
  <c r="E545" i="5"/>
  <c r="L544" i="5"/>
  <c r="E544" i="5"/>
  <c r="E543" i="5" s="1"/>
  <c r="J543" i="5"/>
  <c r="I543" i="5"/>
  <c r="H543" i="5"/>
  <c r="G543" i="5"/>
  <c r="F543" i="5"/>
  <c r="L542" i="5"/>
  <c r="E542" i="5"/>
  <c r="L541" i="5"/>
  <c r="E541" i="5"/>
  <c r="L540" i="5"/>
  <c r="E540" i="5"/>
  <c r="L539" i="5"/>
  <c r="E539" i="5"/>
  <c r="L538" i="5"/>
  <c r="E538" i="5"/>
  <c r="E534" i="5" s="1"/>
  <c r="L537" i="5"/>
  <c r="E537" i="5"/>
  <c r="J536" i="5"/>
  <c r="I536" i="5"/>
  <c r="H536" i="5"/>
  <c r="G536" i="5"/>
  <c r="F536" i="5"/>
  <c r="E536" i="5"/>
  <c r="L535" i="5"/>
  <c r="E535" i="5"/>
  <c r="J534" i="5"/>
  <c r="I534" i="5"/>
  <c r="H534" i="5"/>
  <c r="G534" i="5"/>
  <c r="L534" i="5" s="1"/>
  <c r="F534" i="5"/>
  <c r="L533" i="5"/>
  <c r="E533" i="5"/>
  <c r="E532" i="5" s="1"/>
  <c r="J532" i="5"/>
  <c r="I532" i="5"/>
  <c r="H532" i="5"/>
  <c r="G532" i="5"/>
  <c r="L532" i="5" s="1"/>
  <c r="F532" i="5"/>
  <c r="L531" i="5"/>
  <c r="E531" i="5"/>
  <c r="E529" i="5" s="1"/>
  <c r="L530" i="5"/>
  <c r="E530" i="5"/>
  <c r="J529" i="5"/>
  <c r="I529" i="5"/>
  <c r="H529" i="5"/>
  <c r="G529" i="5"/>
  <c r="L529" i="5" s="1"/>
  <c r="F529" i="5"/>
  <c r="L528" i="5"/>
  <c r="E528" i="5"/>
  <c r="E526" i="5" s="1"/>
  <c r="L527" i="5"/>
  <c r="E527" i="5"/>
  <c r="J526" i="5"/>
  <c r="I526" i="5"/>
  <c r="H526" i="5"/>
  <c r="G526" i="5"/>
  <c r="F526" i="5"/>
  <c r="L526" i="5" s="1"/>
  <c r="L525" i="5"/>
  <c r="E525" i="5"/>
  <c r="L524" i="5"/>
  <c r="E524" i="5"/>
  <c r="L523" i="5"/>
  <c r="E523" i="5"/>
  <c r="L522" i="5"/>
  <c r="E522" i="5"/>
  <c r="L521" i="5"/>
  <c r="E521" i="5"/>
  <c r="L520" i="5"/>
  <c r="E520" i="5"/>
  <c r="J519" i="5"/>
  <c r="I519" i="5"/>
  <c r="H519" i="5"/>
  <c r="G519" i="5"/>
  <c r="F519" i="5"/>
  <c r="E519" i="5"/>
  <c r="L518" i="5"/>
  <c r="E518" i="5"/>
  <c r="L517" i="5"/>
  <c r="E517" i="5"/>
  <c r="L516" i="5"/>
  <c r="E516" i="5"/>
  <c r="J515" i="5"/>
  <c r="I515" i="5"/>
  <c r="H515" i="5"/>
  <c r="G515" i="5"/>
  <c r="F515" i="5"/>
  <c r="E515" i="5"/>
  <c r="L514" i="5"/>
  <c r="E514" i="5"/>
  <c r="L513" i="5"/>
  <c r="E513" i="5"/>
  <c r="L512" i="5"/>
  <c r="E512" i="5"/>
  <c r="L511" i="5"/>
  <c r="E511" i="5"/>
  <c r="L510" i="5"/>
  <c r="E510" i="5"/>
  <c r="L509" i="5"/>
  <c r="E509" i="5"/>
  <c r="E508" i="5" s="1"/>
  <c r="J508" i="5"/>
  <c r="I508" i="5"/>
  <c r="H508" i="5"/>
  <c r="G508" i="5"/>
  <c r="L508" i="5" s="1"/>
  <c r="F508" i="5"/>
  <c r="L507" i="5"/>
  <c r="E507" i="5"/>
  <c r="L506" i="5"/>
  <c r="E506" i="5"/>
  <c r="E499" i="5" s="1"/>
  <c r="E492" i="5" s="1"/>
  <c r="L505" i="5"/>
  <c r="E505" i="5"/>
  <c r="L504" i="5"/>
  <c r="E504" i="5"/>
  <c r="L503" i="5"/>
  <c r="E503" i="5"/>
  <c r="L502" i="5"/>
  <c r="E502" i="5"/>
  <c r="E501" i="5" s="1"/>
  <c r="J501" i="5"/>
  <c r="I501" i="5"/>
  <c r="H501" i="5"/>
  <c r="G501" i="5"/>
  <c r="L501" i="5" s="1"/>
  <c r="F501" i="5"/>
  <c r="J500" i="5"/>
  <c r="J493" i="5" s="1"/>
  <c r="I500" i="5"/>
  <c r="I493" i="5" s="1"/>
  <c r="H500" i="5"/>
  <c r="G500" i="5"/>
  <c r="F500" i="5"/>
  <c r="F493" i="5" s="1"/>
  <c r="E500" i="5"/>
  <c r="E493" i="5" s="1"/>
  <c r="J499" i="5"/>
  <c r="J492" i="5" s="1"/>
  <c r="I499" i="5"/>
  <c r="I492" i="5" s="1"/>
  <c r="H499" i="5"/>
  <c r="H492" i="5" s="1"/>
  <c r="G499" i="5"/>
  <c r="F499" i="5"/>
  <c r="L499" i="5" s="1"/>
  <c r="J498" i="5"/>
  <c r="I498" i="5"/>
  <c r="H498" i="5"/>
  <c r="H491" i="5" s="1"/>
  <c r="H486" i="5" s="1"/>
  <c r="G498" i="5"/>
  <c r="G491" i="5" s="1"/>
  <c r="F498" i="5"/>
  <c r="E498" i="5"/>
  <c r="J497" i="5"/>
  <c r="J490" i="5" s="1"/>
  <c r="I497" i="5"/>
  <c r="H497" i="5"/>
  <c r="G497" i="5"/>
  <c r="G490" i="5" s="1"/>
  <c r="F497" i="5"/>
  <c r="F490" i="5" s="1"/>
  <c r="J496" i="5"/>
  <c r="J489" i="5" s="1"/>
  <c r="I496" i="5"/>
  <c r="I489" i="5" s="1"/>
  <c r="H496" i="5"/>
  <c r="G496" i="5"/>
  <c r="F496" i="5"/>
  <c r="F489" i="5" s="1"/>
  <c r="E496" i="5"/>
  <c r="E489" i="5" s="1"/>
  <c r="J495" i="5"/>
  <c r="I495" i="5"/>
  <c r="I488" i="5" s="1"/>
  <c r="H495" i="5"/>
  <c r="H488" i="5" s="1"/>
  <c r="G495" i="5"/>
  <c r="F495" i="5"/>
  <c r="H494" i="5"/>
  <c r="H493" i="5"/>
  <c r="G493" i="5"/>
  <c r="L493" i="5" s="1"/>
  <c r="G492" i="5"/>
  <c r="F492" i="5"/>
  <c r="J491" i="5"/>
  <c r="I491" i="5"/>
  <c r="F491" i="5"/>
  <c r="E491" i="5"/>
  <c r="I490" i="5"/>
  <c r="H490" i="5"/>
  <c r="L489" i="5"/>
  <c r="H489" i="5"/>
  <c r="G489" i="5"/>
  <c r="J488" i="5"/>
  <c r="G488" i="5"/>
  <c r="F488" i="5"/>
  <c r="L488" i="5" s="1"/>
  <c r="J487" i="5"/>
  <c r="I487" i="5"/>
  <c r="I486" i="5" s="1"/>
  <c r="H487" i="5"/>
  <c r="G487" i="5"/>
  <c r="F487" i="5"/>
  <c r="E487" i="5"/>
  <c r="L485" i="5"/>
  <c r="L484" i="5"/>
  <c r="L483" i="5"/>
  <c r="L482" i="5"/>
  <c r="L481" i="5"/>
  <c r="L480" i="5"/>
  <c r="L479" i="5"/>
  <c r="L478" i="5"/>
  <c r="L477" i="5"/>
  <c r="L476" i="5"/>
  <c r="L475" i="5"/>
  <c r="E475" i="5"/>
  <c r="E462" i="5" s="1"/>
  <c r="L474" i="5"/>
  <c r="E474" i="5"/>
  <c r="J473" i="5"/>
  <c r="I473" i="5"/>
  <c r="H473" i="5"/>
  <c r="G473" i="5"/>
  <c r="F473" i="5"/>
  <c r="L473" i="5" s="1"/>
  <c r="E473" i="5"/>
  <c r="J472" i="5"/>
  <c r="I472" i="5"/>
  <c r="H472" i="5"/>
  <c r="G472" i="5"/>
  <c r="F472" i="5"/>
  <c r="E472" i="5"/>
  <c r="J471" i="5"/>
  <c r="I471" i="5"/>
  <c r="H471" i="5"/>
  <c r="G471" i="5"/>
  <c r="L471" i="5" s="1"/>
  <c r="F471" i="5"/>
  <c r="E471" i="5"/>
  <c r="J470" i="5"/>
  <c r="I470" i="5"/>
  <c r="H470" i="5"/>
  <c r="G470" i="5"/>
  <c r="F470" i="5"/>
  <c r="L470" i="5" s="1"/>
  <c r="E470" i="5"/>
  <c r="J469" i="5"/>
  <c r="I469" i="5"/>
  <c r="H469" i="5"/>
  <c r="G469" i="5"/>
  <c r="F469" i="5"/>
  <c r="L469" i="5" s="1"/>
  <c r="E469" i="5"/>
  <c r="J468" i="5"/>
  <c r="I468" i="5"/>
  <c r="H468" i="5"/>
  <c r="H460" i="5" s="1"/>
  <c r="G468" i="5"/>
  <c r="F468" i="5"/>
  <c r="E468" i="5"/>
  <c r="J467" i="5"/>
  <c r="I467" i="5"/>
  <c r="H467" i="5"/>
  <c r="G467" i="5"/>
  <c r="L467" i="5" s="1"/>
  <c r="F467" i="5"/>
  <c r="E467" i="5"/>
  <c r="J466" i="5"/>
  <c r="I466" i="5"/>
  <c r="H466" i="5"/>
  <c r="G466" i="5"/>
  <c r="F466" i="5"/>
  <c r="L466" i="5" s="1"/>
  <c r="E466" i="5"/>
  <c r="J465" i="5"/>
  <c r="I465" i="5"/>
  <c r="H465" i="5"/>
  <c r="G465" i="5"/>
  <c r="F465" i="5"/>
  <c r="L465" i="5" s="1"/>
  <c r="E465" i="5"/>
  <c r="J464" i="5"/>
  <c r="I464" i="5"/>
  <c r="H464" i="5"/>
  <c r="G464" i="5"/>
  <c r="F464" i="5"/>
  <c r="E464" i="5"/>
  <c r="J463" i="5"/>
  <c r="I463" i="5"/>
  <c r="H463" i="5"/>
  <c r="G463" i="5"/>
  <c r="L463" i="5" s="1"/>
  <c r="F463" i="5"/>
  <c r="E463" i="5"/>
  <c r="J462" i="5"/>
  <c r="I462" i="5"/>
  <c r="H462" i="5"/>
  <c r="G462" i="5"/>
  <c r="F462" i="5"/>
  <c r="L462" i="5" s="1"/>
  <c r="J461" i="5"/>
  <c r="I461" i="5"/>
  <c r="I460" i="5" s="1"/>
  <c r="H461" i="5"/>
  <c r="G461" i="5"/>
  <c r="F461" i="5"/>
  <c r="E461" i="5"/>
  <c r="E460" i="5" s="1"/>
  <c r="L459" i="5"/>
  <c r="E459" i="5"/>
  <c r="L458" i="5"/>
  <c r="E458" i="5"/>
  <c r="L457" i="5"/>
  <c r="E457" i="5"/>
  <c r="L456" i="5"/>
  <c r="E456" i="5"/>
  <c r="L455" i="5"/>
  <c r="E455" i="5"/>
  <c r="L454" i="5"/>
  <c r="E454" i="5"/>
  <c r="L453" i="5"/>
  <c r="E453" i="5"/>
  <c r="J452" i="5"/>
  <c r="I452" i="5"/>
  <c r="H452" i="5"/>
  <c r="G452" i="5"/>
  <c r="F452" i="5"/>
  <c r="L452" i="5" s="1"/>
  <c r="E452" i="5"/>
  <c r="E451" i="5"/>
  <c r="L450" i="5"/>
  <c r="E450" i="5"/>
  <c r="L449" i="5"/>
  <c r="E449" i="5"/>
  <c r="E448" i="5" s="1"/>
  <c r="J448" i="5"/>
  <c r="I448" i="5"/>
  <c r="H448" i="5"/>
  <c r="G448" i="5"/>
  <c r="F448" i="5"/>
  <c r="L447" i="5"/>
  <c r="F447" i="5"/>
  <c r="E447" i="5"/>
  <c r="L446" i="5"/>
  <c r="F446" i="5"/>
  <c r="E446" i="5" s="1"/>
  <c r="E438" i="5" s="1"/>
  <c r="L445" i="5"/>
  <c r="F445" i="5"/>
  <c r="E445" i="5"/>
  <c r="F444" i="5"/>
  <c r="L444" i="5" s="1"/>
  <c r="E444" i="5"/>
  <c r="L443" i="5"/>
  <c r="F443" i="5"/>
  <c r="E443" i="5"/>
  <c r="L442" i="5"/>
  <c r="F442" i="5"/>
  <c r="E442" i="5" s="1"/>
  <c r="L441" i="5"/>
  <c r="F441" i="5"/>
  <c r="F440" i="5" s="1"/>
  <c r="L440" i="5" s="1"/>
  <c r="E441" i="5"/>
  <c r="E440" i="5" s="1"/>
  <c r="J440" i="5"/>
  <c r="I440" i="5"/>
  <c r="H440" i="5"/>
  <c r="G440" i="5"/>
  <c r="J439" i="5"/>
  <c r="I439" i="5"/>
  <c r="H439" i="5"/>
  <c r="G439" i="5"/>
  <c r="L439" i="5" s="1"/>
  <c r="F439" i="5"/>
  <c r="E439" i="5"/>
  <c r="J438" i="5"/>
  <c r="I438" i="5"/>
  <c r="H438" i="5"/>
  <c r="G438" i="5"/>
  <c r="L438" i="5" s="1"/>
  <c r="F438" i="5"/>
  <c r="J437" i="5"/>
  <c r="I437" i="5"/>
  <c r="H437" i="5"/>
  <c r="G437" i="5"/>
  <c r="L437" i="5" s="1"/>
  <c r="F437" i="5"/>
  <c r="E437" i="5"/>
  <c r="J436" i="5"/>
  <c r="I436" i="5"/>
  <c r="H436" i="5"/>
  <c r="G436" i="5"/>
  <c r="F436" i="5"/>
  <c r="E436" i="5"/>
  <c r="J435" i="5"/>
  <c r="I435" i="5"/>
  <c r="H435" i="5"/>
  <c r="H432" i="5" s="1"/>
  <c r="G435" i="5"/>
  <c r="L435" i="5" s="1"/>
  <c r="F435" i="5"/>
  <c r="E435" i="5"/>
  <c r="J434" i="5"/>
  <c r="I434" i="5"/>
  <c r="H434" i="5"/>
  <c r="G434" i="5"/>
  <c r="L434" i="5" s="1"/>
  <c r="F434" i="5"/>
  <c r="J433" i="5"/>
  <c r="J432" i="5" s="1"/>
  <c r="I433" i="5"/>
  <c r="I432" i="5" s="1"/>
  <c r="H433" i="5"/>
  <c r="G433" i="5"/>
  <c r="F433" i="5"/>
  <c r="E433" i="5"/>
  <c r="F432" i="5"/>
  <c r="E431" i="5"/>
  <c r="J430" i="5"/>
  <c r="I430" i="5"/>
  <c r="H430" i="5"/>
  <c r="G430" i="5"/>
  <c r="F430" i="5"/>
  <c r="E430" i="5"/>
  <c r="L429" i="5"/>
  <c r="E429" i="5"/>
  <c r="L428" i="5"/>
  <c r="E428" i="5"/>
  <c r="E427" i="5" s="1"/>
  <c r="J427" i="5"/>
  <c r="I427" i="5"/>
  <c r="H427" i="5"/>
  <c r="G427" i="5"/>
  <c r="F427" i="5"/>
  <c r="L427" i="5" s="1"/>
  <c r="E426" i="5"/>
  <c r="E425" i="5"/>
  <c r="E424" i="5" s="1"/>
  <c r="J424" i="5"/>
  <c r="I424" i="5"/>
  <c r="H424" i="5"/>
  <c r="G424" i="5"/>
  <c r="L424" i="5" s="1"/>
  <c r="F424" i="5"/>
  <c r="L423" i="5"/>
  <c r="E423" i="5"/>
  <c r="J422" i="5"/>
  <c r="I422" i="5"/>
  <c r="H422" i="5"/>
  <c r="G422" i="5"/>
  <c r="F422" i="5"/>
  <c r="E422" i="5"/>
  <c r="L421" i="5"/>
  <c r="E421" i="5"/>
  <c r="J420" i="5"/>
  <c r="I420" i="5"/>
  <c r="H420" i="5"/>
  <c r="G420" i="5"/>
  <c r="L420" i="5" s="1"/>
  <c r="F420" i="5"/>
  <c r="E420" i="5"/>
  <c r="E419" i="5"/>
  <c r="J418" i="5"/>
  <c r="I418" i="5"/>
  <c r="H418" i="5"/>
  <c r="G418" i="5"/>
  <c r="F418" i="5"/>
  <c r="E418" i="5"/>
  <c r="L417" i="5"/>
  <c r="E417" i="5"/>
  <c r="J416" i="5"/>
  <c r="I416" i="5"/>
  <c r="H416" i="5"/>
  <c r="G416" i="5"/>
  <c r="L416" i="5" s="1"/>
  <c r="F416" i="5"/>
  <c r="E416" i="5"/>
  <c r="L415" i="5"/>
  <c r="E415" i="5"/>
  <c r="E414" i="5" s="1"/>
  <c r="J414" i="5"/>
  <c r="I414" i="5"/>
  <c r="H414" i="5"/>
  <c r="G414" i="5"/>
  <c r="F414" i="5"/>
  <c r="L414" i="5" s="1"/>
  <c r="L413" i="5"/>
  <c r="E413" i="5"/>
  <c r="J412" i="5"/>
  <c r="I412" i="5"/>
  <c r="H412" i="5"/>
  <c r="G412" i="5"/>
  <c r="L412" i="5" s="1"/>
  <c r="F412" i="5"/>
  <c r="E412" i="5"/>
  <c r="L411" i="5"/>
  <c r="E411" i="5"/>
  <c r="E410" i="5" s="1"/>
  <c r="J410" i="5"/>
  <c r="I410" i="5"/>
  <c r="H410" i="5"/>
  <c r="G410" i="5"/>
  <c r="F410" i="5"/>
  <c r="L410" i="5" s="1"/>
  <c r="L409" i="5"/>
  <c r="E409" i="5"/>
  <c r="L408" i="5"/>
  <c r="E408" i="5"/>
  <c r="L407" i="5"/>
  <c r="E407" i="5"/>
  <c r="J406" i="5"/>
  <c r="I406" i="5"/>
  <c r="H406" i="5"/>
  <c r="G406" i="5"/>
  <c r="L406" i="5" s="1"/>
  <c r="F406" i="5"/>
  <c r="E406" i="5"/>
  <c r="L405" i="5"/>
  <c r="E405" i="5"/>
  <c r="E404" i="5" s="1"/>
  <c r="J404" i="5"/>
  <c r="I404" i="5"/>
  <c r="H404" i="5"/>
  <c r="G404" i="5"/>
  <c r="F404" i="5"/>
  <c r="L404" i="5" s="1"/>
  <c r="L403" i="5"/>
  <c r="E403" i="5"/>
  <c r="J402" i="5"/>
  <c r="I402" i="5"/>
  <c r="H402" i="5"/>
  <c r="G402" i="5"/>
  <c r="L402" i="5" s="1"/>
  <c r="F402" i="5"/>
  <c r="E402" i="5"/>
  <c r="L401" i="5"/>
  <c r="E401" i="5"/>
  <c r="E400" i="5" s="1"/>
  <c r="J400" i="5"/>
  <c r="I400" i="5"/>
  <c r="H400" i="5"/>
  <c r="G400" i="5"/>
  <c r="F400" i="5"/>
  <c r="L400" i="5" s="1"/>
  <c r="J399" i="5"/>
  <c r="I399" i="5"/>
  <c r="H399" i="5"/>
  <c r="G399" i="5"/>
  <c r="L399" i="5" s="1"/>
  <c r="F399" i="5"/>
  <c r="E399" i="5"/>
  <c r="J398" i="5"/>
  <c r="I398" i="5"/>
  <c r="H398" i="5"/>
  <c r="G398" i="5"/>
  <c r="F398" i="5"/>
  <c r="L398" i="5" s="1"/>
  <c r="J397" i="5"/>
  <c r="I397" i="5"/>
  <c r="H397" i="5"/>
  <c r="G397" i="5"/>
  <c r="L397" i="5" s="1"/>
  <c r="F397" i="5"/>
  <c r="E397" i="5"/>
  <c r="J396" i="5"/>
  <c r="I396" i="5"/>
  <c r="H396" i="5"/>
  <c r="G396" i="5"/>
  <c r="F396" i="5"/>
  <c r="L396" i="5" s="1"/>
  <c r="J395" i="5"/>
  <c r="I395" i="5"/>
  <c r="H395" i="5"/>
  <c r="G395" i="5"/>
  <c r="L395" i="5" s="1"/>
  <c r="F395" i="5"/>
  <c r="E395" i="5"/>
  <c r="J394" i="5"/>
  <c r="I394" i="5"/>
  <c r="H394" i="5"/>
  <c r="G394" i="5"/>
  <c r="F394" i="5"/>
  <c r="L394" i="5" s="1"/>
  <c r="J393" i="5"/>
  <c r="I393" i="5"/>
  <c r="H393" i="5"/>
  <c r="G393" i="5"/>
  <c r="L393" i="5" s="1"/>
  <c r="F393" i="5"/>
  <c r="E393" i="5"/>
  <c r="K392" i="5"/>
  <c r="J392" i="5"/>
  <c r="I392" i="5"/>
  <c r="I390" i="5" s="1"/>
  <c r="H392" i="5"/>
  <c r="G392" i="5"/>
  <c r="F392" i="5"/>
  <c r="L392" i="5" s="1"/>
  <c r="E392" i="5"/>
  <c r="J391" i="5"/>
  <c r="J390" i="5" s="1"/>
  <c r="I391" i="5"/>
  <c r="H391" i="5"/>
  <c r="H390" i="5" s="1"/>
  <c r="G391" i="5"/>
  <c r="F391" i="5"/>
  <c r="L391" i="5" s="1"/>
  <c r="E391" i="5"/>
  <c r="G390" i="5"/>
  <c r="L389" i="5"/>
  <c r="L388" i="5"/>
  <c r="E388" i="5"/>
  <c r="J387" i="5"/>
  <c r="I387" i="5"/>
  <c r="H387" i="5"/>
  <c r="G387" i="5"/>
  <c r="L387" i="5" s="1"/>
  <c r="F387" i="5"/>
  <c r="E387" i="5"/>
  <c r="E386" i="5"/>
  <c r="J385" i="5"/>
  <c r="I385" i="5"/>
  <c r="H385" i="5"/>
  <c r="G385" i="5"/>
  <c r="F385" i="5"/>
  <c r="E385" i="5"/>
  <c r="E384" i="5"/>
  <c r="E383" i="5" s="1"/>
  <c r="J383" i="5"/>
  <c r="I383" i="5"/>
  <c r="H383" i="5"/>
  <c r="G383" i="5"/>
  <c r="F383" i="5"/>
  <c r="L382" i="5"/>
  <c r="E382" i="5"/>
  <c r="E381" i="5" s="1"/>
  <c r="J381" i="5"/>
  <c r="I381" i="5"/>
  <c r="H381" i="5"/>
  <c r="G381" i="5"/>
  <c r="F381" i="5"/>
  <c r="L381" i="5" s="1"/>
  <c r="E380" i="5"/>
  <c r="L379" i="5"/>
  <c r="E379" i="5"/>
  <c r="E377" i="5" s="1"/>
  <c r="J377" i="5"/>
  <c r="I377" i="5"/>
  <c r="H377" i="5"/>
  <c r="G377" i="5"/>
  <c r="F377" i="5"/>
  <c r="L377" i="5" s="1"/>
  <c r="L376" i="5"/>
  <c r="E376" i="5"/>
  <c r="J375" i="5"/>
  <c r="I375" i="5"/>
  <c r="H375" i="5"/>
  <c r="G375" i="5"/>
  <c r="L375" i="5" s="1"/>
  <c r="F375" i="5"/>
  <c r="E375" i="5"/>
  <c r="L374" i="5"/>
  <c r="E374" i="5"/>
  <c r="L373" i="5"/>
  <c r="E373" i="5"/>
  <c r="E372" i="5" s="1"/>
  <c r="J372" i="5"/>
  <c r="I372" i="5"/>
  <c r="H372" i="5"/>
  <c r="G372" i="5"/>
  <c r="F372" i="5"/>
  <c r="L372" i="5" s="1"/>
  <c r="L371" i="5"/>
  <c r="E371" i="5"/>
  <c r="J370" i="5"/>
  <c r="I370" i="5"/>
  <c r="H370" i="5"/>
  <c r="G370" i="5"/>
  <c r="L370" i="5" s="1"/>
  <c r="F370" i="5"/>
  <c r="E370" i="5"/>
  <c r="L369" i="5"/>
  <c r="L368" i="5" s="1"/>
  <c r="E369" i="5"/>
  <c r="E368" i="5" s="1"/>
  <c r="J368" i="5"/>
  <c r="I368" i="5"/>
  <c r="H368" i="5"/>
  <c r="G368" i="5"/>
  <c r="F368" i="5"/>
  <c r="L367" i="5"/>
  <c r="E367" i="5"/>
  <c r="J366" i="5"/>
  <c r="I366" i="5"/>
  <c r="H366" i="5"/>
  <c r="G366" i="5"/>
  <c r="L366" i="5" s="1"/>
  <c r="F366" i="5"/>
  <c r="E366" i="5"/>
  <c r="L365" i="5"/>
  <c r="E365" i="5"/>
  <c r="L364" i="5"/>
  <c r="E364" i="5"/>
  <c r="E362" i="5" s="1"/>
  <c r="L363" i="5"/>
  <c r="E363" i="5"/>
  <c r="J362" i="5"/>
  <c r="I362" i="5"/>
  <c r="H362" i="5"/>
  <c r="G362" i="5"/>
  <c r="F362" i="5"/>
  <c r="L362" i="5" s="1"/>
  <c r="L361" i="5"/>
  <c r="E361" i="5"/>
  <c r="J360" i="5"/>
  <c r="I360" i="5"/>
  <c r="H360" i="5"/>
  <c r="G360" i="5"/>
  <c r="L360" i="5" s="1"/>
  <c r="L300" i="5" s="1"/>
  <c r="F360" i="5"/>
  <c r="E360" i="5"/>
  <c r="L359" i="5"/>
  <c r="E359" i="5"/>
  <c r="E358" i="5" s="1"/>
  <c r="J358" i="5"/>
  <c r="I358" i="5"/>
  <c r="H358" i="5"/>
  <c r="G358" i="5"/>
  <c r="F358" i="5"/>
  <c r="L358" i="5" s="1"/>
  <c r="L357" i="5"/>
  <c r="E357" i="5"/>
  <c r="J356" i="5"/>
  <c r="I356" i="5"/>
  <c r="H356" i="5"/>
  <c r="G356" i="5"/>
  <c r="L356" i="5" s="1"/>
  <c r="F356" i="5"/>
  <c r="E356" i="5"/>
  <c r="L355" i="5"/>
  <c r="E355" i="5"/>
  <c r="E311" i="5" s="1"/>
  <c r="L354" i="5"/>
  <c r="E354" i="5"/>
  <c r="L353" i="5"/>
  <c r="E353" i="5"/>
  <c r="E309" i="5" s="1"/>
  <c r="L352" i="5"/>
  <c r="E352" i="5"/>
  <c r="L351" i="5"/>
  <c r="E351" i="5"/>
  <c r="L350" i="5"/>
  <c r="E350" i="5"/>
  <c r="L349" i="5"/>
  <c r="E349" i="5"/>
  <c r="L348" i="5"/>
  <c r="E348" i="5"/>
  <c r="J347" i="5"/>
  <c r="J344" i="5" s="1"/>
  <c r="I347" i="5"/>
  <c r="G347" i="5"/>
  <c r="L347" i="5" s="1"/>
  <c r="L346" i="5"/>
  <c r="E346" i="5"/>
  <c r="L345" i="5"/>
  <c r="E345" i="5"/>
  <c r="I344" i="5"/>
  <c r="H344" i="5"/>
  <c r="F344" i="5"/>
  <c r="L343" i="5"/>
  <c r="E343" i="5"/>
  <c r="L342" i="5"/>
  <c r="E342" i="5"/>
  <c r="L341" i="5"/>
  <c r="E341" i="5"/>
  <c r="L340" i="5"/>
  <c r="E340" i="5"/>
  <c r="E338" i="5" s="1"/>
  <c r="L339" i="5"/>
  <c r="E339" i="5"/>
  <c r="J338" i="5"/>
  <c r="I338" i="5"/>
  <c r="H338" i="5"/>
  <c r="G338" i="5"/>
  <c r="F338" i="5"/>
  <c r="L338" i="5" s="1"/>
  <c r="J337" i="5"/>
  <c r="I337" i="5"/>
  <c r="I301" i="5" s="1"/>
  <c r="H337" i="5"/>
  <c r="G337" i="5"/>
  <c r="L337" i="5" s="1"/>
  <c r="L336" i="5"/>
  <c r="F336" i="5"/>
  <c r="E336" i="5"/>
  <c r="L335" i="5"/>
  <c r="L334" i="5"/>
  <c r="J333" i="5"/>
  <c r="I333" i="5"/>
  <c r="H333" i="5"/>
  <c r="G333" i="5"/>
  <c r="F333" i="5"/>
  <c r="L333" i="5" s="1"/>
  <c r="E333" i="5"/>
  <c r="L332" i="5"/>
  <c r="E332" i="5"/>
  <c r="L330" i="5"/>
  <c r="E330" i="5"/>
  <c r="J329" i="5"/>
  <c r="I329" i="5"/>
  <c r="H329" i="5"/>
  <c r="G329" i="5"/>
  <c r="L329" i="5" s="1"/>
  <c r="F329" i="5"/>
  <c r="E329" i="5"/>
  <c r="L328" i="5"/>
  <c r="E328" i="5"/>
  <c r="E327" i="5" s="1"/>
  <c r="J327" i="5"/>
  <c r="I327" i="5"/>
  <c r="H327" i="5"/>
  <c r="G327" i="5"/>
  <c r="F327" i="5"/>
  <c r="L327" i="5" s="1"/>
  <c r="L326" i="5"/>
  <c r="E326" i="5"/>
  <c r="J325" i="5"/>
  <c r="I325" i="5"/>
  <c r="H325" i="5"/>
  <c r="G325" i="5"/>
  <c r="L325" i="5" s="1"/>
  <c r="F325" i="5"/>
  <c r="E325" i="5"/>
  <c r="L324" i="5"/>
  <c r="E324" i="5"/>
  <c r="E323" i="5" s="1"/>
  <c r="J323" i="5"/>
  <c r="I323" i="5"/>
  <c r="H323" i="5"/>
  <c r="G323" i="5"/>
  <c r="F323" i="5"/>
  <c r="L323" i="5" s="1"/>
  <c r="L322" i="5"/>
  <c r="E322" i="5"/>
  <c r="L321" i="5"/>
  <c r="E321" i="5"/>
  <c r="J320" i="5"/>
  <c r="I320" i="5"/>
  <c r="H320" i="5"/>
  <c r="G320" i="5"/>
  <c r="L320" i="5" s="1"/>
  <c r="F320" i="5"/>
  <c r="E320" i="5"/>
  <c r="L319" i="5"/>
  <c r="E319" i="5"/>
  <c r="E318" i="5" s="1"/>
  <c r="J318" i="5"/>
  <c r="I318" i="5"/>
  <c r="H318" i="5"/>
  <c r="G318" i="5"/>
  <c r="F318" i="5"/>
  <c r="L318" i="5" s="1"/>
  <c r="L317" i="5"/>
  <c r="E317" i="5"/>
  <c r="J316" i="5"/>
  <c r="I316" i="5"/>
  <c r="H316" i="5"/>
  <c r="G316" i="5"/>
  <c r="L316" i="5" s="1"/>
  <c r="F316" i="5"/>
  <c r="E316" i="5"/>
  <c r="L315" i="5"/>
  <c r="E315" i="5"/>
  <c r="E314" i="5" s="1"/>
  <c r="J314" i="5"/>
  <c r="I314" i="5"/>
  <c r="H314" i="5"/>
  <c r="G314" i="5"/>
  <c r="F314" i="5"/>
  <c r="L314" i="5" s="1"/>
  <c r="L313" i="5"/>
  <c r="E313" i="5"/>
  <c r="J312" i="5"/>
  <c r="I312" i="5"/>
  <c r="H312" i="5"/>
  <c r="G312" i="5"/>
  <c r="L312" i="5" s="1"/>
  <c r="F312" i="5"/>
  <c r="E312" i="5"/>
  <c r="J311" i="5"/>
  <c r="I311" i="5"/>
  <c r="H311" i="5"/>
  <c r="G311" i="5"/>
  <c r="F311" i="5"/>
  <c r="L311" i="5" s="1"/>
  <c r="J310" i="5"/>
  <c r="I310" i="5"/>
  <c r="H310" i="5"/>
  <c r="G310" i="5"/>
  <c r="L310" i="5" s="1"/>
  <c r="F310" i="5"/>
  <c r="E310" i="5"/>
  <c r="J309" i="5"/>
  <c r="I309" i="5"/>
  <c r="H309" i="5"/>
  <c r="G309" i="5"/>
  <c r="F309" i="5"/>
  <c r="L309" i="5" s="1"/>
  <c r="J308" i="5"/>
  <c r="I308" i="5"/>
  <c r="H308" i="5"/>
  <c r="G308" i="5"/>
  <c r="L308" i="5" s="1"/>
  <c r="F308" i="5"/>
  <c r="E308" i="5"/>
  <c r="J307" i="5"/>
  <c r="I307" i="5"/>
  <c r="H307" i="5"/>
  <c r="G307" i="5"/>
  <c r="F307" i="5"/>
  <c r="L307" i="5" s="1"/>
  <c r="J306" i="5"/>
  <c r="I306" i="5"/>
  <c r="H306" i="5"/>
  <c r="G306" i="5"/>
  <c r="L306" i="5" s="1"/>
  <c r="F306" i="5"/>
  <c r="E306" i="5"/>
  <c r="J305" i="5"/>
  <c r="I305" i="5"/>
  <c r="H305" i="5"/>
  <c r="G305" i="5"/>
  <c r="F305" i="5"/>
  <c r="L305" i="5" s="1"/>
  <c r="J304" i="5"/>
  <c r="I304" i="5"/>
  <c r="H304" i="5"/>
  <c r="G304" i="5"/>
  <c r="L304" i="5" s="1"/>
  <c r="F304" i="5"/>
  <c r="E304" i="5"/>
  <c r="J303" i="5"/>
  <c r="I303" i="5"/>
  <c r="H303" i="5"/>
  <c r="F303" i="5"/>
  <c r="J302" i="5"/>
  <c r="I302" i="5"/>
  <c r="H302" i="5"/>
  <c r="G302" i="5"/>
  <c r="L302" i="5" s="1"/>
  <c r="F302" i="5"/>
  <c r="E302" i="5"/>
  <c r="J301" i="5"/>
  <c r="H301" i="5"/>
  <c r="H299" i="5" s="1"/>
  <c r="F301" i="5"/>
  <c r="J300" i="5"/>
  <c r="I300" i="5"/>
  <c r="I299" i="5" s="1"/>
  <c r="H300" i="5"/>
  <c r="G300" i="5"/>
  <c r="F300" i="5"/>
  <c r="E300" i="5"/>
  <c r="J299" i="5"/>
  <c r="F299" i="5"/>
  <c r="L298" i="5"/>
  <c r="E298" i="5"/>
  <c r="L297" i="5"/>
  <c r="E297" i="5"/>
  <c r="L296" i="5"/>
  <c r="E296" i="5"/>
  <c r="L295" i="5"/>
  <c r="E295" i="5"/>
  <c r="L294" i="5"/>
  <c r="E294" i="5"/>
  <c r="L293" i="5"/>
  <c r="E293" i="5"/>
  <c r="L292" i="5"/>
  <c r="E292" i="5"/>
  <c r="J291" i="5"/>
  <c r="I291" i="5"/>
  <c r="H291" i="5"/>
  <c r="G291" i="5"/>
  <c r="L291" i="5" s="1"/>
  <c r="F291" i="5"/>
  <c r="E291" i="5"/>
  <c r="E290" i="5"/>
  <c r="E289" i="5"/>
  <c r="E284" i="5" s="1"/>
  <c r="L288" i="5"/>
  <c r="E288" i="5"/>
  <c r="L287" i="5"/>
  <c r="E287" i="5"/>
  <c r="L286" i="5"/>
  <c r="E286" i="5"/>
  <c r="L285" i="5"/>
  <c r="E285" i="5"/>
  <c r="E277" i="5" s="1"/>
  <c r="E276" i="5" s="1"/>
  <c r="J284" i="5"/>
  <c r="I284" i="5"/>
  <c r="H284" i="5"/>
  <c r="G284" i="5"/>
  <c r="F284" i="5"/>
  <c r="J283" i="5"/>
  <c r="I283" i="5"/>
  <c r="H283" i="5"/>
  <c r="G283" i="5"/>
  <c r="F283" i="5"/>
  <c r="L283" i="5" s="1"/>
  <c r="E283" i="5"/>
  <c r="J282" i="5"/>
  <c r="I282" i="5"/>
  <c r="H282" i="5"/>
  <c r="G282" i="5"/>
  <c r="L282" i="5" s="1"/>
  <c r="F282" i="5"/>
  <c r="E282" i="5"/>
  <c r="J281" i="5"/>
  <c r="I281" i="5"/>
  <c r="H281" i="5"/>
  <c r="G281" i="5"/>
  <c r="F281" i="5"/>
  <c r="L281" i="5" s="1"/>
  <c r="E281" i="5"/>
  <c r="J280" i="5"/>
  <c r="I280" i="5"/>
  <c r="H280" i="5"/>
  <c r="G280" i="5"/>
  <c r="L280" i="5" s="1"/>
  <c r="F280" i="5"/>
  <c r="E280" i="5"/>
  <c r="J279" i="5"/>
  <c r="I279" i="5"/>
  <c r="H279" i="5"/>
  <c r="G279" i="5"/>
  <c r="F279" i="5"/>
  <c r="L279" i="5" s="1"/>
  <c r="E279" i="5"/>
  <c r="J278" i="5"/>
  <c r="I278" i="5"/>
  <c r="I276" i="5" s="1"/>
  <c r="H278" i="5"/>
  <c r="G278" i="5"/>
  <c r="L278" i="5" s="1"/>
  <c r="F278" i="5"/>
  <c r="E278" i="5"/>
  <c r="J277" i="5"/>
  <c r="J276" i="5" s="1"/>
  <c r="I277" i="5"/>
  <c r="H277" i="5"/>
  <c r="H276" i="5" s="1"/>
  <c r="G277" i="5"/>
  <c r="F277" i="5"/>
  <c r="L277" i="5" s="1"/>
  <c r="G276" i="5"/>
  <c r="L275" i="5"/>
  <c r="E275" i="5"/>
  <c r="L274" i="5"/>
  <c r="E274" i="5"/>
  <c r="L273" i="5"/>
  <c r="L272" i="5"/>
  <c r="E272" i="5"/>
  <c r="J271" i="5"/>
  <c r="I271" i="5"/>
  <c r="H271" i="5"/>
  <c r="G271" i="5"/>
  <c r="L271" i="5" s="1"/>
  <c r="F271" i="5"/>
  <c r="E271" i="5"/>
  <c r="L270" i="5"/>
  <c r="E270" i="5"/>
  <c r="L269" i="5"/>
  <c r="E269" i="5"/>
  <c r="E268" i="5" s="1"/>
  <c r="I268" i="5"/>
  <c r="H268" i="5"/>
  <c r="G268" i="5"/>
  <c r="F268" i="5"/>
  <c r="L268" i="5" s="1"/>
  <c r="L267" i="5"/>
  <c r="E267" i="5"/>
  <c r="E266" i="5" s="1"/>
  <c r="J266" i="5"/>
  <c r="I266" i="5"/>
  <c r="H266" i="5"/>
  <c r="G266" i="5"/>
  <c r="F266" i="5"/>
  <c r="L266" i="5" s="1"/>
  <c r="L265" i="5"/>
  <c r="E265" i="5"/>
  <c r="I264" i="5"/>
  <c r="H264" i="5"/>
  <c r="G264" i="5"/>
  <c r="F264" i="5"/>
  <c r="L264" i="5" s="1"/>
  <c r="E264" i="5"/>
  <c r="L263" i="5"/>
  <c r="E263" i="5"/>
  <c r="I262" i="5"/>
  <c r="H262" i="5"/>
  <c r="G262" i="5"/>
  <c r="F262" i="5"/>
  <c r="L262" i="5" s="1"/>
  <c r="E262" i="5"/>
  <c r="L261" i="5"/>
  <c r="E261" i="5"/>
  <c r="J260" i="5"/>
  <c r="I260" i="5"/>
  <c r="H260" i="5"/>
  <c r="G260" i="5"/>
  <c r="L260" i="5" s="1"/>
  <c r="F260" i="5"/>
  <c r="E260" i="5"/>
  <c r="L259" i="5"/>
  <c r="E259" i="5"/>
  <c r="E258" i="5" s="1"/>
  <c r="J258" i="5"/>
  <c r="I258" i="5"/>
  <c r="H258" i="5"/>
  <c r="G258" i="5"/>
  <c r="F258" i="5"/>
  <c r="L258" i="5" s="1"/>
  <c r="L257" i="5"/>
  <c r="E257" i="5"/>
  <c r="J256" i="5"/>
  <c r="I256" i="5"/>
  <c r="H256" i="5"/>
  <c r="G256" i="5"/>
  <c r="L256" i="5" s="1"/>
  <c r="F256" i="5"/>
  <c r="E256" i="5"/>
  <c r="L255" i="5"/>
  <c r="E255" i="5"/>
  <c r="E254" i="5" s="1"/>
  <c r="J254" i="5"/>
  <c r="I254" i="5"/>
  <c r="H254" i="5"/>
  <c r="G254" i="5"/>
  <c r="F254" i="5"/>
  <c r="L254" i="5" s="1"/>
  <c r="L253" i="5"/>
  <c r="E253" i="5"/>
  <c r="J252" i="5"/>
  <c r="I252" i="5"/>
  <c r="H252" i="5"/>
  <c r="G252" i="5"/>
  <c r="L252" i="5" s="1"/>
  <c r="F252" i="5"/>
  <c r="E252" i="5"/>
  <c r="L251" i="5"/>
  <c r="E251" i="5"/>
  <c r="E250" i="5" s="1"/>
  <c r="J250" i="5"/>
  <c r="I250" i="5"/>
  <c r="H250" i="5"/>
  <c r="G250" i="5"/>
  <c r="F250" i="5"/>
  <c r="L250" i="5" s="1"/>
  <c r="L249" i="5"/>
  <c r="E249" i="5"/>
  <c r="J248" i="5"/>
  <c r="I248" i="5"/>
  <c r="H248" i="5"/>
  <c r="G248" i="5"/>
  <c r="L248" i="5" s="1"/>
  <c r="F248" i="5"/>
  <c r="E248" i="5"/>
  <c r="L247" i="5"/>
  <c r="E247" i="5"/>
  <c r="E246" i="5" s="1"/>
  <c r="J246" i="5"/>
  <c r="I246" i="5"/>
  <c r="H246" i="5"/>
  <c r="G246" i="5"/>
  <c r="F246" i="5"/>
  <c r="L246" i="5" s="1"/>
  <c r="L245" i="5"/>
  <c r="E245" i="5"/>
  <c r="J244" i="5"/>
  <c r="I244" i="5"/>
  <c r="H244" i="5"/>
  <c r="G244" i="5"/>
  <c r="L244" i="5" s="1"/>
  <c r="F244" i="5"/>
  <c r="E244" i="5"/>
  <c r="L243" i="5"/>
  <c r="E243" i="5"/>
  <c r="E242" i="5" s="1"/>
  <c r="J242" i="5"/>
  <c r="I242" i="5"/>
  <c r="H242" i="5"/>
  <c r="G242" i="5"/>
  <c r="F242" i="5"/>
  <c r="L242" i="5" s="1"/>
  <c r="L241" i="5"/>
  <c r="E241" i="5"/>
  <c r="L240" i="5"/>
  <c r="E240" i="5"/>
  <c r="L239" i="5"/>
  <c r="E239" i="5"/>
  <c r="J238" i="5"/>
  <c r="I238" i="5"/>
  <c r="H238" i="5"/>
  <c r="G238" i="5"/>
  <c r="L238" i="5" s="1"/>
  <c r="F238" i="5"/>
  <c r="E238" i="5"/>
  <c r="L237" i="5"/>
  <c r="E237" i="5"/>
  <c r="L236" i="5"/>
  <c r="E236" i="5"/>
  <c r="L235" i="5"/>
  <c r="E235" i="5"/>
  <c r="E234" i="5" s="1"/>
  <c r="J234" i="5"/>
  <c r="I234" i="5"/>
  <c r="H234" i="5"/>
  <c r="G234" i="5"/>
  <c r="F234" i="5"/>
  <c r="L234" i="5" s="1"/>
  <c r="L233" i="5"/>
  <c r="E233" i="5"/>
  <c r="L232" i="5"/>
  <c r="E232" i="5"/>
  <c r="J231" i="5"/>
  <c r="I231" i="5"/>
  <c r="H231" i="5"/>
  <c r="G231" i="5"/>
  <c r="L231" i="5" s="1"/>
  <c r="F231" i="5"/>
  <c r="E231" i="5"/>
  <c r="L230" i="5"/>
  <c r="E230" i="5"/>
  <c r="E229" i="5" s="1"/>
  <c r="J229" i="5"/>
  <c r="I229" i="5"/>
  <c r="H229" i="5"/>
  <c r="G229" i="5"/>
  <c r="F229" i="5"/>
  <c r="L229" i="5" s="1"/>
  <c r="L228" i="5"/>
  <c r="E228" i="5"/>
  <c r="L227" i="5"/>
  <c r="E227" i="5"/>
  <c r="J226" i="5"/>
  <c r="I226" i="5"/>
  <c r="H226" i="5"/>
  <c r="G226" i="5"/>
  <c r="L226" i="5" s="1"/>
  <c r="F226" i="5"/>
  <c r="E226" i="5"/>
  <c r="L225" i="5"/>
  <c r="E225" i="5"/>
  <c r="E223" i="5" s="1"/>
  <c r="L224" i="5"/>
  <c r="E224" i="5"/>
  <c r="J223" i="5"/>
  <c r="I223" i="5"/>
  <c r="H223" i="5"/>
  <c r="G223" i="5"/>
  <c r="F223" i="5"/>
  <c r="L223" i="5" s="1"/>
  <c r="L222" i="5"/>
  <c r="E222" i="5"/>
  <c r="L221" i="5"/>
  <c r="E221" i="5"/>
  <c r="J220" i="5"/>
  <c r="I220" i="5"/>
  <c r="H220" i="5"/>
  <c r="G220" i="5"/>
  <c r="L220" i="5" s="1"/>
  <c r="F220" i="5"/>
  <c r="E220" i="5"/>
  <c r="L219" i="5"/>
  <c r="E219" i="5"/>
  <c r="L218" i="5"/>
  <c r="E218" i="5"/>
  <c r="E217" i="5" s="1"/>
  <c r="J217" i="5"/>
  <c r="I217" i="5"/>
  <c r="H217" i="5"/>
  <c r="G217" i="5"/>
  <c r="F217" i="5"/>
  <c r="L217" i="5" s="1"/>
  <c r="L216" i="5"/>
  <c r="E216" i="5"/>
  <c r="L215" i="5"/>
  <c r="E215" i="5"/>
  <c r="J214" i="5"/>
  <c r="I214" i="5"/>
  <c r="H214" i="5"/>
  <c r="G214" i="5"/>
  <c r="L214" i="5" s="1"/>
  <c r="F214" i="5"/>
  <c r="E214" i="5"/>
  <c r="L213" i="5"/>
  <c r="E213" i="5"/>
  <c r="L212" i="5"/>
  <c r="E212" i="5"/>
  <c r="E211" i="5" s="1"/>
  <c r="H211" i="5"/>
  <c r="G211" i="5"/>
  <c r="F211" i="5"/>
  <c r="L211" i="5" s="1"/>
  <c r="L210" i="5"/>
  <c r="E210" i="5"/>
  <c r="L209" i="5"/>
  <c r="E209" i="5"/>
  <c r="J208" i="5"/>
  <c r="I208" i="5"/>
  <c r="H208" i="5"/>
  <c r="G208" i="5"/>
  <c r="L208" i="5" s="1"/>
  <c r="F208" i="5"/>
  <c r="E208" i="5"/>
  <c r="L207" i="5"/>
  <c r="E207" i="5"/>
  <c r="L206" i="5"/>
  <c r="E206" i="5"/>
  <c r="E205" i="5" s="1"/>
  <c r="J205" i="5"/>
  <c r="I205" i="5"/>
  <c r="H205" i="5"/>
  <c r="G205" i="5"/>
  <c r="F205" i="5"/>
  <c r="L205" i="5" s="1"/>
  <c r="E204" i="5"/>
  <c r="L203" i="5"/>
  <c r="E203" i="5"/>
  <c r="E202" i="5" s="1"/>
  <c r="J202" i="5"/>
  <c r="I202" i="5"/>
  <c r="H202" i="5"/>
  <c r="G202" i="5"/>
  <c r="F202" i="5"/>
  <c r="L202" i="5" s="1"/>
  <c r="L201" i="5"/>
  <c r="E201" i="5"/>
  <c r="J200" i="5"/>
  <c r="I200" i="5"/>
  <c r="H200" i="5"/>
  <c r="G200" i="5"/>
  <c r="L200" i="5" s="1"/>
  <c r="F200" i="5"/>
  <c r="E200" i="5"/>
  <c r="L199" i="5"/>
  <c r="E199" i="5"/>
  <c r="L198" i="5"/>
  <c r="E198" i="5"/>
  <c r="E197" i="5" s="1"/>
  <c r="J197" i="5"/>
  <c r="I197" i="5"/>
  <c r="H197" i="5"/>
  <c r="G197" i="5"/>
  <c r="F197" i="5"/>
  <c r="L197" i="5" s="1"/>
  <c r="L196" i="5"/>
  <c r="E196" i="5"/>
  <c r="L195" i="5"/>
  <c r="E195" i="5"/>
  <c r="J194" i="5"/>
  <c r="I194" i="5"/>
  <c r="H194" i="5"/>
  <c r="G194" i="5"/>
  <c r="L194" i="5" s="1"/>
  <c r="F194" i="5"/>
  <c r="E194" i="5"/>
  <c r="L193" i="5"/>
  <c r="E193" i="5"/>
  <c r="L192" i="5"/>
  <c r="E192" i="5"/>
  <c r="E81" i="5" s="1"/>
  <c r="L191" i="5"/>
  <c r="E191" i="5"/>
  <c r="E190" i="5" s="1"/>
  <c r="J190" i="5"/>
  <c r="I190" i="5"/>
  <c r="H190" i="5"/>
  <c r="G190" i="5"/>
  <c r="F190" i="5"/>
  <c r="L190" i="5" s="1"/>
  <c r="L189" i="5"/>
  <c r="E189" i="5"/>
  <c r="L188" i="5"/>
  <c r="E188" i="5"/>
  <c r="J187" i="5"/>
  <c r="I187" i="5"/>
  <c r="H187" i="5"/>
  <c r="G187" i="5"/>
  <c r="L187" i="5" s="1"/>
  <c r="F187" i="5"/>
  <c r="E187" i="5"/>
  <c r="L186" i="5"/>
  <c r="J185" i="5"/>
  <c r="I185" i="5"/>
  <c r="H185" i="5"/>
  <c r="G185" i="5"/>
  <c r="L185" i="5" s="1"/>
  <c r="F185" i="5"/>
  <c r="E185" i="5"/>
  <c r="L184" i="5"/>
  <c r="J183" i="5"/>
  <c r="I183" i="5"/>
  <c r="H183" i="5"/>
  <c r="G183" i="5"/>
  <c r="L183" i="5" s="1"/>
  <c r="F183" i="5"/>
  <c r="E183" i="5"/>
  <c r="L182" i="5"/>
  <c r="E182" i="5"/>
  <c r="E181" i="5" s="1"/>
  <c r="J181" i="5"/>
  <c r="I181" i="5"/>
  <c r="H181" i="5"/>
  <c r="G181" i="5"/>
  <c r="F181" i="5"/>
  <c r="L180" i="5"/>
  <c r="E180" i="5"/>
  <c r="L179" i="5"/>
  <c r="E179" i="5"/>
  <c r="E178" i="5" s="1"/>
  <c r="J178" i="5"/>
  <c r="I178" i="5"/>
  <c r="H178" i="5"/>
  <c r="G178" i="5"/>
  <c r="L178" i="5" s="1"/>
  <c r="F178" i="5"/>
  <c r="L177" i="5"/>
  <c r="E177" i="5"/>
  <c r="E174" i="5" s="1"/>
  <c r="E176" i="5"/>
  <c r="L175" i="5"/>
  <c r="J174" i="5"/>
  <c r="I174" i="5"/>
  <c r="H174" i="5"/>
  <c r="G174" i="5"/>
  <c r="F174" i="5"/>
  <c r="L174" i="5" s="1"/>
  <c r="L173" i="5"/>
  <c r="L172" i="5"/>
  <c r="L170" i="5" s="1"/>
  <c r="E172" i="5"/>
  <c r="L171" i="5"/>
  <c r="J170" i="5"/>
  <c r="I170" i="5"/>
  <c r="H170" i="5"/>
  <c r="G170" i="5"/>
  <c r="F170" i="5"/>
  <c r="E170" i="5"/>
  <c r="L169" i="5"/>
  <c r="E169" i="5"/>
  <c r="E79" i="5" s="1"/>
  <c r="L168" i="5"/>
  <c r="E168" i="5"/>
  <c r="L167" i="5"/>
  <c r="E167" i="5"/>
  <c r="E166" i="5" s="1"/>
  <c r="J166" i="5"/>
  <c r="I166" i="5"/>
  <c r="H166" i="5"/>
  <c r="G166" i="5"/>
  <c r="F166" i="5"/>
  <c r="L166" i="5" s="1"/>
  <c r="L165" i="5"/>
  <c r="H165" i="5"/>
  <c r="E165" i="5"/>
  <c r="L164" i="5"/>
  <c r="E164" i="5"/>
  <c r="J163" i="5"/>
  <c r="I163" i="5"/>
  <c r="H163" i="5"/>
  <c r="G163" i="5"/>
  <c r="F163" i="5"/>
  <c r="L162" i="5"/>
  <c r="E162" i="5"/>
  <c r="L161" i="5"/>
  <c r="E161" i="5"/>
  <c r="J160" i="5"/>
  <c r="I160" i="5"/>
  <c r="H160" i="5"/>
  <c r="G160" i="5"/>
  <c r="L160" i="5" s="1"/>
  <c r="F160" i="5"/>
  <c r="E160" i="5"/>
  <c r="L159" i="5"/>
  <c r="E159" i="5"/>
  <c r="E77" i="5" s="1"/>
  <c r="L158" i="5"/>
  <c r="E158" i="5"/>
  <c r="L157" i="5"/>
  <c r="E157" i="5"/>
  <c r="E156" i="5" s="1"/>
  <c r="J156" i="5"/>
  <c r="I156" i="5"/>
  <c r="H156" i="5"/>
  <c r="G156" i="5"/>
  <c r="F156" i="5"/>
  <c r="L156" i="5" s="1"/>
  <c r="L155" i="5"/>
  <c r="E155" i="5"/>
  <c r="L154" i="5"/>
  <c r="E154" i="5"/>
  <c r="L153" i="5"/>
  <c r="E153" i="5"/>
  <c r="E133" i="5" s="1"/>
  <c r="L152" i="5"/>
  <c r="E152" i="5"/>
  <c r="J151" i="5"/>
  <c r="I151" i="5"/>
  <c r="H151" i="5"/>
  <c r="G151" i="5"/>
  <c r="L151" i="5" s="1"/>
  <c r="F151" i="5"/>
  <c r="E151" i="5"/>
  <c r="L150" i="5"/>
  <c r="E150" i="5"/>
  <c r="L149" i="5"/>
  <c r="E149" i="5"/>
  <c r="E83" i="5" s="1"/>
  <c r="L148" i="5"/>
  <c r="E148" i="5"/>
  <c r="J147" i="5"/>
  <c r="I147" i="5"/>
  <c r="H147" i="5"/>
  <c r="G147" i="5"/>
  <c r="F147" i="5"/>
  <c r="L147" i="5" s="1"/>
  <c r="L146" i="5"/>
  <c r="E146" i="5"/>
  <c r="L145" i="5"/>
  <c r="E145" i="5"/>
  <c r="L144" i="5"/>
  <c r="E144" i="5"/>
  <c r="J143" i="5"/>
  <c r="I143" i="5"/>
  <c r="H143" i="5"/>
  <c r="G143" i="5"/>
  <c r="L143" i="5" s="1"/>
  <c r="F143" i="5"/>
  <c r="E143" i="5"/>
  <c r="L142" i="5"/>
  <c r="E142" i="5"/>
  <c r="L141" i="5"/>
  <c r="E141" i="5"/>
  <c r="E137" i="5" s="1"/>
  <c r="L140" i="5"/>
  <c r="E140" i="5"/>
  <c r="J139" i="5"/>
  <c r="I139" i="5"/>
  <c r="H139" i="5"/>
  <c r="G139" i="5"/>
  <c r="F139" i="5"/>
  <c r="L139" i="5" s="1"/>
  <c r="J138" i="5"/>
  <c r="I138" i="5"/>
  <c r="H138" i="5"/>
  <c r="H84" i="5" s="1"/>
  <c r="G138" i="5"/>
  <c r="L138" i="5" s="1"/>
  <c r="F138" i="5"/>
  <c r="E138" i="5"/>
  <c r="E84" i="5" s="1"/>
  <c r="J137" i="5"/>
  <c r="I137" i="5"/>
  <c r="H137" i="5"/>
  <c r="G137" i="5"/>
  <c r="F137" i="5"/>
  <c r="L137" i="5" s="1"/>
  <c r="J136" i="5"/>
  <c r="J82" i="5" s="1"/>
  <c r="I136" i="5"/>
  <c r="I82" i="5" s="1"/>
  <c r="H136" i="5"/>
  <c r="G136" i="5"/>
  <c r="L136" i="5" s="1"/>
  <c r="F136" i="5"/>
  <c r="F82" i="5" s="1"/>
  <c r="E136" i="5"/>
  <c r="J135" i="5"/>
  <c r="J78" i="5" s="1"/>
  <c r="I135" i="5"/>
  <c r="H135" i="5"/>
  <c r="G135" i="5"/>
  <c r="F135" i="5"/>
  <c r="E135" i="5"/>
  <c r="J134" i="5"/>
  <c r="I134" i="5"/>
  <c r="H134" i="5"/>
  <c r="G134" i="5"/>
  <c r="L134" i="5" s="1"/>
  <c r="F134" i="5"/>
  <c r="E134" i="5"/>
  <c r="J133" i="5"/>
  <c r="J76" i="5" s="1"/>
  <c r="J74" i="5" s="1"/>
  <c r="I133" i="5"/>
  <c r="H133" i="5"/>
  <c r="H131" i="5" s="1"/>
  <c r="G133" i="5"/>
  <c r="F133" i="5"/>
  <c r="L133" i="5" s="1"/>
  <c r="L76" i="5" s="1"/>
  <c r="J132" i="5"/>
  <c r="I132" i="5"/>
  <c r="H132" i="5"/>
  <c r="G132" i="5"/>
  <c r="L132" i="5" s="1"/>
  <c r="F132" i="5"/>
  <c r="E132" i="5"/>
  <c r="J131" i="5"/>
  <c r="L130" i="5"/>
  <c r="E130" i="5"/>
  <c r="L129" i="5"/>
  <c r="E129" i="5"/>
  <c r="L128" i="5"/>
  <c r="E128" i="5"/>
  <c r="J127" i="5"/>
  <c r="I127" i="5"/>
  <c r="H127" i="5"/>
  <c r="G127" i="5"/>
  <c r="L127" i="5" s="1"/>
  <c r="F127" i="5"/>
  <c r="E127" i="5"/>
  <c r="L126" i="5"/>
  <c r="E126" i="5"/>
  <c r="L125" i="5"/>
  <c r="E125" i="5"/>
  <c r="L124" i="5"/>
  <c r="E124" i="5"/>
  <c r="J123" i="5"/>
  <c r="I123" i="5"/>
  <c r="H123" i="5"/>
  <c r="G123" i="5"/>
  <c r="F123" i="5"/>
  <c r="L122" i="5"/>
  <c r="E122" i="5"/>
  <c r="L121" i="5"/>
  <c r="E121" i="5"/>
  <c r="L120" i="5"/>
  <c r="E120" i="5"/>
  <c r="L119" i="5"/>
  <c r="E119" i="5"/>
  <c r="L118" i="5"/>
  <c r="E118" i="5"/>
  <c r="L117" i="5"/>
  <c r="F117" i="5"/>
  <c r="E117" i="5"/>
  <c r="F116" i="5"/>
  <c r="F80" i="5" s="1"/>
  <c r="L115" i="5"/>
  <c r="F115" i="5"/>
  <c r="F77" i="5" s="1"/>
  <c r="E115" i="5"/>
  <c r="J114" i="5"/>
  <c r="I114" i="5"/>
  <c r="H114" i="5"/>
  <c r="G114" i="5"/>
  <c r="F114" i="5"/>
  <c r="L114" i="5" s="1"/>
  <c r="L113" i="5"/>
  <c r="E113" i="5"/>
  <c r="L112" i="5"/>
  <c r="E112" i="5"/>
  <c r="L111" i="5"/>
  <c r="E111" i="5"/>
  <c r="L110" i="5"/>
  <c r="E110" i="5"/>
  <c r="L109" i="5"/>
  <c r="E109" i="5"/>
  <c r="L108" i="5"/>
  <c r="E108" i="5"/>
  <c r="L107" i="5"/>
  <c r="E107" i="5"/>
  <c r="L106" i="5"/>
  <c r="F106" i="5"/>
  <c r="E106" i="5"/>
  <c r="E105" i="5" s="1"/>
  <c r="J105" i="5"/>
  <c r="I105" i="5"/>
  <c r="H105" i="5"/>
  <c r="G105" i="5"/>
  <c r="F105" i="5"/>
  <c r="L104" i="5"/>
  <c r="E104" i="5"/>
  <c r="L103" i="5"/>
  <c r="E103" i="5"/>
  <c r="J102" i="5"/>
  <c r="I102" i="5"/>
  <c r="H102" i="5"/>
  <c r="G102" i="5"/>
  <c r="L102" i="5" s="1"/>
  <c r="F102" i="5"/>
  <c r="E102" i="5"/>
  <c r="L101" i="5"/>
  <c r="E101" i="5"/>
  <c r="L100" i="5"/>
  <c r="E100" i="5"/>
  <c r="J99" i="5"/>
  <c r="I99" i="5"/>
  <c r="H99" i="5"/>
  <c r="G99" i="5"/>
  <c r="F99" i="5"/>
  <c r="L98" i="5"/>
  <c r="E98" i="5"/>
  <c r="L97" i="5"/>
  <c r="E97" i="5"/>
  <c r="L96" i="5"/>
  <c r="E96" i="5"/>
  <c r="L95" i="5"/>
  <c r="E95" i="5"/>
  <c r="L94" i="5"/>
  <c r="E94" i="5"/>
  <c r="L93" i="5"/>
  <c r="E93" i="5"/>
  <c r="L92" i="5"/>
  <c r="E92" i="5"/>
  <c r="E76" i="5" s="1"/>
  <c r="L91" i="5"/>
  <c r="E91" i="5"/>
  <c r="J90" i="5"/>
  <c r="I90" i="5"/>
  <c r="H90" i="5"/>
  <c r="G90" i="5"/>
  <c r="F90" i="5"/>
  <c r="L90" i="5" s="1"/>
  <c r="E90" i="5"/>
  <c r="L89" i="5"/>
  <c r="E89" i="5"/>
  <c r="L88" i="5"/>
  <c r="E88" i="5"/>
  <c r="J87" i="5"/>
  <c r="I87" i="5"/>
  <c r="H87" i="5"/>
  <c r="G87" i="5"/>
  <c r="F87" i="5"/>
  <c r="E87" i="5"/>
  <c r="J86" i="5"/>
  <c r="I86" i="5"/>
  <c r="H86" i="5"/>
  <c r="G86" i="5"/>
  <c r="G21" i="5" s="1"/>
  <c r="F86" i="5"/>
  <c r="E86" i="5"/>
  <c r="J85" i="5"/>
  <c r="J20" i="5" s="1"/>
  <c r="I85" i="5"/>
  <c r="H85" i="5"/>
  <c r="G85" i="5"/>
  <c r="F85" i="5"/>
  <c r="E85" i="5"/>
  <c r="J84" i="5"/>
  <c r="I84" i="5"/>
  <c r="I19" i="5" s="1"/>
  <c r="F84" i="5"/>
  <c r="J83" i="5"/>
  <c r="I83" i="5"/>
  <c r="H83" i="5"/>
  <c r="G83" i="5"/>
  <c r="F83" i="5"/>
  <c r="L83" i="5" s="1"/>
  <c r="H82" i="5"/>
  <c r="E82" i="5"/>
  <c r="J81" i="5"/>
  <c r="J16" i="5" s="1"/>
  <c r="I81" i="5"/>
  <c r="H81" i="5"/>
  <c r="G81" i="5"/>
  <c r="F81" i="5"/>
  <c r="J80" i="5"/>
  <c r="I80" i="5"/>
  <c r="I15" i="5" s="1"/>
  <c r="H80" i="5"/>
  <c r="G80" i="5"/>
  <c r="J79" i="5"/>
  <c r="I79" i="5"/>
  <c r="H79" i="5"/>
  <c r="H14" i="5" s="1"/>
  <c r="G79" i="5"/>
  <c r="F79" i="5"/>
  <c r="L79" i="5" s="1"/>
  <c r="I78" i="5"/>
  <c r="H78" i="5"/>
  <c r="G78" i="5"/>
  <c r="E78" i="5"/>
  <c r="J77" i="5"/>
  <c r="I77" i="5"/>
  <c r="H77" i="5"/>
  <c r="G77" i="5"/>
  <c r="L77" i="5" s="1"/>
  <c r="M77" i="5" s="1"/>
  <c r="I76" i="5"/>
  <c r="G76" i="5"/>
  <c r="J75" i="5"/>
  <c r="I75" i="5"/>
  <c r="H75" i="5"/>
  <c r="G75" i="5"/>
  <c r="F75" i="5"/>
  <c r="E75" i="5"/>
  <c r="L73" i="5"/>
  <c r="E73" i="5"/>
  <c r="L72" i="5"/>
  <c r="E72" i="5"/>
  <c r="L71" i="5"/>
  <c r="E71" i="5"/>
  <c r="L70" i="5"/>
  <c r="E70" i="5"/>
  <c r="L69" i="5"/>
  <c r="E69" i="5"/>
  <c r="L68" i="5"/>
  <c r="E68" i="5"/>
  <c r="L67" i="5"/>
  <c r="E67" i="5"/>
  <c r="L66" i="5"/>
  <c r="E66" i="5"/>
  <c r="L65" i="5"/>
  <c r="E65" i="5"/>
  <c r="L64" i="5"/>
  <c r="E64" i="5"/>
  <c r="L63" i="5"/>
  <c r="E63" i="5"/>
  <c r="L62" i="5"/>
  <c r="E62" i="5"/>
  <c r="J61" i="5"/>
  <c r="I61" i="5"/>
  <c r="H61" i="5"/>
  <c r="G61" i="5"/>
  <c r="L61" i="5" s="1"/>
  <c r="F61" i="5"/>
  <c r="E61" i="5"/>
  <c r="L60" i="5"/>
  <c r="E60" i="5"/>
  <c r="L59" i="5"/>
  <c r="E59" i="5"/>
  <c r="L58" i="5"/>
  <c r="E58" i="5"/>
  <c r="L57" i="5"/>
  <c r="E57" i="5"/>
  <c r="E31" i="5" s="1"/>
  <c r="L56" i="5"/>
  <c r="E56" i="5"/>
  <c r="L55" i="5"/>
  <c r="E55" i="5"/>
  <c r="L54" i="5"/>
  <c r="E54" i="5"/>
  <c r="L53" i="5"/>
  <c r="E53" i="5"/>
  <c r="E27" i="5" s="1"/>
  <c r="L52" i="5"/>
  <c r="E52" i="5"/>
  <c r="L51" i="5"/>
  <c r="E51" i="5"/>
  <c r="L50" i="5"/>
  <c r="E50" i="5"/>
  <c r="L49" i="5"/>
  <c r="E49" i="5"/>
  <c r="J48" i="5"/>
  <c r="I48" i="5"/>
  <c r="H48" i="5"/>
  <c r="G48" i="5"/>
  <c r="F48" i="5"/>
  <c r="L48" i="5" s="1"/>
  <c r="L47" i="5"/>
  <c r="E47" i="5"/>
  <c r="E34" i="5" s="1"/>
  <c r="L46" i="5"/>
  <c r="E46" i="5"/>
  <c r="L45" i="5"/>
  <c r="E45" i="5"/>
  <c r="L44" i="5"/>
  <c r="E44" i="5"/>
  <c r="L43" i="5"/>
  <c r="E43" i="5"/>
  <c r="E30" i="5" s="1"/>
  <c r="L42" i="5"/>
  <c r="E42" i="5"/>
  <c r="L41" i="5"/>
  <c r="E41" i="5"/>
  <c r="L40" i="5"/>
  <c r="E40" i="5"/>
  <c r="L39" i="5"/>
  <c r="E39" i="5"/>
  <c r="E26" i="5" s="1"/>
  <c r="L38" i="5"/>
  <c r="E38" i="5"/>
  <c r="L37" i="5"/>
  <c r="E37" i="5"/>
  <c r="L36" i="5"/>
  <c r="E36" i="5"/>
  <c r="J35" i="5"/>
  <c r="I35" i="5"/>
  <c r="H35" i="5"/>
  <c r="G35" i="5"/>
  <c r="F35" i="5"/>
  <c r="L35" i="5" s="1"/>
  <c r="J34" i="5"/>
  <c r="J21" i="5" s="1"/>
  <c r="I34" i="5"/>
  <c r="H34" i="5"/>
  <c r="H21" i="5" s="1"/>
  <c r="G34" i="5"/>
  <c r="F34" i="5"/>
  <c r="L34" i="5" s="1"/>
  <c r="J33" i="5"/>
  <c r="I33" i="5"/>
  <c r="I20" i="5" s="1"/>
  <c r="H33" i="5"/>
  <c r="G33" i="5"/>
  <c r="G20" i="5" s="1"/>
  <c r="F33" i="5"/>
  <c r="E33" i="5"/>
  <c r="J32" i="5"/>
  <c r="I32" i="5"/>
  <c r="H32" i="5"/>
  <c r="H19" i="5" s="1"/>
  <c r="G32" i="5"/>
  <c r="F32" i="5"/>
  <c r="J31" i="5"/>
  <c r="J18" i="5" s="1"/>
  <c r="I31" i="5"/>
  <c r="H31" i="5"/>
  <c r="G31" i="5"/>
  <c r="F31" i="5"/>
  <c r="L31" i="5" s="1"/>
  <c r="J30" i="5"/>
  <c r="I30" i="5"/>
  <c r="H30" i="5"/>
  <c r="G30" i="5"/>
  <c r="F30" i="5"/>
  <c r="J29" i="5"/>
  <c r="I29" i="5"/>
  <c r="H29" i="5"/>
  <c r="H16" i="5" s="1"/>
  <c r="G29" i="5"/>
  <c r="L29" i="5" s="1"/>
  <c r="F29" i="5"/>
  <c r="E29" i="5"/>
  <c r="J28" i="5"/>
  <c r="J15" i="5" s="1"/>
  <c r="I28" i="5"/>
  <c r="H28" i="5"/>
  <c r="G28" i="5"/>
  <c r="F28" i="5"/>
  <c r="L28" i="5" s="1"/>
  <c r="J27" i="5"/>
  <c r="I27" i="5"/>
  <c r="H27" i="5"/>
  <c r="G27" i="5"/>
  <c r="F27" i="5"/>
  <c r="L27" i="5" s="1"/>
  <c r="J26" i="5"/>
  <c r="J13" i="5" s="1"/>
  <c r="I26" i="5"/>
  <c r="H26" i="5"/>
  <c r="G26" i="5"/>
  <c r="F26" i="5"/>
  <c r="L26" i="5" s="1"/>
  <c r="J25" i="5"/>
  <c r="I25" i="5"/>
  <c r="I22" i="5" s="1"/>
  <c r="H25" i="5"/>
  <c r="G25" i="5"/>
  <c r="F25" i="5"/>
  <c r="E25" i="5"/>
  <c r="J24" i="5"/>
  <c r="I24" i="5"/>
  <c r="H24" i="5"/>
  <c r="G24" i="5"/>
  <c r="F24" i="5"/>
  <c r="J23" i="5"/>
  <c r="J10" i="5" s="1"/>
  <c r="I23" i="5"/>
  <c r="H23" i="5"/>
  <c r="G23" i="5"/>
  <c r="F23" i="5"/>
  <c r="L23" i="5" s="1"/>
  <c r="H22" i="5"/>
  <c r="K21" i="5"/>
  <c r="I21" i="5"/>
  <c r="H20" i="5"/>
  <c r="G18" i="5"/>
  <c r="J17" i="5"/>
  <c r="H17" i="5"/>
  <c r="I16" i="5"/>
  <c r="H15" i="5"/>
  <c r="G15" i="5"/>
  <c r="J14" i="5"/>
  <c r="I14" i="5"/>
  <c r="I13" i="5"/>
  <c r="K12" i="5"/>
  <c r="J12" i="5"/>
  <c r="H12" i="5"/>
  <c r="K9" i="5"/>
  <c r="K5" i="4"/>
  <c r="E5" i="4"/>
  <c r="E4" i="4" s="1"/>
  <c r="J4" i="4"/>
  <c r="I4" i="4"/>
  <c r="H4" i="4"/>
  <c r="G4" i="4"/>
  <c r="K4" i="4" s="1"/>
  <c r="F4" i="4"/>
  <c r="L1307" i="3"/>
  <c r="E1307" i="3"/>
  <c r="L1306" i="3"/>
  <c r="E1306" i="3"/>
  <c r="L1305" i="3"/>
  <c r="E1305" i="3"/>
  <c r="L1304" i="3"/>
  <c r="E1304" i="3"/>
  <c r="E1278" i="3" s="1"/>
  <c r="J1303" i="3"/>
  <c r="I1303" i="3"/>
  <c r="H1303" i="3"/>
  <c r="G1303" i="3"/>
  <c r="F1303" i="3"/>
  <c r="L1303" i="3" s="1"/>
  <c r="F1298" i="3"/>
  <c r="L1297" i="3"/>
  <c r="E1297" i="3"/>
  <c r="L1296" i="3"/>
  <c r="E1296" i="3"/>
  <c r="EK1295" i="3"/>
  <c r="L1295" i="3"/>
  <c r="E1295" i="3"/>
  <c r="EK1294" i="3"/>
  <c r="L1294" i="3"/>
  <c r="E1294" i="3"/>
  <c r="EK1293" i="3"/>
  <c r="L1293" i="3"/>
  <c r="E1293" i="3"/>
  <c r="L1292" i="3"/>
  <c r="J1291" i="3"/>
  <c r="J1279" i="3" s="1"/>
  <c r="I1291" i="3"/>
  <c r="H1291" i="3"/>
  <c r="H1279" i="3" s="1"/>
  <c r="G1291" i="3"/>
  <c r="G1279" i="3" s="1"/>
  <c r="L1290" i="3"/>
  <c r="E1290" i="3"/>
  <c r="J1289" i="3"/>
  <c r="I1289" i="3"/>
  <c r="H1289" i="3"/>
  <c r="G1289" i="3"/>
  <c r="F1289" i="3"/>
  <c r="E1289" i="3"/>
  <c r="J1288" i="3"/>
  <c r="I1288" i="3"/>
  <c r="H1288" i="3"/>
  <c r="G1288" i="3"/>
  <c r="J1287" i="3"/>
  <c r="I1287" i="3"/>
  <c r="H1287" i="3"/>
  <c r="G1287" i="3"/>
  <c r="J1286" i="3"/>
  <c r="I1286" i="3"/>
  <c r="H1286" i="3"/>
  <c r="G1286" i="3"/>
  <c r="J1285" i="3"/>
  <c r="I1285" i="3"/>
  <c r="H1285" i="3"/>
  <c r="G1285" i="3"/>
  <c r="J1284" i="3"/>
  <c r="I1284" i="3"/>
  <c r="H1284" i="3"/>
  <c r="G1284" i="3"/>
  <c r="F1284" i="3"/>
  <c r="E1284" i="3" s="1"/>
  <c r="J1283" i="3"/>
  <c r="I1283" i="3"/>
  <c r="H1283" i="3"/>
  <c r="G1283" i="3"/>
  <c r="L1283" i="3" s="1"/>
  <c r="F1283" i="3"/>
  <c r="J1282" i="3"/>
  <c r="I1282" i="3"/>
  <c r="H1282" i="3"/>
  <c r="G1282" i="3"/>
  <c r="F1282" i="3"/>
  <c r="J1281" i="3"/>
  <c r="I1281" i="3"/>
  <c r="H1281" i="3"/>
  <c r="G1281" i="3"/>
  <c r="F1281" i="3"/>
  <c r="E1281" i="3" s="1"/>
  <c r="J1280" i="3"/>
  <c r="I1280" i="3"/>
  <c r="H1280" i="3"/>
  <c r="G1280" i="3"/>
  <c r="F1280" i="3"/>
  <c r="I1279" i="3"/>
  <c r="F1279" i="3"/>
  <c r="J1278" i="3"/>
  <c r="I1278" i="3"/>
  <c r="H1278" i="3"/>
  <c r="G1278" i="3"/>
  <c r="F1278" i="3"/>
  <c r="L1276" i="3"/>
  <c r="E1276" i="3"/>
  <c r="E1250" i="3" s="1"/>
  <c r="J1275" i="3"/>
  <c r="I1275" i="3"/>
  <c r="H1275" i="3"/>
  <c r="G1275" i="3"/>
  <c r="F1275" i="3"/>
  <c r="E1275" i="3"/>
  <c r="L1274" i="3"/>
  <c r="L1273" i="3"/>
  <c r="E1273" i="3"/>
  <c r="L1272" i="3"/>
  <c r="E1272" i="3"/>
  <c r="L1271" i="3"/>
  <c r="E1271" i="3"/>
  <c r="L1270" i="3"/>
  <c r="E1270" i="3"/>
  <c r="L1269" i="3"/>
  <c r="E1269" i="3"/>
  <c r="L1268" i="3"/>
  <c r="E1268" i="3"/>
  <c r="L1267" i="3"/>
  <c r="E1267" i="3"/>
  <c r="L1266" i="3"/>
  <c r="E1266" i="3"/>
  <c r="L1265" i="3"/>
  <c r="E1265" i="3"/>
  <c r="L1264" i="3"/>
  <c r="E1264" i="3"/>
  <c r="L1263" i="3"/>
  <c r="E1263" i="3"/>
  <c r="J1262" i="3"/>
  <c r="I1262" i="3"/>
  <c r="H1262" i="3"/>
  <c r="G1262" i="3"/>
  <c r="F1262" i="3"/>
  <c r="J1261" i="3"/>
  <c r="I1261" i="3"/>
  <c r="H1261" i="3"/>
  <c r="G1261" i="3"/>
  <c r="F1261" i="3"/>
  <c r="E1261" i="3" s="1"/>
  <c r="J1260" i="3"/>
  <c r="I1260" i="3"/>
  <c r="H1260" i="3"/>
  <c r="G1260" i="3"/>
  <c r="F1260" i="3"/>
  <c r="J1259" i="3"/>
  <c r="I1259" i="3"/>
  <c r="H1259" i="3"/>
  <c r="G1259" i="3"/>
  <c r="F1259" i="3"/>
  <c r="E1259" i="3" s="1"/>
  <c r="J1258" i="3"/>
  <c r="I1258" i="3"/>
  <c r="H1258" i="3"/>
  <c r="G1258" i="3"/>
  <c r="F1258" i="3"/>
  <c r="J1257" i="3"/>
  <c r="I1257" i="3"/>
  <c r="H1257" i="3"/>
  <c r="G1257" i="3"/>
  <c r="F1257" i="3"/>
  <c r="J1256" i="3"/>
  <c r="I1256" i="3"/>
  <c r="H1256" i="3"/>
  <c r="G1256" i="3"/>
  <c r="F1256" i="3"/>
  <c r="J1255" i="3"/>
  <c r="I1255" i="3"/>
  <c r="H1255" i="3"/>
  <c r="G1255" i="3"/>
  <c r="E1255" i="3" s="1"/>
  <c r="F1255" i="3"/>
  <c r="J1254" i="3"/>
  <c r="I1254" i="3"/>
  <c r="H1254" i="3"/>
  <c r="G1254" i="3"/>
  <c r="F1254" i="3"/>
  <c r="J1253" i="3"/>
  <c r="I1253" i="3"/>
  <c r="H1253" i="3"/>
  <c r="G1253" i="3"/>
  <c r="F1253" i="3"/>
  <c r="E1253" i="3"/>
  <c r="J1252" i="3"/>
  <c r="I1252" i="3"/>
  <c r="H1252" i="3"/>
  <c r="G1252" i="3"/>
  <c r="F1252" i="3"/>
  <c r="J1251" i="3"/>
  <c r="I1251" i="3"/>
  <c r="H1251" i="3"/>
  <c r="G1251" i="3"/>
  <c r="F1251" i="3"/>
  <c r="J1250" i="3"/>
  <c r="I1250" i="3"/>
  <c r="H1250" i="3"/>
  <c r="G1250" i="3"/>
  <c r="F1250" i="3"/>
  <c r="F1249" i="3" s="1"/>
  <c r="L1248" i="3"/>
  <c r="E1248" i="3"/>
  <c r="L1247" i="3"/>
  <c r="E1247" i="3"/>
  <c r="L1246" i="3"/>
  <c r="E1246" i="3"/>
  <c r="L1245" i="3"/>
  <c r="E1245" i="3"/>
  <c r="L1244" i="3"/>
  <c r="E1244" i="3"/>
  <c r="L1243" i="3"/>
  <c r="E1243" i="3"/>
  <c r="L1242" i="3"/>
  <c r="E1242" i="3"/>
  <c r="J1241" i="3"/>
  <c r="I1241" i="3"/>
  <c r="H1241" i="3"/>
  <c r="G1241" i="3"/>
  <c r="F1241" i="3"/>
  <c r="L1240" i="3"/>
  <c r="E1240" i="3"/>
  <c r="L1239" i="3"/>
  <c r="E1239" i="3"/>
  <c r="L1238" i="3"/>
  <c r="E1238" i="3"/>
  <c r="L1237" i="3"/>
  <c r="E1237" i="3"/>
  <c r="E1230" i="3" s="1"/>
  <c r="L1236" i="3"/>
  <c r="E1236" i="3"/>
  <c r="L1235" i="3"/>
  <c r="E1235" i="3"/>
  <c r="E1228" i="3" s="1"/>
  <c r="L1234" i="3"/>
  <c r="E1234" i="3"/>
  <c r="F1233" i="3"/>
  <c r="L1233" i="3" s="1"/>
  <c r="E1233" i="3"/>
  <c r="F1232" i="3"/>
  <c r="F1231" i="3"/>
  <c r="J1230" i="3"/>
  <c r="I1230" i="3"/>
  <c r="H1230" i="3"/>
  <c r="G1230" i="3"/>
  <c r="F1230" i="3"/>
  <c r="J1229" i="3"/>
  <c r="I1229" i="3"/>
  <c r="H1229" i="3"/>
  <c r="G1229" i="3"/>
  <c r="F1229" i="3"/>
  <c r="E1229" i="3"/>
  <c r="J1228" i="3"/>
  <c r="I1228" i="3"/>
  <c r="H1228" i="3"/>
  <c r="G1228" i="3"/>
  <c r="L1228" i="3" s="1"/>
  <c r="F1228" i="3"/>
  <c r="J1227" i="3"/>
  <c r="I1227" i="3"/>
  <c r="I1226" i="3" s="1"/>
  <c r="H1227" i="3"/>
  <c r="H1226" i="3" s="1"/>
  <c r="G1227" i="3"/>
  <c r="F1227" i="3"/>
  <c r="E1227" i="3"/>
  <c r="L1225" i="3"/>
  <c r="E1225" i="3"/>
  <c r="L1224" i="3"/>
  <c r="E1224" i="3"/>
  <c r="L1223" i="3"/>
  <c r="E1223" i="3"/>
  <c r="L1222" i="3"/>
  <c r="E1222" i="3"/>
  <c r="L1221" i="3"/>
  <c r="E1221" i="3"/>
  <c r="E1214" i="3" s="1"/>
  <c r="E1206" i="3" s="1"/>
  <c r="L1220" i="3"/>
  <c r="E1220" i="3"/>
  <c r="L1219" i="3"/>
  <c r="E1219" i="3"/>
  <c r="J1218" i="3"/>
  <c r="I1218" i="3"/>
  <c r="H1218" i="3"/>
  <c r="H1210" i="3" s="1"/>
  <c r="G1218" i="3"/>
  <c r="G1210" i="3" s="1"/>
  <c r="F1218" i="3"/>
  <c r="F1210" i="3" s="1"/>
  <c r="J1217" i="3"/>
  <c r="I1217" i="3"/>
  <c r="I1209" i="3" s="1"/>
  <c r="H1217" i="3"/>
  <c r="H1209" i="3" s="1"/>
  <c r="G1217" i="3"/>
  <c r="G1209" i="3" s="1"/>
  <c r="F1217" i="3"/>
  <c r="J1216" i="3"/>
  <c r="I1216" i="3"/>
  <c r="I1208" i="3" s="1"/>
  <c r="H1216" i="3"/>
  <c r="H1208" i="3" s="1"/>
  <c r="G1216" i="3"/>
  <c r="G1208" i="3" s="1"/>
  <c r="F1216" i="3"/>
  <c r="J1215" i="3"/>
  <c r="I1215" i="3"/>
  <c r="H1215" i="3"/>
  <c r="G1215" i="3"/>
  <c r="F1215" i="3"/>
  <c r="E1215" i="3" s="1"/>
  <c r="E1207" i="3" s="1"/>
  <c r="J1214" i="3"/>
  <c r="I1214" i="3"/>
  <c r="H1214" i="3"/>
  <c r="G1214" i="3"/>
  <c r="F1214" i="3"/>
  <c r="J1213" i="3"/>
  <c r="I1213" i="3"/>
  <c r="H1213" i="3"/>
  <c r="G1213" i="3"/>
  <c r="F1213" i="3"/>
  <c r="J1212" i="3"/>
  <c r="I1212" i="3"/>
  <c r="I1204" i="3" s="1"/>
  <c r="H1212" i="3"/>
  <c r="G1212" i="3"/>
  <c r="F1212" i="3"/>
  <c r="I1211" i="3"/>
  <c r="J1210" i="3"/>
  <c r="I1210" i="3"/>
  <c r="J1209" i="3"/>
  <c r="F1209" i="3"/>
  <c r="J1208" i="3"/>
  <c r="F1208" i="3"/>
  <c r="H1207" i="3"/>
  <c r="J1206" i="3"/>
  <c r="I1206" i="3"/>
  <c r="H1206" i="3"/>
  <c r="F1206" i="3"/>
  <c r="J1205" i="3"/>
  <c r="I1205" i="3"/>
  <c r="H1205" i="3"/>
  <c r="J1204" i="3"/>
  <c r="H1204" i="3"/>
  <c r="E1202" i="3"/>
  <c r="E1201" i="3"/>
  <c r="E1200" i="3"/>
  <c r="E1199" i="3"/>
  <c r="E1198" i="3"/>
  <c r="F1197" i="3"/>
  <c r="F1195" i="3"/>
  <c r="E1195" i="3"/>
  <c r="L1194" i="3"/>
  <c r="E1194" i="3"/>
  <c r="L1193" i="3"/>
  <c r="E1193" i="3"/>
  <c r="L1192" i="3"/>
  <c r="E1192" i="3"/>
  <c r="L1191" i="3"/>
  <c r="E1191" i="3"/>
  <c r="F1189" i="3"/>
  <c r="L1189" i="3" s="1"/>
  <c r="L1188" i="3"/>
  <c r="E1188" i="3"/>
  <c r="J1187" i="3"/>
  <c r="I1187" i="3"/>
  <c r="H1187" i="3"/>
  <c r="G1187" i="3"/>
  <c r="F1187" i="3"/>
  <c r="L1186" i="3"/>
  <c r="E1186" i="3"/>
  <c r="J1185" i="3"/>
  <c r="I1185" i="3"/>
  <c r="H1185" i="3"/>
  <c r="G1185" i="3"/>
  <c r="F1185" i="3"/>
  <c r="L1184" i="3"/>
  <c r="E1184" i="3"/>
  <c r="E1183" i="3" s="1"/>
  <c r="J1183" i="3"/>
  <c r="I1183" i="3"/>
  <c r="H1183" i="3"/>
  <c r="G1183" i="3"/>
  <c r="L1183" i="3" s="1"/>
  <c r="F1183" i="3"/>
  <c r="L1182" i="3"/>
  <c r="E1182" i="3"/>
  <c r="J1181" i="3"/>
  <c r="I1181" i="3"/>
  <c r="H1181" i="3"/>
  <c r="G1181" i="3"/>
  <c r="F1181" i="3"/>
  <c r="E1181" i="3"/>
  <c r="L1180" i="3"/>
  <c r="E1180" i="3"/>
  <c r="E1179" i="3" s="1"/>
  <c r="J1179" i="3"/>
  <c r="I1179" i="3"/>
  <c r="H1179" i="3"/>
  <c r="G1179" i="3"/>
  <c r="F1179" i="3"/>
  <c r="J1178" i="3"/>
  <c r="J1152" i="3" s="1"/>
  <c r="I1178" i="3"/>
  <c r="I1152" i="3" s="1"/>
  <c r="H1178" i="3"/>
  <c r="H1152" i="3" s="1"/>
  <c r="G1178" i="3"/>
  <c r="G1152" i="3" s="1"/>
  <c r="F1178" i="3"/>
  <c r="E1178" i="3"/>
  <c r="J1177" i="3"/>
  <c r="I1177" i="3"/>
  <c r="I1151" i="3" s="1"/>
  <c r="H1177" i="3"/>
  <c r="G1177" i="3"/>
  <c r="F1177" i="3"/>
  <c r="E1177" i="3"/>
  <c r="J1176" i="3"/>
  <c r="I1176" i="3"/>
  <c r="H1176" i="3"/>
  <c r="G1176" i="3"/>
  <c r="F1176" i="3"/>
  <c r="J1175" i="3"/>
  <c r="I1175" i="3"/>
  <c r="I1149" i="3" s="1"/>
  <c r="H1175" i="3"/>
  <c r="H1149" i="3" s="1"/>
  <c r="G1175" i="3"/>
  <c r="F1175" i="3"/>
  <c r="I1174" i="3"/>
  <c r="H1174" i="3"/>
  <c r="J1169" i="3"/>
  <c r="J1170" i="3" s="1"/>
  <c r="I1169" i="3"/>
  <c r="H1169" i="3"/>
  <c r="G1169" i="3"/>
  <c r="G1170" i="3" s="1"/>
  <c r="G1171" i="3" s="1"/>
  <c r="G1172" i="3" s="1"/>
  <c r="G1173" i="3" s="1"/>
  <c r="F1169" i="3"/>
  <c r="L1168" i="3"/>
  <c r="E1168" i="3"/>
  <c r="L1167" i="3"/>
  <c r="E1167" i="3"/>
  <c r="L1166" i="3"/>
  <c r="E1166" i="3"/>
  <c r="L1165" i="3"/>
  <c r="E1165" i="3"/>
  <c r="E1145" i="3" s="1"/>
  <c r="L1164" i="3"/>
  <c r="E1164" i="3"/>
  <c r="L1163" i="3"/>
  <c r="E1163" i="3"/>
  <c r="L1162" i="3"/>
  <c r="E1162" i="3"/>
  <c r="L1160" i="3"/>
  <c r="E1160" i="3"/>
  <c r="E1157" i="3" s="1"/>
  <c r="L1159" i="3"/>
  <c r="E1159" i="3"/>
  <c r="E1156" i="3" s="1"/>
  <c r="L1158" i="3"/>
  <c r="E1158" i="3"/>
  <c r="E1155" i="3" s="1"/>
  <c r="J1157" i="3"/>
  <c r="I1157" i="3"/>
  <c r="H1157" i="3"/>
  <c r="H1151" i="3" s="1"/>
  <c r="G1157" i="3"/>
  <c r="F1157" i="3"/>
  <c r="J1156" i="3"/>
  <c r="I1156" i="3"/>
  <c r="H1156" i="3"/>
  <c r="G1156" i="3"/>
  <c r="F1156" i="3"/>
  <c r="L1155" i="3"/>
  <c r="F1155" i="3"/>
  <c r="F1154" i="3" s="1"/>
  <c r="J1154" i="3"/>
  <c r="I1154" i="3"/>
  <c r="J1153" i="3"/>
  <c r="I1153" i="3" s="1"/>
  <c r="H1153" i="3" s="1"/>
  <c r="G1153" i="3" s="1"/>
  <c r="G1149" i="3"/>
  <c r="J1148" i="3"/>
  <c r="I1148" i="3"/>
  <c r="H1148" i="3"/>
  <c r="G1148" i="3"/>
  <c r="F1148" i="3"/>
  <c r="J1147" i="3"/>
  <c r="I1147" i="3"/>
  <c r="H1147" i="3"/>
  <c r="G1147" i="3"/>
  <c r="L1147" i="3" s="1"/>
  <c r="F1147" i="3"/>
  <c r="J1146" i="3"/>
  <c r="I1146" i="3"/>
  <c r="H1146" i="3"/>
  <c r="G1146" i="3"/>
  <c r="F1146" i="3"/>
  <c r="J1145" i="3"/>
  <c r="I1145" i="3"/>
  <c r="H1145" i="3"/>
  <c r="G1145" i="3"/>
  <c r="F1145" i="3"/>
  <c r="J1144" i="3"/>
  <c r="I1144" i="3"/>
  <c r="H1144" i="3"/>
  <c r="G1144" i="3"/>
  <c r="F1144" i="3"/>
  <c r="J1143" i="3"/>
  <c r="I1143" i="3"/>
  <c r="H1143" i="3"/>
  <c r="G1143" i="3"/>
  <c r="F1143" i="3"/>
  <c r="E1143" i="3"/>
  <c r="J1142" i="3"/>
  <c r="I1142" i="3"/>
  <c r="H1142" i="3"/>
  <c r="G1142" i="3"/>
  <c r="F1142" i="3"/>
  <c r="E1142" i="3"/>
  <c r="L1140" i="3"/>
  <c r="E1140" i="3"/>
  <c r="E1102" i="3" s="1"/>
  <c r="L1139" i="3"/>
  <c r="E1139" i="3"/>
  <c r="L1138" i="3"/>
  <c r="E1138" i="3"/>
  <c r="L1137" i="3"/>
  <c r="E1137" i="3"/>
  <c r="L1136" i="3"/>
  <c r="E1136" i="3"/>
  <c r="E1098" i="3" s="1"/>
  <c r="L1135" i="3"/>
  <c r="E1135" i="3"/>
  <c r="L1134" i="3"/>
  <c r="E1134" i="3"/>
  <c r="L1133" i="3"/>
  <c r="E1133" i="3"/>
  <c r="L1132" i="3"/>
  <c r="E1132" i="3"/>
  <c r="E1094" i="3" s="1"/>
  <c r="L1131" i="3"/>
  <c r="E1131" i="3"/>
  <c r="L1130" i="3"/>
  <c r="E1130" i="3"/>
  <c r="L1129" i="3"/>
  <c r="E1129" i="3"/>
  <c r="J1128" i="3"/>
  <c r="I1128" i="3"/>
  <c r="H1128" i="3"/>
  <c r="G1128" i="3"/>
  <c r="F1128" i="3"/>
  <c r="L1127" i="3"/>
  <c r="E1127" i="3"/>
  <c r="L1126" i="3"/>
  <c r="E1126" i="3"/>
  <c r="L1125" i="3"/>
  <c r="E1125" i="3"/>
  <c r="L1124" i="3"/>
  <c r="E1124" i="3"/>
  <c r="L1123" i="3"/>
  <c r="E1123" i="3"/>
  <c r="L1122" i="3"/>
  <c r="E1122" i="3"/>
  <c r="L1121" i="3"/>
  <c r="E1121" i="3"/>
  <c r="L1120" i="3"/>
  <c r="E1120" i="3"/>
  <c r="L1119" i="3"/>
  <c r="E1119" i="3"/>
  <c r="L1118" i="3"/>
  <c r="E1118" i="3"/>
  <c r="L1117" i="3"/>
  <c r="E1117" i="3"/>
  <c r="J1116" i="3"/>
  <c r="I1116" i="3"/>
  <c r="H1116" i="3"/>
  <c r="G1116" i="3"/>
  <c r="F1116" i="3"/>
  <c r="L1115" i="3"/>
  <c r="E1115" i="3"/>
  <c r="L1114" i="3"/>
  <c r="E1114" i="3"/>
  <c r="L1113" i="3"/>
  <c r="E1113" i="3"/>
  <c r="E1100" i="3" s="1"/>
  <c r="L1112" i="3"/>
  <c r="E1112" i="3"/>
  <c r="E1099" i="3" s="1"/>
  <c r="L1111" i="3"/>
  <c r="E1111" i="3"/>
  <c r="L1110" i="3"/>
  <c r="E1110" i="3"/>
  <c r="L1109" i="3"/>
  <c r="E1109" i="3"/>
  <c r="L1108" i="3"/>
  <c r="E1108" i="3"/>
  <c r="E1095" i="3" s="1"/>
  <c r="L1107" i="3"/>
  <c r="E1107" i="3"/>
  <c r="L1106" i="3"/>
  <c r="L1105" i="3"/>
  <c r="E1105" i="3"/>
  <c r="E1092" i="3" s="1"/>
  <c r="L1104" i="3"/>
  <c r="E1104" i="3"/>
  <c r="J1103" i="3"/>
  <c r="I1103" i="3"/>
  <c r="H1103" i="3"/>
  <c r="G1103" i="3"/>
  <c r="F1103" i="3"/>
  <c r="J1102" i="3"/>
  <c r="I1102" i="3"/>
  <c r="H1102" i="3"/>
  <c r="G1102" i="3"/>
  <c r="F1102" i="3"/>
  <c r="J1101" i="3"/>
  <c r="I1101" i="3"/>
  <c r="H1101" i="3"/>
  <c r="G1101" i="3"/>
  <c r="F1101" i="3"/>
  <c r="J1100" i="3"/>
  <c r="I1100" i="3"/>
  <c r="H1100" i="3"/>
  <c r="G1100" i="3"/>
  <c r="F1100" i="3"/>
  <c r="J1099" i="3"/>
  <c r="I1099" i="3"/>
  <c r="H1099" i="3"/>
  <c r="G1099" i="3"/>
  <c r="F1099" i="3"/>
  <c r="J1098" i="3"/>
  <c r="I1098" i="3"/>
  <c r="H1098" i="3"/>
  <c r="G1098" i="3"/>
  <c r="F1098" i="3"/>
  <c r="J1097" i="3"/>
  <c r="I1097" i="3"/>
  <c r="H1097" i="3"/>
  <c r="G1097" i="3"/>
  <c r="F1097" i="3"/>
  <c r="J1096" i="3"/>
  <c r="I1096" i="3"/>
  <c r="H1096" i="3"/>
  <c r="G1096" i="3"/>
  <c r="F1096" i="3"/>
  <c r="J1095" i="3"/>
  <c r="I1095" i="3"/>
  <c r="H1095" i="3"/>
  <c r="G1095" i="3"/>
  <c r="L1095" i="3" s="1"/>
  <c r="F1095" i="3"/>
  <c r="J1094" i="3"/>
  <c r="I1094" i="3"/>
  <c r="H1094" i="3"/>
  <c r="G1094" i="3"/>
  <c r="F1094" i="3"/>
  <c r="J1093" i="3"/>
  <c r="I1093" i="3"/>
  <c r="H1093" i="3"/>
  <c r="G1093" i="3"/>
  <c r="F1093" i="3"/>
  <c r="J1092" i="3"/>
  <c r="I1092" i="3"/>
  <c r="H1092" i="3"/>
  <c r="G1092" i="3"/>
  <c r="F1092" i="3"/>
  <c r="J1091" i="3"/>
  <c r="I1091" i="3"/>
  <c r="H1091" i="3"/>
  <c r="H1090" i="3" s="1"/>
  <c r="G1091" i="3"/>
  <c r="F1091" i="3"/>
  <c r="E1091" i="3"/>
  <c r="I1090" i="3"/>
  <c r="L1089" i="3"/>
  <c r="L1088" i="3"/>
  <c r="L1087" i="3"/>
  <c r="L1086" i="3"/>
  <c r="L1085" i="3"/>
  <c r="L1084" i="3"/>
  <c r="L1083" i="3"/>
  <c r="L1082" i="3"/>
  <c r="L1081" i="3"/>
  <c r="L1080" i="3"/>
  <c r="L1079" i="3"/>
  <c r="L1078" i="3"/>
  <c r="J1077" i="3"/>
  <c r="J1064" i="3" s="1"/>
  <c r="I1077" i="3"/>
  <c r="I1064" i="3" s="1"/>
  <c r="H1077" i="3"/>
  <c r="G1077" i="3"/>
  <c r="F1077" i="3"/>
  <c r="E1077" i="3"/>
  <c r="E1064" i="3" s="1"/>
  <c r="J1076" i="3"/>
  <c r="I1076" i="3"/>
  <c r="H1076" i="3"/>
  <c r="G1076" i="3"/>
  <c r="L1076" i="3" s="1"/>
  <c r="F1076" i="3"/>
  <c r="E1076" i="3"/>
  <c r="J1075" i="3"/>
  <c r="I1075" i="3"/>
  <c r="H1075" i="3"/>
  <c r="G1075" i="3"/>
  <c r="F1075" i="3"/>
  <c r="E1075" i="3"/>
  <c r="J1074" i="3"/>
  <c r="I1074" i="3"/>
  <c r="H1074" i="3"/>
  <c r="G1074" i="3"/>
  <c r="L1074" i="3" s="1"/>
  <c r="F1074" i="3"/>
  <c r="E1074" i="3"/>
  <c r="J1073" i="3"/>
  <c r="I1073" i="3"/>
  <c r="H1073" i="3"/>
  <c r="G1073" i="3"/>
  <c r="F1073" i="3"/>
  <c r="E1073" i="3"/>
  <c r="J1072" i="3"/>
  <c r="I1072" i="3"/>
  <c r="H1072" i="3"/>
  <c r="G1072" i="3"/>
  <c r="F1072" i="3"/>
  <c r="E1072" i="3"/>
  <c r="J1071" i="3"/>
  <c r="I1071" i="3"/>
  <c r="H1071" i="3"/>
  <c r="G1071" i="3"/>
  <c r="F1071" i="3"/>
  <c r="E1071" i="3"/>
  <c r="J1070" i="3"/>
  <c r="I1070" i="3"/>
  <c r="H1070" i="3"/>
  <c r="G1070" i="3"/>
  <c r="L1070" i="3" s="1"/>
  <c r="F1070" i="3"/>
  <c r="E1070" i="3"/>
  <c r="J1069" i="3"/>
  <c r="I1069" i="3"/>
  <c r="H1069" i="3"/>
  <c r="G1069" i="3"/>
  <c r="F1069" i="3"/>
  <c r="E1069" i="3"/>
  <c r="J1068" i="3"/>
  <c r="I1068" i="3"/>
  <c r="H1068" i="3"/>
  <c r="G1068" i="3"/>
  <c r="L1068" i="3" s="1"/>
  <c r="F1068" i="3"/>
  <c r="E1068" i="3"/>
  <c r="J1067" i="3"/>
  <c r="I1067" i="3"/>
  <c r="H1067" i="3"/>
  <c r="G1067" i="3"/>
  <c r="F1067" i="3"/>
  <c r="E1067" i="3"/>
  <c r="J1066" i="3"/>
  <c r="I1066" i="3"/>
  <c r="H1066" i="3"/>
  <c r="G1066" i="3"/>
  <c r="L1066" i="3" s="1"/>
  <c r="F1066" i="3"/>
  <c r="E1066" i="3"/>
  <c r="J1065" i="3"/>
  <c r="I1065" i="3"/>
  <c r="H1065" i="3"/>
  <c r="G1065" i="3"/>
  <c r="F1065" i="3"/>
  <c r="E1065" i="3"/>
  <c r="H1064" i="3"/>
  <c r="G1064" i="3"/>
  <c r="L1063" i="3"/>
  <c r="E1063" i="3"/>
  <c r="E1050" i="3" s="1"/>
  <c r="L1062" i="3"/>
  <c r="E1062" i="3"/>
  <c r="E1049" i="3" s="1"/>
  <c r="L1061" i="3"/>
  <c r="E1061" i="3"/>
  <c r="L1060" i="3"/>
  <c r="E1060" i="3"/>
  <c r="E1047" i="3" s="1"/>
  <c r="L1059" i="3"/>
  <c r="E1059" i="3"/>
  <c r="E1046" i="3" s="1"/>
  <c r="L1058" i="3"/>
  <c r="E1058" i="3"/>
  <c r="L1057" i="3"/>
  <c r="E1057" i="3"/>
  <c r="E1044" i="3" s="1"/>
  <c r="L1056" i="3"/>
  <c r="E1056" i="3"/>
  <c r="E1043" i="3" s="1"/>
  <c r="L1055" i="3"/>
  <c r="E1055" i="3"/>
  <c r="E1042" i="3" s="1"/>
  <c r="L1054" i="3"/>
  <c r="E1054" i="3"/>
  <c r="E1041" i="3" s="1"/>
  <c r="L1053" i="3"/>
  <c r="E1053" i="3"/>
  <c r="L1052" i="3"/>
  <c r="E1052" i="3"/>
  <c r="J1051" i="3"/>
  <c r="I1051" i="3"/>
  <c r="I1038" i="3" s="1"/>
  <c r="H1051" i="3"/>
  <c r="H1038" i="3" s="1"/>
  <c r="G1051" i="3"/>
  <c r="F1051" i="3"/>
  <c r="J1050" i="3"/>
  <c r="I1050" i="3"/>
  <c r="H1050" i="3"/>
  <c r="G1050" i="3"/>
  <c r="F1050" i="3"/>
  <c r="L1050" i="3" s="1"/>
  <c r="J1049" i="3"/>
  <c r="I1049" i="3"/>
  <c r="H1049" i="3"/>
  <c r="G1049" i="3"/>
  <c r="F1049" i="3"/>
  <c r="J1048" i="3"/>
  <c r="I1048" i="3"/>
  <c r="H1048" i="3"/>
  <c r="G1048" i="3"/>
  <c r="F1048" i="3"/>
  <c r="E1048" i="3"/>
  <c r="J1047" i="3"/>
  <c r="I1047" i="3"/>
  <c r="H1047" i="3"/>
  <c r="G1047" i="3"/>
  <c r="L1047" i="3" s="1"/>
  <c r="F1047" i="3"/>
  <c r="J1046" i="3"/>
  <c r="I1046" i="3"/>
  <c r="H1046" i="3"/>
  <c r="G1046" i="3"/>
  <c r="F1046" i="3"/>
  <c r="J1045" i="3"/>
  <c r="I1045" i="3"/>
  <c r="H1045" i="3"/>
  <c r="G1045" i="3"/>
  <c r="F1045" i="3"/>
  <c r="E1045" i="3"/>
  <c r="J1044" i="3"/>
  <c r="I1044" i="3"/>
  <c r="H1044" i="3"/>
  <c r="H929" i="3" s="1"/>
  <c r="G1044" i="3"/>
  <c r="F1044" i="3"/>
  <c r="J1043" i="3"/>
  <c r="I1043" i="3"/>
  <c r="H1043" i="3"/>
  <c r="G1043" i="3"/>
  <c r="F1043" i="3"/>
  <c r="J1042" i="3"/>
  <c r="I1042" i="3"/>
  <c r="H1042" i="3"/>
  <c r="G1042" i="3"/>
  <c r="F1042" i="3"/>
  <c r="L1042" i="3" s="1"/>
  <c r="J1041" i="3"/>
  <c r="I1041" i="3"/>
  <c r="H1041" i="3"/>
  <c r="G1041" i="3"/>
  <c r="F1041" i="3"/>
  <c r="J1040" i="3"/>
  <c r="I1040" i="3"/>
  <c r="H1040" i="3"/>
  <c r="G1040" i="3"/>
  <c r="F1040" i="3"/>
  <c r="E1040" i="3"/>
  <c r="J1039" i="3"/>
  <c r="I1039" i="3"/>
  <c r="H1039" i="3"/>
  <c r="G1039" i="3"/>
  <c r="L1039" i="3" s="1"/>
  <c r="F1039" i="3"/>
  <c r="J1038" i="3"/>
  <c r="G1038" i="3"/>
  <c r="F1038" i="3"/>
  <c r="L1037" i="3"/>
  <c r="E1037" i="3"/>
  <c r="E1024" i="3" s="1"/>
  <c r="L1036" i="3"/>
  <c r="E1036" i="3"/>
  <c r="E1023" i="3" s="1"/>
  <c r="L1035" i="3"/>
  <c r="E1035" i="3"/>
  <c r="E1022" i="3" s="1"/>
  <c r="L1034" i="3"/>
  <c r="E1034" i="3"/>
  <c r="L1033" i="3"/>
  <c r="E1033" i="3"/>
  <c r="L1032" i="3"/>
  <c r="E1032" i="3"/>
  <c r="L1031" i="3"/>
  <c r="E1031" i="3"/>
  <c r="E1018" i="3" s="1"/>
  <c r="L1030" i="3"/>
  <c r="E1030" i="3"/>
  <c r="E1017" i="3" s="1"/>
  <c r="L1029" i="3"/>
  <c r="E1029" i="3"/>
  <c r="E1016" i="3" s="1"/>
  <c r="L1028" i="3"/>
  <c r="E1028" i="3"/>
  <c r="L1027" i="3"/>
  <c r="E1027" i="3"/>
  <c r="E1014" i="3" s="1"/>
  <c r="L1026" i="3"/>
  <c r="E1026" i="3"/>
  <c r="E1013" i="3" s="1"/>
  <c r="J1025" i="3"/>
  <c r="J1012" i="3" s="1"/>
  <c r="I1025" i="3"/>
  <c r="I1012" i="3" s="1"/>
  <c r="H1025" i="3"/>
  <c r="H1012" i="3" s="1"/>
  <c r="G1025" i="3"/>
  <c r="F1025" i="3"/>
  <c r="E1025" i="3"/>
  <c r="E1012" i="3" s="1"/>
  <c r="J1024" i="3"/>
  <c r="I1024" i="3"/>
  <c r="H1024" i="3"/>
  <c r="G1024" i="3"/>
  <c r="F1024" i="3"/>
  <c r="J1023" i="3"/>
  <c r="I1023" i="3"/>
  <c r="H1023" i="3"/>
  <c r="G1023" i="3"/>
  <c r="F1023" i="3"/>
  <c r="J1022" i="3"/>
  <c r="I1022" i="3"/>
  <c r="H1022" i="3"/>
  <c r="G1022" i="3"/>
  <c r="F1022" i="3"/>
  <c r="L1022" i="3" s="1"/>
  <c r="J1021" i="3"/>
  <c r="I1021" i="3"/>
  <c r="H1021" i="3"/>
  <c r="G1021" i="3"/>
  <c r="F1021" i="3"/>
  <c r="E1021" i="3"/>
  <c r="J1020" i="3"/>
  <c r="I1020" i="3"/>
  <c r="I931" i="3" s="1"/>
  <c r="H1020" i="3"/>
  <c r="G1020" i="3"/>
  <c r="F1020" i="3"/>
  <c r="E1020" i="3"/>
  <c r="J1019" i="3"/>
  <c r="I1019" i="3"/>
  <c r="H1019" i="3"/>
  <c r="G1019" i="3"/>
  <c r="L1019" i="3" s="1"/>
  <c r="E1019" i="3"/>
  <c r="J1018" i="3"/>
  <c r="I1018" i="3"/>
  <c r="H1018" i="3"/>
  <c r="G1018" i="3"/>
  <c r="J1017" i="3"/>
  <c r="I1017" i="3"/>
  <c r="H1017" i="3"/>
  <c r="G1017" i="3"/>
  <c r="F1017" i="3"/>
  <c r="L1016" i="3"/>
  <c r="J1016" i="3"/>
  <c r="I1016" i="3"/>
  <c r="H1016" i="3"/>
  <c r="G1016" i="3"/>
  <c r="F1016" i="3"/>
  <c r="J1015" i="3"/>
  <c r="I1015" i="3"/>
  <c r="H1015" i="3"/>
  <c r="G1015" i="3"/>
  <c r="F1015" i="3"/>
  <c r="E1015" i="3"/>
  <c r="J1014" i="3"/>
  <c r="I1014" i="3"/>
  <c r="H1014" i="3"/>
  <c r="G1014" i="3"/>
  <c r="F1014" i="3"/>
  <c r="J1013" i="3"/>
  <c r="I1013" i="3"/>
  <c r="H1013" i="3"/>
  <c r="G1013" i="3"/>
  <c r="F1013" i="3"/>
  <c r="G1012" i="3"/>
  <c r="L1011" i="3"/>
  <c r="E1011" i="3"/>
  <c r="E998" i="3" s="1"/>
  <c r="L1010" i="3"/>
  <c r="E1010" i="3"/>
  <c r="L1009" i="3"/>
  <c r="E1009" i="3"/>
  <c r="E996" i="3" s="1"/>
  <c r="L1008" i="3"/>
  <c r="E1008" i="3"/>
  <c r="L1007" i="3"/>
  <c r="E1007" i="3"/>
  <c r="E994" i="3" s="1"/>
  <c r="L1006" i="3"/>
  <c r="E1006" i="3"/>
  <c r="E993" i="3" s="1"/>
  <c r="L1005" i="3"/>
  <c r="E1005" i="3"/>
  <c r="L1004" i="3"/>
  <c r="E1004" i="3"/>
  <c r="E991" i="3" s="1"/>
  <c r="L1003" i="3"/>
  <c r="E1003" i="3"/>
  <c r="E990" i="3" s="1"/>
  <c r="L1002" i="3"/>
  <c r="E1002" i="3"/>
  <c r="L1001" i="3"/>
  <c r="E1001" i="3"/>
  <c r="E988" i="3" s="1"/>
  <c r="L1000" i="3"/>
  <c r="E1000" i="3"/>
  <c r="E999" i="3" s="1"/>
  <c r="E986" i="3" s="1"/>
  <c r="J999" i="3"/>
  <c r="J986" i="3" s="1"/>
  <c r="I999" i="3"/>
  <c r="H999" i="3"/>
  <c r="H986" i="3" s="1"/>
  <c r="G999" i="3"/>
  <c r="F999" i="3"/>
  <c r="J998" i="3"/>
  <c r="I998" i="3"/>
  <c r="H998" i="3"/>
  <c r="G998" i="3"/>
  <c r="J997" i="3"/>
  <c r="I997" i="3"/>
  <c r="H997" i="3"/>
  <c r="G997" i="3"/>
  <c r="E997" i="3"/>
  <c r="J996" i="3"/>
  <c r="I996" i="3"/>
  <c r="H996" i="3"/>
  <c r="G996" i="3"/>
  <c r="J995" i="3"/>
  <c r="I995" i="3"/>
  <c r="H995" i="3"/>
  <c r="G995" i="3"/>
  <c r="L995" i="3" s="1"/>
  <c r="E995" i="3"/>
  <c r="J994" i="3"/>
  <c r="I994" i="3"/>
  <c r="H994" i="3"/>
  <c r="H931" i="3" s="1"/>
  <c r="G994" i="3"/>
  <c r="J993" i="3"/>
  <c r="I993" i="3"/>
  <c r="H993" i="3"/>
  <c r="G993" i="3"/>
  <c r="F993" i="3"/>
  <c r="J992" i="3"/>
  <c r="I992" i="3"/>
  <c r="H992" i="3"/>
  <c r="G992" i="3"/>
  <c r="F992" i="3"/>
  <c r="E992" i="3"/>
  <c r="J991" i="3"/>
  <c r="I991" i="3"/>
  <c r="H991" i="3"/>
  <c r="G991" i="3"/>
  <c r="L991" i="3" s="1"/>
  <c r="F991" i="3"/>
  <c r="J990" i="3"/>
  <c r="I990" i="3"/>
  <c r="H990" i="3"/>
  <c r="G990" i="3"/>
  <c r="J989" i="3"/>
  <c r="J926" i="3" s="1"/>
  <c r="I989" i="3"/>
  <c r="I926" i="3" s="1"/>
  <c r="H989" i="3"/>
  <c r="G989" i="3"/>
  <c r="E989" i="3"/>
  <c r="J988" i="3"/>
  <c r="J925" i="3" s="1"/>
  <c r="I988" i="3"/>
  <c r="H988" i="3"/>
  <c r="G988" i="3"/>
  <c r="F988" i="3"/>
  <c r="F925" i="3" s="1"/>
  <c r="J987" i="3"/>
  <c r="I987" i="3"/>
  <c r="H987" i="3"/>
  <c r="G987" i="3"/>
  <c r="F987" i="3"/>
  <c r="I986" i="3"/>
  <c r="G986" i="3"/>
  <c r="L985" i="3"/>
  <c r="E985" i="3"/>
  <c r="L984" i="3"/>
  <c r="E984" i="3"/>
  <c r="L983" i="3"/>
  <c r="E983" i="3"/>
  <c r="L982" i="3"/>
  <c r="E982" i="3"/>
  <c r="L981" i="3"/>
  <c r="E981" i="3"/>
  <c r="L980" i="3"/>
  <c r="E980" i="3"/>
  <c r="L979" i="3"/>
  <c r="E979" i="3"/>
  <c r="L978" i="3"/>
  <c r="E978" i="3"/>
  <c r="L977" i="3"/>
  <c r="E977" i="3"/>
  <c r="L976" i="3"/>
  <c r="E976" i="3"/>
  <c r="L975" i="3"/>
  <c r="E975" i="3"/>
  <c r="L974" i="3"/>
  <c r="E974" i="3"/>
  <c r="J973" i="3"/>
  <c r="I973" i="3"/>
  <c r="H973" i="3"/>
  <c r="G973" i="3"/>
  <c r="F973" i="3"/>
  <c r="E973" i="3"/>
  <c r="F970" i="3"/>
  <c r="L968" i="3"/>
  <c r="F968" i="3"/>
  <c r="F969" i="3" s="1"/>
  <c r="L967" i="3"/>
  <c r="E967" i="3"/>
  <c r="E943" i="3" s="1"/>
  <c r="L966" i="3"/>
  <c r="E966" i="3"/>
  <c r="L965" i="3"/>
  <c r="E965" i="3"/>
  <c r="E941" i="3" s="1"/>
  <c r="E928" i="3" s="1"/>
  <c r="L964" i="3"/>
  <c r="E964" i="3"/>
  <c r="L963" i="3"/>
  <c r="E963" i="3"/>
  <c r="L962" i="3"/>
  <c r="E962" i="3"/>
  <c r="L961" i="3"/>
  <c r="E961" i="3"/>
  <c r="J960" i="3"/>
  <c r="I960" i="3"/>
  <c r="H960" i="3"/>
  <c r="G960" i="3"/>
  <c r="E959" i="3"/>
  <c r="L958" i="3"/>
  <c r="E958" i="3"/>
  <c r="L957" i="3"/>
  <c r="E957" i="3"/>
  <c r="L956" i="3"/>
  <c r="E956" i="3"/>
  <c r="J955" i="3"/>
  <c r="I955" i="3"/>
  <c r="H955" i="3"/>
  <c r="G955" i="3"/>
  <c r="F955" i="3"/>
  <c r="L954" i="3"/>
  <c r="E954" i="3"/>
  <c r="L953" i="3"/>
  <c r="E953" i="3"/>
  <c r="L952" i="3"/>
  <c r="E952" i="3"/>
  <c r="L951" i="3"/>
  <c r="E951" i="3"/>
  <c r="L950" i="3"/>
  <c r="E950" i="3"/>
  <c r="J949" i="3"/>
  <c r="I949" i="3"/>
  <c r="H949" i="3"/>
  <c r="G949" i="3"/>
  <c r="F949" i="3"/>
  <c r="J948" i="3"/>
  <c r="I948" i="3"/>
  <c r="H948" i="3"/>
  <c r="G948" i="3"/>
  <c r="G935" i="3" s="1"/>
  <c r="J947" i="3"/>
  <c r="I947" i="3"/>
  <c r="H947" i="3"/>
  <c r="G947" i="3"/>
  <c r="J946" i="3"/>
  <c r="I946" i="3"/>
  <c r="H946" i="3"/>
  <c r="G946" i="3"/>
  <c r="J945" i="3"/>
  <c r="J932" i="3" s="1"/>
  <c r="I945" i="3"/>
  <c r="H945" i="3"/>
  <c r="G945" i="3"/>
  <c r="J944" i="3"/>
  <c r="J931" i="3" s="1"/>
  <c r="I944" i="3"/>
  <c r="H944" i="3"/>
  <c r="G944" i="3"/>
  <c r="F944" i="3"/>
  <c r="J943" i="3"/>
  <c r="I943" i="3"/>
  <c r="H943" i="3"/>
  <c r="G943" i="3"/>
  <c r="F943" i="3"/>
  <c r="J942" i="3"/>
  <c r="I942" i="3"/>
  <c r="H942" i="3"/>
  <c r="G942" i="3"/>
  <c r="F942" i="3"/>
  <c r="E942" i="3"/>
  <c r="J941" i="3"/>
  <c r="I941" i="3"/>
  <c r="H941" i="3"/>
  <c r="G941" i="3"/>
  <c r="F941" i="3"/>
  <c r="J940" i="3"/>
  <c r="I940" i="3"/>
  <c r="I927" i="3" s="1"/>
  <c r="H940" i="3"/>
  <c r="G940" i="3"/>
  <c r="F940" i="3"/>
  <c r="E940" i="3"/>
  <c r="E927" i="3" s="1"/>
  <c r="J939" i="3"/>
  <c r="I939" i="3"/>
  <c r="H939" i="3"/>
  <c r="G939" i="3"/>
  <c r="G926" i="3" s="1"/>
  <c r="F939" i="3"/>
  <c r="J938" i="3"/>
  <c r="I938" i="3"/>
  <c r="H938" i="3"/>
  <c r="G938" i="3"/>
  <c r="F938" i="3"/>
  <c r="J937" i="3"/>
  <c r="I937" i="3"/>
  <c r="I924" i="3" s="1"/>
  <c r="H937" i="3"/>
  <c r="G937" i="3"/>
  <c r="F937" i="3"/>
  <c r="H935" i="3"/>
  <c r="H932" i="3"/>
  <c r="E930" i="3"/>
  <c r="H927" i="3"/>
  <c r="L922" i="3"/>
  <c r="E922" i="3"/>
  <c r="L921" i="3"/>
  <c r="E921" i="3"/>
  <c r="J920" i="3"/>
  <c r="I920" i="3"/>
  <c r="H920" i="3"/>
  <c r="G920" i="3"/>
  <c r="F920" i="3"/>
  <c r="E920" i="3"/>
  <c r="L919" i="3"/>
  <c r="E919" i="3"/>
  <c r="L918" i="3"/>
  <c r="L917" i="3" s="1"/>
  <c r="E918" i="3"/>
  <c r="J917" i="3"/>
  <c r="I917" i="3"/>
  <c r="H917" i="3"/>
  <c r="G917" i="3"/>
  <c r="F917" i="3"/>
  <c r="L916" i="3"/>
  <c r="E916" i="3"/>
  <c r="L915" i="3"/>
  <c r="L914" i="3" s="1"/>
  <c r="E915" i="3"/>
  <c r="J914" i="3"/>
  <c r="I914" i="3"/>
  <c r="H914" i="3"/>
  <c r="G914" i="3"/>
  <c r="F914" i="3"/>
  <c r="E913" i="3"/>
  <c r="L912" i="3"/>
  <c r="E912" i="3"/>
  <c r="L911" i="3"/>
  <c r="E911" i="3"/>
  <c r="E910" i="3" s="1"/>
  <c r="J910" i="3"/>
  <c r="I910" i="3"/>
  <c r="H910" i="3"/>
  <c r="G910" i="3"/>
  <c r="L910" i="3" s="1"/>
  <c r="F910" i="3"/>
  <c r="E909" i="3"/>
  <c r="L908" i="3"/>
  <c r="E908" i="3"/>
  <c r="L907" i="3"/>
  <c r="E907" i="3"/>
  <c r="J906" i="3"/>
  <c r="I906" i="3"/>
  <c r="H906" i="3"/>
  <c r="G906" i="3"/>
  <c r="F906" i="3"/>
  <c r="L905" i="3"/>
  <c r="E905" i="3"/>
  <c r="E904" i="3" s="1"/>
  <c r="I904" i="3"/>
  <c r="H904" i="3"/>
  <c r="G904" i="3"/>
  <c r="F904" i="3"/>
  <c r="L903" i="3"/>
  <c r="E903" i="3"/>
  <c r="E902" i="3" s="1"/>
  <c r="J902" i="3"/>
  <c r="I902" i="3"/>
  <c r="H902" i="3"/>
  <c r="G902" i="3"/>
  <c r="F902" i="3"/>
  <c r="L901" i="3"/>
  <c r="E901" i="3"/>
  <c r="I900" i="3"/>
  <c r="H900" i="3"/>
  <c r="G900" i="3"/>
  <c r="F900" i="3"/>
  <c r="E900" i="3"/>
  <c r="L899" i="3"/>
  <c r="E899" i="3"/>
  <c r="E898" i="3" s="1"/>
  <c r="I898" i="3"/>
  <c r="H898" i="3"/>
  <c r="G898" i="3"/>
  <c r="F898" i="3"/>
  <c r="L897" i="3"/>
  <c r="E897" i="3"/>
  <c r="I896" i="3"/>
  <c r="H896" i="3"/>
  <c r="G896" i="3"/>
  <c r="F896" i="3"/>
  <c r="L896" i="3" s="1"/>
  <c r="L895" i="3"/>
  <c r="E895" i="3"/>
  <c r="E894" i="3" s="1"/>
  <c r="I894" i="3"/>
  <c r="H894" i="3"/>
  <c r="G894" i="3"/>
  <c r="F894" i="3"/>
  <c r="E893" i="3"/>
  <c r="E892" i="3"/>
  <c r="L891" i="3"/>
  <c r="E891" i="3"/>
  <c r="E889" i="3" s="1"/>
  <c r="L890" i="3"/>
  <c r="E890" i="3"/>
  <c r="J889" i="3"/>
  <c r="I889" i="3"/>
  <c r="H889" i="3"/>
  <c r="G889" i="3"/>
  <c r="F889" i="3"/>
  <c r="L889" i="3" s="1"/>
  <c r="E888" i="3"/>
  <c r="L887" i="3"/>
  <c r="E887" i="3"/>
  <c r="L886" i="3"/>
  <c r="E886" i="3"/>
  <c r="L885" i="3"/>
  <c r="E885" i="3"/>
  <c r="J884" i="3"/>
  <c r="I884" i="3"/>
  <c r="H884" i="3"/>
  <c r="G884" i="3"/>
  <c r="F884" i="3"/>
  <c r="L883" i="3"/>
  <c r="E883" i="3"/>
  <c r="L882" i="3"/>
  <c r="E882" i="3"/>
  <c r="L881" i="3"/>
  <c r="E881" i="3"/>
  <c r="J880" i="3"/>
  <c r="I880" i="3"/>
  <c r="H880" i="3"/>
  <c r="G880" i="3"/>
  <c r="F880" i="3"/>
  <c r="L879" i="3"/>
  <c r="E879" i="3"/>
  <c r="L878" i="3"/>
  <c r="E878" i="3"/>
  <c r="L877" i="3"/>
  <c r="E877" i="3"/>
  <c r="L876" i="3"/>
  <c r="E876" i="3"/>
  <c r="J875" i="3"/>
  <c r="I875" i="3"/>
  <c r="H875" i="3"/>
  <c r="G875" i="3"/>
  <c r="F875" i="3"/>
  <c r="E875" i="3"/>
  <c r="L874" i="3"/>
  <c r="E874" i="3"/>
  <c r="L873" i="3"/>
  <c r="E873" i="3"/>
  <c r="J872" i="3"/>
  <c r="I872" i="3"/>
  <c r="H872" i="3"/>
  <c r="G872" i="3"/>
  <c r="F872" i="3"/>
  <c r="J871" i="3"/>
  <c r="I871" i="3"/>
  <c r="H871" i="3"/>
  <c r="G871" i="3"/>
  <c r="F871" i="3"/>
  <c r="E871" i="3"/>
  <c r="J870" i="3"/>
  <c r="I870" i="3"/>
  <c r="H870" i="3"/>
  <c r="G870" i="3"/>
  <c r="F870" i="3"/>
  <c r="E870" i="3"/>
  <c r="J869" i="3"/>
  <c r="I869" i="3"/>
  <c r="H869" i="3"/>
  <c r="G869" i="3"/>
  <c r="F869" i="3"/>
  <c r="E869" i="3"/>
  <c r="J868" i="3"/>
  <c r="I868" i="3"/>
  <c r="H868" i="3"/>
  <c r="G868" i="3"/>
  <c r="F868" i="3"/>
  <c r="J867" i="3"/>
  <c r="I867" i="3"/>
  <c r="H867" i="3"/>
  <c r="G867" i="3"/>
  <c r="F867" i="3"/>
  <c r="J866" i="3"/>
  <c r="I866" i="3"/>
  <c r="H866" i="3"/>
  <c r="G866" i="3"/>
  <c r="F866" i="3"/>
  <c r="J865" i="3"/>
  <c r="I865" i="3"/>
  <c r="H865" i="3"/>
  <c r="G865" i="3"/>
  <c r="F865" i="3"/>
  <c r="J864" i="3"/>
  <c r="I864" i="3"/>
  <c r="H864" i="3"/>
  <c r="H862" i="3" s="1"/>
  <c r="G864" i="3"/>
  <c r="F864" i="3"/>
  <c r="J863" i="3"/>
  <c r="I863" i="3"/>
  <c r="H863" i="3"/>
  <c r="G863" i="3"/>
  <c r="F863" i="3"/>
  <c r="E863" i="3"/>
  <c r="F857" i="3"/>
  <c r="L856" i="3"/>
  <c r="E856" i="3"/>
  <c r="L855" i="3"/>
  <c r="E855" i="3"/>
  <c r="L854" i="3"/>
  <c r="E854" i="3"/>
  <c r="L853" i="3"/>
  <c r="E853" i="3"/>
  <c r="L852" i="3"/>
  <c r="E852" i="3"/>
  <c r="J851" i="3"/>
  <c r="I851" i="3"/>
  <c r="H851" i="3"/>
  <c r="G851" i="3"/>
  <c r="F851" i="3"/>
  <c r="F846" i="3"/>
  <c r="L845" i="3"/>
  <c r="F845" i="3"/>
  <c r="E845" i="3"/>
  <c r="F844" i="3"/>
  <c r="L843" i="3"/>
  <c r="E843" i="3"/>
  <c r="L842" i="3"/>
  <c r="E842" i="3"/>
  <c r="L841" i="3"/>
  <c r="E841" i="3"/>
  <c r="L840" i="3"/>
  <c r="E840" i="3"/>
  <c r="J839" i="3"/>
  <c r="I839" i="3"/>
  <c r="H839" i="3"/>
  <c r="G839" i="3"/>
  <c r="L838" i="3"/>
  <c r="E838" i="3"/>
  <c r="L837" i="3"/>
  <c r="E837" i="3"/>
  <c r="J836" i="3"/>
  <c r="I836" i="3"/>
  <c r="H836" i="3"/>
  <c r="G836" i="3"/>
  <c r="F836" i="3"/>
  <c r="L835" i="3"/>
  <c r="E835" i="3"/>
  <c r="L834" i="3"/>
  <c r="E834" i="3"/>
  <c r="L833" i="3"/>
  <c r="E833" i="3"/>
  <c r="L832" i="3"/>
  <c r="E832" i="3"/>
  <c r="L831" i="3"/>
  <c r="E831" i="3"/>
  <c r="L830" i="3"/>
  <c r="E830" i="3"/>
  <c r="L829" i="3"/>
  <c r="E829" i="3"/>
  <c r="L828" i="3"/>
  <c r="E828" i="3"/>
  <c r="L827" i="3"/>
  <c r="E827" i="3"/>
  <c r="L826" i="3"/>
  <c r="E826" i="3"/>
  <c r="L825" i="3"/>
  <c r="E825" i="3"/>
  <c r="L824" i="3"/>
  <c r="E824" i="3"/>
  <c r="J823" i="3"/>
  <c r="I823" i="3"/>
  <c r="H823" i="3"/>
  <c r="G823" i="3"/>
  <c r="F823" i="3"/>
  <c r="E823" i="3"/>
  <c r="F818" i="3"/>
  <c r="L817" i="3"/>
  <c r="F817" i="3"/>
  <c r="E817" i="3"/>
  <c r="F816" i="3"/>
  <c r="L815" i="3"/>
  <c r="F815" i="3"/>
  <c r="E815" i="3"/>
  <c r="F814" i="3"/>
  <c r="L813" i="3"/>
  <c r="F813" i="3"/>
  <c r="E813" i="3"/>
  <c r="F812" i="3"/>
  <c r="J811" i="3"/>
  <c r="I811" i="3"/>
  <c r="I810" i="3" s="1"/>
  <c r="H811" i="3"/>
  <c r="G811" i="3"/>
  <c r="G810" i="3" s="1"/>
  <c r="F811" i="3"/>
  <c r="J810" i="3"/>
  <c r="H810" i="3"/>
  <c r="E809" i="3"/>
  <c r="J808" i="3"/>
  <c r="H808" i="3"/>
  <c r="L808" i="3" s="1"/>
  <c r="E808" i="3"/>
  <c r="L807" i="3"/>
  <c r="E807" i="3"/>
  <c r="J806" i="3"/>
  <c r="H806" i="3"/>
  <c r="L805" i="3"/>
  <c r="E805" i="3"/>
  <c r="J804" i="3"/>
  <c r="H804" i="3"/>
  <c r="L803" i="3"/>
  <c r="E803" i="3"/>
  <c r="E802" i="3" s="1"/>
  <c r="J802" i="3"/>
  <c r="I802" i="3"/>
  <c r="H802" i="3"/>
  <c r="L801" i="3"/>
  <c r="E801" i="3"/>
  <c r="L800" i="3"/>
  <c r="E800" i="3"/>
  <c r="J799" i="3"/>
  <c r="I799" i="3"/>
  <c r="H799" i="3"/>
  <c r="G799" i="3"/>
  <c r="F799" i="3"/>
  <c r="E799" i="3"/>
  <c r="L798" i="3"/>
  <c r="E798" i="3"/>
  <c r="L797" i="3"/>
  <c r="E797" i="3"/>
  <c r="E773" i="3" s="1"/>
  <c r="L796" i="3"/>
  <c r="E796" i="3"/>
  <c r="L795" i="3"/>
  <c r="E795" i="3"/>
  <c r="J794" i="3"/>
  <c r="I794" i="3"/>
  <c r="H794" i="3"/>
  <c r="G794" i="3"/>
  <c r="F794" i="3"/>
  <c r="L794" i="3" s="1"/>
  <c r="L789" i="3"/>
  <c r="E789" i="3"/>
  <c r="J788" i="3"/>
  <c r="I788" i="3"/>
  <c r="I786" i="3" s="1"/>
  <c r="H788" i="3"/>
  <c r="G788" i="3"/>
  <c r="G786" i="3" s="1"/>
  <c r="F788" i="3"/>
  <c r="F786" i="3" s="1"/>
  <c r="E788" i="3"/>
  <c r="L785" i="3"/>
  <c r="E785" i="3"/>
  <c r="L784" i="3"/>
  <c r="E784" i="3"/>
  <c r="J783" i="3"/>
  <c r="I783" i="3"/>
  <c r="H783" i="3"/>
  <c r="G783" i="3"/>
  <c r="F783" i="3"/>
  <c r="E783" i="3"/>
  <c r="L782" i="3"/>
  <c r="L781" i="3"/>
  <c r="E781" i="3"/>
  <c r="L780" i="3"/>
  <c r="E780" i="3"/>
  <c r="L779" i="3"/>
  <c r="E779" i="3"/>
  <c r="J778" i="3"/>
  <c r="I778" i="3"/>
  <c r="H778" i="3"/>
  <c r="G778" i="3"/>
  <c r="F778" i="3"/>
  <c r="E778" i="3"/>
  <c r="L777" i="3"/>
  <c r="E777" i="3"/>
  <c r="L776" i="3"/>
  <c r="J775" i="3"/>
  <c r="I775" i="3"/>
  <c r="H775" i="3"/>
  <c r="G775" i="3"/>
  <c r="F775" i="3"/>
  <c r="L775" i="3" s="1"/>
  <c r="E775" i="3"/>
  <c r="J774" i="3"/>
  <c r="I774" i="3"/>
  <c r="H774" i="3"/>
  <c r="G774" i="3"/>
  <c r="F774" i="3"/>
  <c r="J773" i="3"/>
  <c r="I773" i="3"/>
  <c r="H773" i="3"/>
  <c r="G773" i="3"/>
  <c r="F773" i="3"/>
  <c r="J772" i="3"/>
  <c r="I772" i="3"/>
  <c r="H772" i="3"/>
  <c r="G772" i="3"/>
  <c r="F772" i="3"/>
  <c r="J771" i="3"/>
  <c r="I771" i="3"/>
  <c r="H771" i="3"/>
  <c r="G771" i="3"/>
  <c r="F771" i="3"/>
  <c r="J770" i="3"/>
  <c r="I770" i="3"/>
  <c r="I769" i="3" s="1"/>
  <c r="H770" i="3"/>
  <c r="H769" i="3" s="1"/>
  <c r="G770" i="3"/>
  <c r="F770" i="3"/>
  <c r="E770" i="3"/>
  <c r="J769" i="3"/>
  <c r="G769" i="3"/>
  <c r="F769" i="3"/>
  <c r="E768" i="3"/>
  <c r="J767" i="3"/>
  <c r="I767" i="3"/>
  <c r="H767" i="3"/>
  <c r="G767" i="3"/>
  <c r="F767" i="3"/>
  <c r="E767" i="3"/>
  <c r="E766" i="3"/>
  <c r="E765" i="3" s="1"/>
  <c r="J765" i="3"/>
  <c r="I765" i="3"/>
  <c r="H765" i="3"/>
  <c r="G765" i="3"/>
  <c r="F765" i="3"/>
  <c r="E764" i="3"/>
  <c r="J763" i="3"/>
  <c r="I763" i="3"/>
  <c r="H763" i="3"/>
  <c r="G763" i="3"/>
  <c r="F763" i="3"/>
  <c r="E763" i="3"/>
  <c r="L762" i="3"/>
  <c r="E762" i="3"/>
  <c r="J761" i="3"/>
  <c r="I761" i="3"/>
  <c r="H761" i="3"/>
  <c r="G761" i="3"/>
  <c r="F761" i="3"/>
  <c r="L761" i="3" s="1"/>
  <c r="E761" i="3"/>
  <c r="L760" i="3"/>
  <c r="E760" i="3"/>
  <c r="E759" i="3" s="1"/>
  <c r="J759" i="3"/>
  <c r="I759" i="3"/>
  <c r="H759" i="3"/>
  <c r="G759" i="3"/>
  <c r="F759" i="3"/>
  <c r="L758" i="3"/>
  <c r="E758" i="3"/>
  <c r="E752" i="3" s="1"/>
  <c r="L757" i="3"/>
  <c r="E757" i="3"/>
  <c r="E751" i="3" s="1"/>
  <c r="L756" i="3"/>
  <c r="E756" i="3"/>
  <c r="J755" i="3"/>
  <c r="I755" i="3"/>
  <c r="H755" i="3"/>
  <c r="G755" i="3"/>
  <c r="F755" i="3"/>
  <c r="L754" i="3"/>
  <c r="E754" i="3"/>
  <c r="E750" i="3" s="1"/>
  <c r="J753" i="3"/>
  <c r="I753" i="3"/>
  <c r="H753" i="3"/>
  <c r="G753" i="3"/>
  <c r="F753" i="3"/>
  <c r="J752" i="3"/>
  <c r="I752" i="3"/>
  <c r="H752" i="3"/>
  <c r="G752" i="3"/>
  <c r="F752" i="3"/>
  <c r="J751" i="3"/>
  <c r="J749" i="3" s="1"/>
  <c r="I751" i="3"/>
  <c r="H751" i="3"/>
  <c r="G751" i="3"/>
  <c r="F751" i="3"/>
  <c r="J750" i="3"/>
  <c r="I750" i="3"/>
  <c r="H750" i="3"/>
  <c r="H749" i="3" s="1"/>
  <c r="G750" i="3"/>
  <c r="F750" i="3"/>
  <c r="L748" i="3"/>
  <c r="E748" i="3"/>
  <c r="L747" i="3"/>
  <c r="E747" i="3"/>
  <c r="L746" i="3"/>
  <c r="E746" i="3"/>
  <c r="L745" i="3"/>
  <c r="E745" i="3"/>
  <c r="E744" i="3" s="1"/>
  <c r="J744" i="3"/>
  <c r="I744" i="3"/>
  <c r="H744" i="3"/>
  <c r="G744" i="3"/>
  <c r="F744" i="3"/>
  <c r="E743" i="3"/>
  <c r="E742" i="3" s="1"/>
  <c r="J742" i="3"/>
  <c r="I742" i="3"/>
  <c r="H742" i="3"/>
  <c r="L741" i="3"/>
  <c r="E741" i="3"/>
  <c r="E740" i="3" s="1"/>
  <c r="L740" i="3"/>
  <c r="J740" i="3"/>
  <c r="I740" i="3"/>
  <c r="H740" i="3"/>
  <c r="G740" i="3"/>
  <c r="F740" i="3"/>
  <c r="E739" i="3"/>
  <c r="E738" i="3" s="1"/>
  <c r="J738" i="3"/>
  <c r="I738" i="3"/>
  <c r="H738" i="3"/>
  <c r="G738" i="3"/>
  <c r="F738" i="3"/>
  <c r="E737" i="3"/>
  <c r="J736" i="3"/>
  <c r="I736" i="3"/>
  <c r="H736" i="3"/>
  <c r="G736" i="3"/>
  <c r="F736" i="3"/>
  <c r="E736" i="3"/>
  <c r="L735" i="3"/>
  <c r="E735" i="3"/>
  <c r="E734" i="3" s="1"/>
  <c r="J734" i="3"/>
  <c r="I734" i="3"/>
  <c r="H734" i="3"/>
  <c r="G734" i="3"/>
  <c r="F734" i="3"/>
  <c r="L733" i="3"/>
  <c r="E733" i="3"/>
  <c r="J732" i="3"/>
  <c r="I732" i="3"/>
  <c r="H732" i="3"/>
  <c r="G732" i="3"/>
  <c r="F732" i="3"/>
  <c r="E732" i="3"/>
  <c r="L731" i="3"/>
  <c r="E731" i="3"/>
  <c r="L730" i="3"/>
  <c r="E730" i="3"/>
  <c r="L729" i="3"/>
  <c r="E729" i="3"/>
  <c r="L728" i="3"/>
  <c r="E728" i="3"/>
  <c r="E626" i="3" s="1"/>
  <c r="L727" i="3"/>
  <c r="E727" i="3"/>
  <c r="L726" i="3"/>
  <c r="E726" i="3"/>
  <c r="E725" i="3" s="1"/>
  <c r="J725" i="3"/>
  <c r="I725" i="3"/>
  <c r="H725" i="3"/>
  <c r="G725" i="3"/>
  <c r="F725" i="3"/>
  <c r="E724" i="3"/>
  <c r="K723" i="3"/>
  <c r="J723" i="3"/>
  <c r="I723" i="3"/>
  <c r="H723" i="3"/>
  <c r="G723" i="3"/>
  <c r="F723" i="3"/>
  <c r="E723" i="3"/>
  <c r="L722" i="3"/>
  <c r="L721" i="3"/>
  <c r="E721" i="3"/>
  <c r="L720" i="3"/>
  <c r="E720" i="3"/>
  <c r="L719" i="3"/>
  <c r="E719" i="3"/>
  <c r="E717" i="3" s="1"/>
  <c r="L718" i="3"/>
  <c r="E718" i="3"/>
  <c r="J717" i="3"/>
  <c r="I717" i="3"/>
  <c r="H717" i="3"/>
  <c r="G717" i="3"/>
  <c r="F717" i="3"/>
  <c r="L716" i="3"/>
  <c r="E716" i="3"/>
  <c r="E715" i="3" s="1"/>
  <c r="J715" i="3"/>
  <c r="I715" i="3"/>
  <c r="H715" i="3"/>
  <c r="G715" i="3"/>
  <c r="L715" i="3" s="1"/>
  <c r="F715" i="3"/>
  <c r="L714" i="3"/>
  <c r="E714" i="3"/>
  <c r="K713" i="3"/>
  <c r="J713" i="3"/>
  <c r="I713" i="3"/>
  <c r="H713" i="3"/>
  <c r="G713" i="3"/>
  <c r="F713" i="3"/>
  <c r="K712" i="3"/>
  <c r="J711" i="3"/>
  <c r="J712" i="3" s="1"/>
  <c r="I711" i="3"/>
  <c r="I712" i="3" s="1"/>
  <c r="H711" i="3"/>
  <c r="H712" i="3" s="1"/>
  <c r="G711" i="3"/>
  <c r="G712" i="3" s="1"/>
  <c r="F711" i="3"/>
  <c r="L710" i="3"/>
  <c r="E710" i="3"/>
  <c r="E708" i="3" s="1"/>
  <c r="E707" i="3" s="1"/>
  <c r="K709" i="3"/>
  <c r="J709" i="3"/>
  <c r="I709" i="3"/>
  <c r="H709" i="3"/>
  <c r="G709" i="3"/>
  <c r="F709" i="3"/>
  <c r="J708" i="3"/>
  <c r="J707" i="3" s="1"/>
  <c r="I708" i="3"/>
  <c r="H708" i="3"/>
  <c r="G708" i="3"/>
  <c r="F708" i="3"/>
  <c r="F707" i="3" s="1"/>
  <c r="I707" i="3"/>
  <c r="H707" i="3"/>
  <c r="L706" i="3"/>
  <c r="E706" i="3"/>
  <c r="K705" i="3"/>
  <c r="J705" i="3"/>
  <c r="I705" i="3"/>
  <c r="H705" i="3"/>
  <c r="G705" i="3"/>
  <c r="F705" i="3"/>
  <c r="E705" i="3"/>
  <c r="J704" i="3"/>
  <c r="I704" i="3"/>
  <c r="H704" i="3"/>
  <c r="G704" i="3"/>
  <c r="F704" i="3"/>
  <c r="E704" i="3"/>
  <c r="J703" i="3"/>
  <c r="I703" i="3"/>
  <c r="F703" i="3"/>
  <c r="E703" i="3"/>
  <c r="L702" i="3"/>
  <c r="E702" i="3"/>
  <c r="K701" i="3"/>
  <c r="J701" i="3"/>
  <c r="I701" i="3"/>
  <c r="H701" i="3"/>
  <c r="G701" i="3"/>
  <c r="F701" i="3"/>
  <c r="E701" i="3"/>
  <c r="J700" i="3"/>
  <c r="I700" i="3"/>
  <c r="I699" i="3" s="1"/>
  <c r="H700" i="3"/>
  <c r="H699" i="3" s="1"/>
  <c r="G700" i="3"/>
  <c r="F700" i="3"/>
  <c r="E700" i="3"/>
  <c r="E699" i="3" s="1"/>
  <c r="J699" i="3"/>
  <c r="G699" i="3"/>
  <c r="F699" i="3"/>
  <c r="L698" i="3"/>
  <c r="E698" i="3"/>
  <c r="E697" i="3" s="1"/>
  <c r="K697" i="3"/>
  <c r="J697" i="3"/>
  <c r="I697" i="3"/>
  <c r="H697" i="3"/>
  <c r="G697" i="3"/>
  <c r="F697" i="3"/>
  <c r="J696" i="3"/>
  <c r="J695" i="3" s="1"/>
  <c r="I696" i="3"/>
  <c r="I695" i="3" s="1"/>
  <c r="H696" i="3"/>
  <c r="G696" i="3"/>
  <c r="F696" i="3"/>
  <c r="E696" i="3"/>
  <c r="H695" i="3"/>
  <c r="G695" i="3"/>
  <c r="J694" i="3"/>
  <c r="J625" i="3" s="1"/>
  <c r="I694" i="3"/>
  <c r="L691" i="3"/>
  <c r="E691" i="3"/>
  <c r="L690" i="3"/>
  <c r="E690" i="3"/>
  <c r="L689" i="3"/>
  <c r="E689" i="3"/>
  <c r="L688" i="3"/>
  <c r="E688" i="3"/>
  <c r="L687" i="3"/>
  <c r="E687" i="3"/>
  <c r="L686" i="3"/>
  <c r="E686" i="3"/>
  <c r="L685" i="3"/>
  <c r="E685" i="3"/>
  <c r="L684" i="3"/>
  <c r="E684" i="3"/>
  <c r="J683" i="3"/>
  <c r="E683" i="3" s="1"/>
  <c r="I683" i="3"/>
  <c r="H683" i="3"/>
  <c r="G683" i="3"/>
  <c r="F683" i="3"/>
  <c r="L683" i="3" s="1"/>
  <c r="L682" i="3"/>
  <c r="E682" i="3"/>
  <c r="L681" i="3"/>
  <c r="E681" i="3"/>
  <c r="L680" i="3"/>
  <c r="E680" i="3"/>
  <c r="L679" i="3"/>
  <c r="E679" i="3"/>
  <c r="L678" i="3"/>
  <c r="E678" i="3"/>
  <c r="L677" i="3"/>
  <c r="E677" i="3"/>
  <c r="L676" i="3"/>
  <c r="E676" i="3"/>
  <c r="L675" i="3"/>
  <c r="E675" i="3"/>
  <c r="L674" i="3"/>
  <c r="E674" i="3"/>
  <c r="L673" i="3"/>
  <c r="E673" i="3"/>
  <c r="L672" i="3"/>
  <c r="E672" i="3"/>
  <c r="L671" i="3"/>
  <c r="E671" i="3"/>
  <c r="E668" i="3" s="1"/>
  <c r="L670" i="3"/>
  <c r="E670" i="3"/>
  <c r="J669" i="3"/>
  <c r="J667" i="3" s="1"/>
  <c r="I669" i="3"/>
  <c r="H669" i="3"/>
  <c r="G669" i="3"/>
  <c r="F669" i="3"/>
  <c r="F667" i="3" s="1"/>
  <c r="E669" i="3"/>
  <c r="J668" i="3"/>
  <c r="I668" i="3"/>
  <c r="H668" i="3"/>
  <c r="H667" i="3" s="1"/>
  <c r="G668" i="3"/>
  <c r="F668" i="3"/>
  <c r="I667" i="3"/>
  <c r="L666" i="3"/>
  <c r="E666" i="3"/>
  <c r="E665" i="3" s="1"/>
  <c r="J665" i="3"/>
  <c r="I665" i="3"/>
  <c r="H665" i="3"/>
  <c r="G665" i="3"/>
  <c r="F665" i="3"/>
  <c r="E664" i="3"/>
  <c r="J663" i="3"/>
  <c r="I663" i="3"/>
  <c r="H663" i="3"/>
  <c r="G663" i="3"/>
  <c r="F663" i="3"/>
  <c r="E662" i="3"/>
  <c r="J661" i="3"/>
  <c r="I661" i="3"/>
  <c r="H661" i="3"/>
  <c r="G661" i="3"/>
  <c r="F661" i="3"/>
  <c r="E661" i="3"/>
  <c r="L660" i="3"/>
  <c r="E660" i="3"/>
  <c r="J659" i="3"/>
  <c r="I659" i="3"/>
  <c r="H659" i="3"/>
  <c r="G659" i="3"/>
  <c r="F659" i="3"/>
  <c r="E659" i="3"/>
  <c r="L658" i="3"/>
  <c r="E658" i="3"/>
  <c r="J657" i="3"/>
  <c r="I657" i="3"/>
  <c r="H657" i="3"/>
  <c r="G657" i="3"/>
  <c r="F657" i="3"/>
  <c r="E657" i="3"/>
  <c r="L656" i="3"/>
  <c r="E656" i="3"/>
  <c r="J655" i="3"/>
  <c r="I655" i="3"/>
  <c r="H655" i="3"/>
  <c r="G655" i="3"/>
  <c r="F655" i="3"/>
  <c r="E655" i="3"/>
  <c r="L654" i="3"/>
  <c r="E654" i="3"/>
  <c r="J653" i="3"/>
  <c r="I653" i="3"/>
  <c r="H653" i="3"/>
  <c r="G653" i="3"/>
  <c r="F653" i="3"/>
  <c r="E653" i="3"/>
  <c r="L652" i="3"/>
  <c r="E652" i="3"/>
  <c r="J651" i="3"/>
  <c r="I651" i="3"/>
  <c r="H651" i="3"/>
  <c r="G651" i="3"/>
  <c r="F651" i="3"/>
  <c r="E651" i="3"/>
  <c r="L650" i="3"/>
  <c r="E650" i="3"/>
  <c r="J649" i="3"/>
  <c r="I649" i="3"/>
  <c r="H649" i="3"/>
  <c r="G649" i="3"/>
  <c r="F649" i="3"/>
  <c r="E649" i="3"/>
  <c r="L648" i="3"/>
  <c r="E648" i="3"/>
  <c r="J647" i="3"/>
  <c r="I647" i="3"/>
  <c r="H647" i="3"/>
  <c r="G647" i="3"/>
  <c r="F647" i="3"/>
  <c r="E647" i="3"/>
  <c r="L646" i="3"/>
  <c r="E646" i="3"/>
  <c r="J645" i="3"/>
  <c r="I645" i="3"/>
  <c r="H645" i="3"/>
  <c r="G645" i="3"/>
  <c r="F645" i="3"/>
  <c r="E645" i="3"/>
  <c r="L644" i="3"/>
  <c r="E644" i="3"/>
  <c r="J643" i="3"/>
  <c r="I643" i="3"/>
  <c r="H643" i="3"/>
  <c r="G643" i="3"/>
  <c r="F643" i="3"/>
  <c r="E643" i="3"/>
  <c r="L642" i="3"/>
  <c r="E642" i="3"/>
  <c r="E632" i="3" s="1"/>
  <c r="J641" i="3"/>
  <c r="I641" i="3"/>
  <c r="H641" i="3"/>
  <c r="G641" i="3"/>
  <c r="F641" i="3"/>
  <c r="E641" i="3"/>
  <c r="L640" i="3"/>
  <c r="E640" i="3"/>
  <c r="L639" i="3"/>
  <c r="E639" i="3"/>
  <c r="E633" i="3" s="1"/>
  <c r="L638" i="3"/>
  <c r="E638" i="3"/>
  <c r="L637" i="3"/>
  <c r="E637" i="3"/>
  <c r="E636" i="3" s="1"/>
  <c r="K636" i="3"/>
  <c r="J636" i="3"/>
  <c r="I636" i="3"/>
  <c r="H636" i="3"/>
  <c r="G636" i="3"/>
  <c r="F636" i="3"/>
  <c r="I635" i="3"/>
  <c r="L635" i="3" s="1"/>
  <c r="G635" i="3"/>
  <c r="F635" i="3"/>
  <c r="K634" i="3"/>
  <c r="J634" i="3"/>
  <c r="I634" i="3"/>
  <c r="H634" i="3"/>
  <c r="G634" i="3"/>
  <c r="F634" i="3"/>
  <c r="L634" i="3" s="1"/>
  <c r="E634" i="3"/>
  <c r="K633" i="3"/>
  <c r="J633" i="3"/>
  <c r="I633" i="3"/>
  <c r="H633" i="3"/>
  <c r="G633" i="3"/>
  <c r="F633" i="3"/>
  <c r="K632" i="3"/>
  <c r="J632" i="3"/>
  <c r="I632" i="3"/>
  <c r="H632" i="3"/>
  <c r="G632" i="3"/>
  <c r="L632" i="3" s="1"/>
  <c r="F632" i="3"/>
  <c r="K631" i="3"/>
  <c r="J631" i="3"/>
  <c r="I631" i="3"/>
  <c r="H631" i="3"/>
  <c r="G631" i="3"/>
  <c r="F631" i="3"/>
  <c r="E631" i="3"/>
  <c r="K630" i="3"/>
  <c r="J630" i="3"/>
  <c r="I630" i="3"/>
  <c r="H630" i="3"/>
  <c r="G630" i="3"/>
  <c r="F630" i="3"/>
  <c r="E630" i="3"/>
  <c r="K629" i="3"/>
  <c r="J629" i="3"/>
  <c r="I629" i="3"/>
  <c r="H629" i="3"/>
  <c r="G629" i="3"/>
  <c r="F629" i="3"/>
  <c r="K628" i="3"/>
  <c r="J628" i="3"/>
  <c r="I628" i="3"/>
  <c r="H628" i="3"/>
  <c r="G628" i="3"/>
  <c r="F628" i="3"/>
  <c r="K627" i="3"/>
  <c r="J627" i="3"/>
  <c r="I627" i="3"/>
  <c r="H627" i="3"/>
  <c r="G627" i="3"/>
  <c r="F627" i="3"/>
  <c r="K626" i="3"/>
  <c r="J626" i="3"/>
  <c r="I626" i="3"/>
  <c r="H626" i="3"/>
  <c r="G626" i="3"/>
  <c r="F626" i="3"/>
  <c r="L626" i="3" s="1"/>
  <c r="K625" i="3"/>
  <c r="K624" i="3"/>
  <c r="L622" i="3"/>
  <c r="E622" i="3"/>
  <c r="E614" i="3" s="1"/>
  <c r="L621" i="3"/>
  <c r="E621" i="3"/>
  <c r="L620" i="3"/>
  <c r="E620" i="3"/>
  <c r="E612" i="3" s="1"/>
  <c r="L619" i="3"/>
  <c r="E619" i="3"/>
  <c r="E611" i="3" s="1"/>
  <c r="L618" i="3"/>
  <c r="E618" i="3"/>
  <c r="E610" i="3" s="1"/>
  <c r="K617" i="3"/>
  <c r="J617" i="3"/>
  <c r="I617" i="3"/>
  <c r="H617" i="3"/>
  <c r="G617" i="3"/>
  <c r="F617" i="3"/>
  <c r="E617" i="3"/>
  <c r="L616" i="3"/>
  <c r="E616" i="3"/>
  <c r="J615" i="3"/>
  <c r="I615" i="3"/>
  <c r="I608" i="3" s="1"/>
  <c r="H615" i="3"/>
  <c r="H608" i="3" s="1"/>
  <c r="G615" i="3"/>
  <c r="F615" i="3"/>
  <c r="E615" i="3"/>
  <c r="E608" i="3" s="1"/>
  <c r="J614" i="3"/>
  <c r="I614" i="3"/>
  <c r="H614" i="3"/>
  <c r="G614" i="3"/>
  <c r="F614" i="3"/>
  <c r="J613" i="3"/>
  <c r="I613" i="3"/>
  <c r="H613" i="3"/>
  <c r="G613" i="3"/>
  <c r="F613" i="3"/>
  <c r="E613" i="3"/>
  <c r="J612" i="3"/>
  <c r="I612" i="3"/>
  <c r="H612" i="3"/>
  <c r="G612" i="3"/>
  <c r="F612" i="3"/>
  <c r="J611" i="3"/>
  <c r="I611" i="3"/>
  <c r="H611" i="3"/>
  <c r="G611" i="3"/>
  <c r="F611" i="3"/>
  <c r="J610" i="3"/>
  <c r="I610" i="3"/>
  <c r="H610" i="3"/>
  <c r="G610" i="3"/>
  <c r="F610" i="3"/>
  <c r="J609" i="3"/>
  <c r="I609" i="3"/>
  <c r="H609" i="3"/>
  <c r="G609" i="3"/>
  <c r="F609" i="3"/>
  <c r="E609" i="3"/>
  <c r="J608" i="3"/>
  <c r="G608" i="3"/>
  <c r="F608" i="3"/>
  <c r="L607" i="3"/>
  <c r="E607" i="3"/>
  <c r="E594" i="3" s="1"/>
  <c r="L606" i="3"/>
  <c r="E606" i="3"/>
  <c r="E593" i="3" s="1"/>
  <c r="L605" i="3"/>
  <c r="E605" i="3"/>
  <c r="E592" i="3" s="1"/>
  <c r="L604" i="3"/>
  <c r="E604" i="3"/>
  <c r="L603" i="3"/>
  <c r="E603" i="3"/>
  <c r="E590" i="3" s="1"/>
  <c r="L602" i="3"/>
  <c r="E602" i="3"/>
  <c r="E589" i="3" s="1"/>
  <c r="L601" i="3"/>
  <c r="E601" i="3"/>
  <c r="E588" i="3" s="1"/>
  <c r="L600" i="3"/>
  <c r="E600" i="3"/>
  <c r="L599" i="3"/>
  <c r="E599" i="3"/>
  <c r="E586" i="3" s="1"/>
  <c r="L598" i="3"/>
  <c r="E598" i="3"/>
  <c r="E585" i="3" s="1"/>
  <c r="L597" i="3"/>
  <c r="E597" i="3"/>
  <c r="E595" i="3" s="1"/>
  <c r="L596" i="3"/>
  <c r="E596" i="3"/>
  <c r="J595" i="3"/>
  <c r="I595" i="3"/>
  <c r="H595" i="3"/>
  <c r="G595" i="3"/>
  <c r="F595" i="3"/>
  <c r="J594" i="3"/>
  <c r="I594" i="3"/>
  <c r="H594" i="3"/>
  <c r="G594" i="3"/>
  <c r="F594" i="3"/>
  <c r="J593" i="3"/>
  <c r="I593" i="3"/>
  <c r="H593" i="3"/>
  <c r="G593" i="3"/>
  <c r="F593" i="3"/>
  <c r="J592" i="3"/>
  <c r="I592" i="3"/>
  <c r="H592" i="3"/>
  <c r="G592" i="3"/>
  <c r="F592" i="3"/>
  <c r="J591" i="3"/>
  <c r="I591" i="3"/>
  <c r="H591" i="3"/>
  <c r="G591" i="3"/>
  <c r="F591" i="3"/>
  <c r="E591" i="3"/>
  <c r="J590" i="3"/>
  <c r="I590" i="3"/>
  <c r="H590" i="3"/>
  <c r="G590" i="3"/>
  <c r="F590" i="3"/>
  <c r="J589" i="3"/>
  <c r="I589" i="3"/>
  <c r="H589" i="3"/>
  <c r="G589" i="3"/>
  <c r="F589" i="3"/>
  <c r="J588" i="3"/>
  <c r="I588" i="3"/>
  <c r="H588" i="3"/>
  <c r="G588" i="3"/>
  <c r="F588" i="3"/>
  <c r="J587" i="3"/>
  <c r="I587" i="3"/>
  <c r="H587" i="3"/>
  <c r="G587" i="3"/>
  <c r="F587" i="3"/>
  <c r="E587" i="3"/>
  <c r="J586" i="3"/>
  <c r="I586" i="3"/>
  <c r="H586" i="3"/>
  <c r="G586" i="3"/>
  <c r="F586" i="3"/>
  <c r="J585" i="3"/>
  <c r="I585" i="3"/>
  <c r="H585" i="3"/>
  <c r="G585" i="3"/>
  <c r="F585" i="3"/>
  <c r="J584" i="3"/>
  <c r="I584" i="3"/>
  <c r="H584" i="3"/>
  <c r="G584" i="3"/>
  <c r="F584" i="3"/>
  <c r="J583" i="3"/>
  <c r="I583" i="3"/>
  <c r="H583" i="3"/>
  <c r="G583" i="3"/>
  <c r="G582" i="3" s="1"/>
  <c r="F583" i="3"/>
  <c r="E583" i="3"/>
  <c r="I582" i="3"/>
  <c r="H582" i="3"/>
  <c r="L581" i="3"/>
  <c r="E581" i="3"/>
  <c r="E580" i="3" s="1"/>
  <c r="E578" i="3" s="1"/>
  <c r="J580" i="3"/>
  <c r="I580" i="3"/>
  <c r="H580" i="3"/>
  <c r="G580" i="3"/>
  <c r="G578" i="3" s="1"/>
  <c r="F580" i="3"/>
  <c r="J579" i="3"/>
  <c r="I579" i="3"/>
  <c r="H579" i="3"/>
  <c r="G579" i="3"/>
  <c r="F579" i="3"/>
  <c r="J578" i="3"/>
  <c r="I578" i="3"/>
  <c r="H578" i="3"/>
  <c r="F578" i="3"/>
  <c r="E577" i="3"/>
  <c r="E576" i="3" s="1"/>
  <c r="J576" i="3"/>
  <c r="I576" i="3"/>
  <c r="H576" i="3"/>
  <c r="G576" i="3"/>
  <c r="E575" i="3"/>
  <c r="E573" i="3" s="1"/>
  <c r="E574" i="3"/>
  <c r="J573" i="3"/>
  <c r="I573" i="3"/>
  <c r="H573" i="3"/>
  <c r="G573" i="3"/>
  <c r="F573" i="3"/>
  <c r="E572" i="3"/>
  <c r="L571" i="3"/>
  <c r="E571" i="3"/>
  <c r="L570" i="3"/>
  <c r="E570" i="3"/>
  <c r="E569" i="3" s="1"/>
  <c r="K569" i="3"/>
  <c r="J569" i="3"/>
  <c r="I569" i="3"/>
  <c r="H569" i="3"/>
  <c r="G569" i="3"/>
  <c r="F569" i="3"/>
  <c r="L568" i="3"/>
  <c r="E568" i="3"/>
  <c r="L567" i="3"/>
  <c r="E567" i="3"/>
  <c r="L566" i="3"/>
  <c r="E566" i="3"/>
  <c r="L565" i="3"/>
  <c r="E565" i="3"/>
  <c r="L564" i="3"/>
  <c r="E564" i="3"/>
  <c r="L563" i="3"/>
  <c r="E563" i="3"/>
  <c r="J562" i="3"/>
  <c r="I562" i="3"/>
  <c r="H562" i="3"/>
  <c r="G562" i="3"/>
  <c r="F562" i="3"/>
  <c r="L561" i="3"/>
  <c r="E561" i="3"/>
  <c r="J560" i="3"/>
  <c r="I560" i="3"/>
  <c r="H560" i="3"/>
  <c r="G560" i="3"/>
  <c r="F560" i="3"/>
  <c r="L559" i="3"/>
  <c r="E559" i="3"/>
  <c r="E558" i="3" s="1"/>
  <c r="J558" i="3"/>
  <c r="I558" i="3"/>
  <c r="H558" i="3"/>
  <c r="G558" i="3"/>
  <c r="F558" i="3"/>
  <c r="L557" i="3"/>
  <c r="E557" i="3"/>
  <c r="E555" i="3" s="1"/>
  <c r="L556" i="3"/>
  <c r="E556" i="3"/>
  <c r="J555" i="3"/>
  <c r="I555" i="3"/>
  <c r="H555" i="3"/>
  <c r="G555" i="3"/>
  <c r="F555" i="3"/>
  <c r="L554" i="3"/>
  <c r="E554" i="3"/>
  <c r="L553" i="3"/>
  <c r="E553" i="3"/>
  <c r="J552" i="3"/>
  <c r="I552" i="3"/>
  <c r="H552" i="3"/>
  <c r="G552" i="3"/>
  <c r="F552" i="3"/>
  <c r="E552" i="3"/>
  <c r="L551" i="3"/>
  <c r="E551" i="3"/>
  <c r="L550" i="3"/>
  <c r="E550" i="3"/>
  <c r="L549" i="3"/>
  <c r="E549" i="3"/>
  <c r="L548" i="3"/>
  <c r="E548" i="3"/>
  <c r="L547" i="3"/>
  <c r="E547" i="3"/>
  <c r="L546" i="3"/>
  <c r="E546" i="3"/>
  <c r="J545" i="3"/>
  <c r="I545" i="3"/>
  <c r="H545" i="3"/>
  <c r="G545" i="3"/>
  <c r="F545" i="3"/>
  <c r="L544" i="3"/>
  <c r="E544" i="3"/>
  <c r="L543" i="3"/>
  <c r="E543" i="3"/>
  <c r="L542" i="3"/>
  <c r="E542" i="3"/>
  <c r="J541" i="3"/>
  <c r="I541" i="3"/>
  <c r="H541" i="3"/>
  <c r="G541" i="3"/>
  <c r="F541" i="3"/>
  <c r="L540" i="3"/>
  <c r="E540" i="3"/>
  <c r="L539" i="3"/>
  <c r="E539" i="3"/>
  <c r="E525" i="3" s="1"/>
  <c r="E518" i="3" s="1"/>
  <c r="L538" i="3"/>
  <c r="E538" i="3"/>
  <c r="L537" i="3"/>
  <c r="E537" i="3"/>
  <c r="L536" i="3"/>
  <c r="E536" i="3"/>
  <c r="L535" i="3"/>
  <c r="E535" i="3"/>
  <c r="J534" i="3"/>
  <c r="I534" i="3"/>
  <c r="H534" i="3"/>
  <c r="G534" i="3"/>
  <c r="F534" i="3"/>
  <c r="L533" i="3"/>
  <c r="E533" i="3"/>
  <c r="E526" i="3" s="1"/>
  <c r="L532" i="3"/>
  <c r="E532" i="3"/>
  <c r="L531" i="3"/>
  <c r="E531" i="3"/>
  <c r="E524" i="3" s="1"/>
  <c r="L530" i="3"/>
  <c r="E530" i="3"/>
  <c r="L529" i="3"/>
  <c r="E529" i="3"/>
  <c r="E527" i="3" s="1"/>
  <c r="L528" i="3"/>
  <c r="E528" i="3"/>
  <c r="J527" i="3"/>
  <c r="I527" i="3"/>
  <c r="H527" i="3"/>
  <c r="G527" i="3"/>
  <c r="F527" i="3"/>
  <c r="J526" i="3"/>
  <c r="I526" i="3"/>
  <c r="H526" i="3"/>
  <c r="G526" i="3"/>
  <c r="G519" i="3" s="1"/>
  <c r="F526" i="3"/>
  <c r="F519" i="3" s="1"/>
  <c r="J525" i="3"/>
  <c r="I525" i="3"/>
  <c r="H525" i="3"/>
  <c r="H518" i="3" s="1"/>
  <c r="G525" i="3"/>
  <c r="G518" i="3" s="1"/>
  <c r="F525" i="3"/>
  <c r="J524" i="3"/>
  <c r="I524" i="3"/>
  <c r="I517" i="3" s="1"/>
  <c r="H524" i="3"/>
  <c r="H520" i="3" s="1"/>
  <c r="G524" i="3"/>
  <c r="F524" i="3"/>
  <c r="J523" i="3"/>
  <c r="J516" i="3" s="1"/>
  <c r="I523" i="3"/>
  <c r="I520" i="3" s="1"/>
  <c r="H523" i="3"/>
  <c r="G523" i="3"/>
  <c r="F523" i="3"/>
  <c r="F516" i="3" s="1"/>
  <c r="J522" i="3"/>
  <c r="J520" i="3" s="1"/>
  <c r="I522" i="3"/>
  <c r="H522" i="3"/>
  <c r="G522" i="3"/>
  <c r="G515" i="3" s="1"/>
  <c r="F522" i="3"/>
  <c r="F520" i="3" s="1"/>
  <c r="J521" i="3"/>
  <c r="I521" i="3"/>
  <c r="H521" i="3"/>
  <c r="H514" i="3" s="1"/>
  <c r="G521" i="3"/>
  <c r="G520" i="3" s="1"/>
  <c r="F521" i="3"/>
  <c r="J519" i="3"/>
  <c r="I519" i="3"/>
  <c r="I512" i="3" s="1"/>
  <c r="H519" i="3"/>
  <c r="J518" i="3"/>
  <c r="I518" i="3"/>
  <c r="F518" i="3"/>
  <c r="J517" i="3"/>
  <c r="H517" i="3"/>
  <c r="G517" i="3"/>
  <c r="F517" i="3"/>
  <c r="I516" i="3"/>
  <c r="H516" i="3"/>
  <c r="G516" i="3"/>
  <c r="I515" i="3"/>
  <c r="H515" i="3"/>
  <c r="J514" i="3"/>
  <c r="I514" i="3"/>
  <c r="G514" i="3"/>
  <c r="F514" i="3"/>
  <c r="J513" i="3"/>
  <c r="I513" i="3"/>
  <c r="H513" i="3"/>
  <c r="G513" i="3"/>
  <c r="F513" i="3"/>
  <c r="H512" i="3"/>
  <c r="L511" i="3"/>
  <c r="L510" i="3"/>
  <c r="L509" i="3"/>
  <c r="L508" i="3"/>
  <c r="L507" i="3"/>
  <c r="L506" i="3"/>
  <c r="L505" i="3"/>
  <c r="L504" i="3"/>
  <c r="L503" i="3"/>
  <c r="L502" i="3"/>
  <c r="L501" i="3"/>
  <c r="E501" i="3"/>
  <c r="L500" i="3"/>
  <c r="E500" i="3"/>
  <c r="J499" i="3"/>
  <c r="I499" i="3"/>
  <c r="H499" i="3"/>
  <c r="G499" i="3"/>
  <c r="F499" i="3"/>
  <c r="J498" i="3"/>
  <c r="I498" i="3"/>
  <c r="H498" i="3"/>
  <c r="G498" i="3"/>
  <c r="F498" i="3"/>
  <c r="L498" i="3" s="1"/>
  <c r="E498" i="3"/>
  <c r="J497" i="3"/>
  <c r="I497" i="3"/>
  <c r="H497" i="3"/>
  <c r="G497" i="3"/>
  <c r="F497" i="3"/>
  <c r="E497" i="3"/>
  <c r="J496" i="3"/>
  <c r="I496" i="3"/>
  <c r="H496" i="3"/>
  <c r="G496" i="3"/>
  <c r="F496" i="3"/>
  <c r="L496" i="3" s="1"/>
  <c r="E496" i="3"/>
  <c r="J495" i="3"/>
  <c r="I495" i="3"/>
  <c r="H495" i="3"/>
  <c r="G495" i="3"/>
  <c r="F495" i="3"/>
  <c r="E495" i="3"/>
  <c r="J494" i="3"/>
  <c r="I494" i="3"/>
  <c r="H494" i="3"/>
  <c r="G494" i="3"/>
  <c r="F494" i="3"/>
  <c r="L494" i="3" s="1"/>
  <c r="E494" i="3"/>
  <c r="J493" i="3"/>
  <c r="I493" i="3"/>
  <c r="H493" i="3"/>
  <c r="G493" i="3"/>
  <c r="F493" i="3"/>
  <c r="E493" i="3"/>
  <c r="J492" i="3"/>
  <c r="I492" i="3"/>
  <c r="H492" i="3"/>
  <c r="G492" i="3"/>
  <c r="F492" i="3"/>
  <c r="L492" i="3" s="1"/>
  <c r="E492" i="3"/>
  <c r="J491" i="3"/>
  <c r="I491" i="3"/>
  <c r="H491" i="3"/>
  <c r="G491" i="3"/>
  <c r="F491" i="3"/>
  <c r="E491" i="3"/>
  <c r="J490" i="3"/>
  <c r="I490" i="3"/>
  <c r="H490" i="3"/>
  <c r="G490" i="3"/>
  <c r="F490" i="3"/>
  <c r="L490" i="3" s="1"/>
  <c r="E490" i="3"/>
  <c r="J489" i="3"/>
  <c r="I489" i="3"/>
  <c r="H489" i="3"/>
  <c r="G489" i="3"/>
  <c r="F489" i="3"/>
  <c r="E489" i="3"/>
  <c r="J488" i="3"/>
  <c r="J486" i="3" s="1"/>
  <c r="I488" i="3"/>
  <c r="H488" i="3"/>
  <c r="G488" i="3"/>
  <c r="F488" i="3"/>
  <c r="L488" i="3" s="1"/>
  <c r="E488" i="3"/>
  <c r="J487" i="3"/>
  <c r="I487" i="3"/>
  <c r="H487" i="3"/>
  <c r="H486" i="3" s="1"/>
  <c r="G487" i="3"/>
  <c r="G486" i="3" s="1"/>
  <c r="F487" i="3"/>
  <c r="I486" i="3"/>
  <c r="L485" i="3"/>
  <c r="E485" i="3"/>
  <c r="L484" i="3"/>
  <c r="E484" i="3"/>
  <c r="L483" i="3"/>
  <c r="E483" i="3"/>
  <c r="L482" i="3"/>
  <c r="E482" i="3"/>
  <c r="L481" i="3"/>
  <c r="E481" i="3"/>
  <c r="L480" i="3"/>
  <c r="E480" i="3"/>
  <c r="L479" i="3"/>
  <c r="E479" i="3"/>
  <c r="J478" i="3"/>
  <c r="I478" i="3"/>
  <c r="H478" i="3"/>
  <c r="G478" i="3"/>
  <c r="F478" i="3"/>
  <c r="E477" i="3"/>
  <c r="L476" i="3"/>
  <c r="E476" i="3"/>
  <c r="L475" i="3"/>
  <c r="E475" i="3"/>
  <c r="J474" i="3"/>
  <c r="I474" i="3"/>
  <c r="H474" i="3"/>
  <c r="G474" i="3"/>
  <c r="F474" i="3"/>
  <c r="F473" i="3"/>
  <c r="F472" i="3"/>
  <c r="F471" i="3"/>
  <c r="F470" i="3"/>
  <c r="F469" i="3"/>
  <c r="F468" i="3"/>
  <c r="F467" i="3"/>
  <c r="J466" i="3"/>
  <c r="I466" i="3"/>
  <c r="H466" i="3"/>
  <c r="G466" i="3"/>
  <c r="J465" i="3"/>
  <c r="I465" i="3"/>
  <c r="H465" i="3"/>
  <c r="G465" i="3"/>
  <c r="F465" i="3"/>
  <c r="J464" i="3"/>
  <c r="I464" i="3"/>
  <c r="H464" i="3"/>
  <c r="G464" i="3"/>
  <c r="F464" i="3"/>
  <c r="J463" i="3"/>
  <c r="I463" i="3"/>
  <c r="H463" i="3"/>
  <c r="G463" i="3"/>
  <c r="F463" i="3"/>
  <c r="J462" i="3"/>
  <c r="I462" i="3"/>
  <c r="H462" i="3"/>
  <c r="G462" i="3"/>
  <c r="F462" i="3"/>
  <c r="J461" i="3"/>
  <c r="I461" i="3"/>
  <c r="H461" i="3"/>
  <c r="H458" i="3" s="1"/>
  <c r="G461" i="3"/>
  <c r="F461" i="3"/>
  <c r="J460" i="3"/>
  <c r="I460" i="3"/>
  <c r="H460" i="3"/>
  <c r="G460" i="3"/>
  <c r="F460" i="3"/>
  <c r="J459" i="3"/>
  <c r="I459" i="3"/>
  <c r="H459" i="3"/>
  <c r="G459" i="3"/>
  <c r="G458" i="3" s="1"/>
  <c r="F459" i="3"/>
  <c r="L457" i="3"/>
  <c r="E457" i="3"/>
  <c r="L456" i="3"/>
  <c r="E456" i="3"/>
  <c r="J455" i="3"/>
  <c r="I455" i="3"/>
  <c r="H455" i="3"/>
  <c r="G455" i="3"/>
  <c r="F455" i="3"/>
  <c r="E454" i="3"/>
  <c r="E452" i="3" s="1"/>
  <c r="E453" i="3"/>
  <c r="J452" i="3"/>
  <c r="I452" i="3"/>
  <c r="H452" i="3"/>
  <c r="G452" i="3"/>
  <c r="F452" i="3"/>
  <c r="L451" i="3"/>
  <c r="E451" i="3"/>
  <c r="E450" i="3" s="1"/>
  <c r="J450" i="3"/>
  <c r="I450" i="3"/>
  <c r="H450" i="3"/>
  <c r="G450" i="3"/>
  <c r="F450" i="3"/>
  <c r="L449" i="3"/>
  <c r="E449" i="3"/>
  <c r="J448" i="3"/>
  <c r="I448" i="3"/>
  <c r="H448" i="3"/>
  <c r="G448" i="3"/>
  <c r="F448" i="3"/>
  <c r="E447" i="3"/>
  <c r="E446" i="3" s="1"/>
  <c r="J446" i="3"/>
  <c r="I446" i="3"/>
  <c r="H446" i="3"/>
  <c r="G446" i="3"/>
  <c r="F446" i="3"/>
  <c r="L445" i="3"/>
  <c r="E445" i="3"/>
  <c r="J444" i="3"/>
  <c r="I444" i="3"/>
  <c r="H444" i="3"/>
  <c r="G444" i="3"/>
  <c r="F444" i="3"/>
  <c r="E444" i="3"/>
  <c r="L443" i="3"/>
  <c r="E443" i="3"/>
  <c r="J442" i="3"/>
  <c r="I442" i="3"/>
  <c r="H442" i="3"/>
  <c r="G442" i="3"/>
  <c r="F442" i="3"/>
  <c r="E442" i="3"/>
  <c r="L441" i="3"/>
  <c r="E441" i="3"/>
  <c r="J440" i="3"/>
  <c r="I440" i="3"/>
  <c r="H440" i="3"/>
  <c r="G440" i="3"/>
  <c r="F440" i="3"/>
  <c r="E440" i="3"/>
  <c r="L439" i="3"/>
  <c r="E439" i="3"/>
  <c r="J438" i="3"/>
  <c r="I438" i="3"/>
  <c r="H438" i="3"/>
  <c r="G438" i="3"/>
  <c r="F438" i="3"/>
  <c r="E438" i="3"/>
  <c r="L437" i="3"/>
  <c r="E437" i="3"/>
  <c r="L436" i="3"/>
  <c r="E436" i="3"/>
  <c r="L435" i="3"/>
  <c r="E435" i="3"/>
  <c r="J434" i="3"/>
  <c r="I434" i="3"/>
  <c r="H434" i="3"/>
  <c r="G434" i="3"/>
  <c r="F434" i="3"/>
  <c r="L433" i="3"/>
  <c r="E433" i="3"/>
  <c r="J432" i="3"/>
  <c r="I432" i="3"/>
  <c r="H432" i="3"/>
  <c r="G432" i="3"/>
  <c r="F432" i="3"/>
  <c r="E432" i="3"/>
  <c r="L431" i="3"/>
  <c r="E431" i="3"/>
  <c r="J430" i="3"/>
  <c r="I430" i="3"/>
  <c r="H430" i="3"/>
  <c r="G430" i="3"/>
  <c r="F430" i="3"/>
  <c r="E430" i="3"/>
  <c r="L429" i="3"/>
  <c r="E429" i="3"/>
  <c r="J428" i="3"/>
  <c r="I428" i="3"/>
  <c r="H428" i="3"/>
  <c r="G428" i="3"/>
  <c r="F428" i="3"/>
  <c r="E428" i="3"/>
  <c r="J427" i="3"/>
  <c r="I427" i="3"/>
  <c r="H427" i="3"/>
  <c r="G427" i="3"/>
  <c r="F427" i="3"/>
  <c r="L427" i="3" s="1"/>
  <c r="E427" i="3"/>
  <c r="J426" i="3"/>
  <c r="I426" i="3"/>
  <c r="H426" i="3"/>
  <c r="G426" i="3"/>
  <c r="F426" i="3"/>
  <c r="E426" i="3"/>
  <c r="J425" i="3"/>
  <c r="I425" i="3"/>
  <c r="H425" i="3"/>
  <c r="G425" i="3"/>
  <c r="F425" i="3"/>
  <c r="L425" i="3" s="1"/>
  <c r="E425" i="3"/>
  <c r="J424" i="3"/>
  <c r="I424" i="3"/>
  <c r="H424" i="3"/>
  <c r="G424" i="3"/>
  <c r="F424" i="3"/>
  <c r="E424" i="3"/>
  <c r="J423" i="3"/>
  <c r="I423" i="3"/>
  <c r="H423" i="3"/>
  <c r="G423" i="3"/>
  <c r="F423" i="3"/>
  <c r="L423" i="3" s="1"/>
  <c r="J422" i="3"/>
  <c r="I422" i="3"/>
  <c r="H422" i="3"/>
  <c r="G422" i="3"/>
  <c r="F422" i="3"/>
  <c r="E422" i="3"/>
  <c r="J421" i="3"/>
  <c r="I421" i="3"/>
  <c r="H421" i="3"/>
  <c r="G421" i="3"/>
  <c r="F421" i="3"/>
  <c r="K420" i="3"/>
  <c r="J420" i="3"/>
  <c r="J418" i="3" s="1"/>
  <c r="I420" i="3"/>
  <c r="H420" i="3"/>
  <c r="G420" i="3"/>
  <c r="F420" i="3"/>
  <c r="E420" i="3"/>
  <c r="J419" i="3"/>
  <c r="I419" i="3"/>
  <c r="H419" i="3"/>
  <c r="G419" i="3"/>
  <c r="F419" i="3"/>
  <c r="G418" i="3"/>
  <c r="E417" i="3"/>
  <c r="E416" i="3"/>
  <c r="L415" i="3"/>
  <c r="J414" i="3"/>
  <c r="I414" i="3"/>
  <c r="H414" i="3"/>
  <c r="G414" i="3"/>
  <c r="F414" i="3"/>
  <c r="E414" i="3"/>
  <c r="L413" i="3"/>
  <c r="E413" i="3"/>
  <c r="E412" i="3" s="1"/>
  <c r="J412" i="3"/>
  <c r="I412" i="3"/>
  <c r="H412" i="3"/>
  <c r="G412" i="3"/>
  <c r="F412" i="3"/>
  <c r="E411" i="3"/>
  <c r="E410" i="3" s="1"/>
  <c r="J410" i="3"/>
  <c r="I410" i="3"/>
  <c r="H410" i="3"/>
  <c r="G410" i="3"/>
  <c r="F410" i="3"/>
  <c r="E409" i="3"/>
  <c r="E408" i="3" s="1"/>
  <c r="J408" i="3"/>
  <c r="I408" i="3"/>
  <c r="H408" i="3"/>
  <c r="G408" i="3"/>
  <c r="F408" i="3"/>
  <c r="L407" i="3"/>
  <c r="E407" i="3"/>
  <c r="E406" i="3" s="1"/>
  <c r="J406" i="3"/>
  <c r="I406" i="3"/>
  <c r="H406" i="3"/>
  <c r="G406" i="3"/>
  <c r="F406" i="3"/>
  <c r="E405" i="3"/>
  <c r="L404" i="3"/>
  <c r="E404" i="3"/>
  <c r="E402" i="3" s="1"/>
  <c r="J402" i="3"/>
  <c r="I402" i="3"/>
  <c r="H402" i="3"/>
  <c r="G402" i="3"/>
  <c r="F402" i="3"/>
  <c r="L401" i="3"/>
  <c r="E401" i="3"/>
  <c r="E400" i="3" s="1"/>
  <c r="J400" i="3"/>
  <c r="I400" i="3"/>
  <c r="H400" i="3"/>
  <c r="G400" i="3"/>
  <c r="L400" i="3" s="1"/>
  <c r="F400" i="3"/>
  <c r="L399" i="3"/>
  <c r="E399" i="3"/>
  <c r="L398" i="3"/>
  <c r="E398" i="3"/>
  <c r="J397" i="3"/>
  <c r="I397" i="3"/>
  <c r="H397" i="3"/>
  <c r="G397" i="3"/>
  <c r="F397" i="3"/>
  <c r="E397" i="3"/>
  <c r="L396" i="3"/>
  <c r="E396" i="3"/>
  <c r="J395" i="3"/>
  <c r="I395" i="3"/>
  <c r="H395" i="3"/>
  <c r="G395" i="3"/>
  <c r="F395" i="3"/>
  <c r="E395" i="3"/>
  <c r="L394" i="3"/>
  <c r="E394" i="3"/>
  <c r="L393" i="3"/>
  <c r="J393" i="3"/>
  <c r="I393" i="3"/>
  <c r="H393" i="3"/>
  <c r="G393" i="3"/>
  <c r="F393" i="3"/>
  <c r="E393" i="3"/>
  <c r="L392" i="3"/>
  <c r="E392" i="3"/>
  <c r="E391" i="3" s="1"/>
  <c r="J391" i="3"/>
  <c r="I391" i="3"/>
  <c r="H391" i="3"/>
  <c r="G391" i="3"/>
  <c r="F391" i="3"/>
  <c r="L390" i="3"/>
  <c r="E390" i="3"/>
  <c r="E387" i="3" s="1"/>
  <c r="L389" i="3"/>
  <c r="E389" i="3"/>
  <c r="L388" i="3"/>
  <c r="E388" i="3"/>
  <c r="E331" i="3" s="1"/>
  <c r="J387" i="3"/>
  <c r="I387" i="3"/>
  <c r="H387" i="3"/>
  <c r="G387" i="3"/>
  <c r="F387" i="3"/>
  <c r="E386" i="3"/>
  <c r="J385" i="3"/>
  <c r="I385" i="3"/>
  <c r="H385" i="3"/>
  <c r="G385" i="3"/>
  <c r="F385" i="3"/>
  <c r="E385" i="3"/>
  <c r="L384" i="3"/>
  <c r="E384" i="3"/>
  <c r="J383" i="3"/>
  <c r="I383" i="3"/>
  <c r="I322" i="3" s="1"/>
  <c r="I321" i="3" s="1"/>
  <c r="H383" i="3"/>
  <c r="G383" i="3"/>
  <c r="F383" i="3"/>
  <c r="E383" i="3"/>
  <c r="E322" i="3" s="1"/>
  <c r="L382" i="3"/>
  <c r="E382" i="3"/>
  <c r="J381" i="3"/>
  <c r="I381" i="3"/>
  <c r="H381" i="3"/>
  <c r="G381" i="3"/>
  <c r="F381" i="3"/>
  <c r="E381" i="3"/>
  <c r="L380" i="3"/>
  <c r="E380" i="3"/>
  <c r="J379" i="3"/>
  <c r="I379" i="3"/>
  <c r="H379" i="3"/>
  <c r="G379" i="3"/>
  <c r="F379" i="3"/>
  <c r="E379" i="3"/>
  <c r="L378" i="3"/>
  <c r="E378" i="3"/>
  <c r="L377" i="3"/>
  <c r="E377" i="3"/>
  <c r="E332" i="3" s="1"/>
  <c r="L376" i="3"/>
  <c r="E376" i="3"/>
  <c r="L375" i="3"/>
  <c r="E375" i="3"/>
  <c r="E330" i="3" s="1"/>
  <c r="L374" i="3"/>
  <c r="E374" i="3"/>
  <c r="L373" i="3"/>
  <c r="E373" i="3"/>
  <c r="E328" i="3" s="1"/>
  <c r="L372" i="3"/>
  <c r="E372" i="3"/>
  <c r="L371" i="3"/>
  <c r="E371" i="3"/>
  <c r="J370" i="3"/>
  <c r="I370" i="3"/>
  <c r="I325" i="3" s="1"/>
  <c r="G370" i="3"/>
  <c r="L370" i="3" s="1"/>
  <c r="L369" i="3"/>
  <c r="E369" i="3"/>
  <c r="L368" i="3"/>
  <c r="E368" i="3"/>
  <c r="J367" i="3"/>
  <c r="I367" i="3"/>
  <c r="H367" i="3"/>
  <c r="F367" i="3"/>
  <c r="L366" i="3"/>
  <c r="E366" i="3"/>
  <c r="L365" i="3"/>
  <c r="E365" i="3"/>
  <c r="L364" i="3"/>
  <c r="E364" i="3"/>
  <c r="L363" i="3"/>
  <c r="E363" i="3"/>
  <c r="L362" i="3"/>
  <c r="E362" i="3"/>
  <c r="J361" i="3"/>
  <c r="I361" i="3"/>
  <c r="H361" i="3"/>
  <c r="G361" i="3"/>
  <c r="F361" i="3"/>
  <c r="J360" i="3"/>
  <c r="J323" i="3" s="1"/>
  <c r="I360" i="3"/>
  <c r="H360" i="3"/>
  <c r="G360" i="3"/>
  <c r="E360" i="3" s="1"/>
  <c r="F359" i="3"/>
  <c r="E359" i="3" s="1"/>
  <c r="L358" i="3"/>
  <c r="L357" i="3"/>
  <c r="J356" i="3"/>
  <c r="I356" i="3"/>
  <c r="H356" i="3"/>
  <c r="G356" i="3"/>
  <c r="F356" i="3"/>
  <c r="E356" i="3"/>
  <c r="L355" i="3"/>
  <c r="E355" i="3"/>
  <c r="L352" i="3"/>
  <c r="E352" i="3"/>
  <c r="J351" i="3"/>
  <c r="I351" i="3"/>
  <c r="H351" i="3"/>
  <c r="G351" i="3"/>
  <c r="F351" i="3"/>
  <c r="E351" i="3"/>
  <c r="L350" i="3"/>
  <c r="E350" i="3"/>
  <c r="J349" i="3"/>
  <c r="I349" i="3"/>
  <c r="H349" i="3"/>
  <c r="G349" i="3"/>
  <c r="F349" i="3"/>
  <c r="E349" i="3"/>
  <c r="L348" i="3"/>
  <c r="E348" i="3"/>
  <c r="J347" i="3"/>
  <c r="I347" i="3"/>
  <c r="H347" i="3"/>
  <c r="G347" i="3"/>
  <c r="F347" i="3"/>
  <c r="E347" i="3"/>
  <c r="L346" i="3"/>
  <c r="E346" i="3"/>
  <c r="J345" i="3"/>
  <c r="I345" i="3"/>
  <c r="H345" i="3"/>
  <c r="G345" i="3"/>
  <c r="F345" i="3"/>
  <c r="E345" i="3"/>
  <c r="L344" i="3"/>
  <c r="E344" i="3"/>
  <c r="E324" i="3" s="1"/>
  <c r="L343" i="3"/>
  <c r="E343" i="3"/>
  <c r="J342" i="3"/>
  <c r="I342" i="3"/>
  <c r="H342" i="3"/>
  <c r="G342" i="3"/>
  <c r="F342" i="3"/>
  <c r="L341" i="3"/>
  <c r="E341" i="3"/>
  <c r="J340" i="3"/>
  <c r="I340" i="3"/>
  <c r="H340" i="3"/>
  <c r="G340" i="3"/>
  <c r="F340" i="3"/>
  <c r="L339" i="3"/>
  <c r="E339" i="3"/>
  <c r="J338" i="3"/>
  <c r="I338" i="3"/>
  <c r="H338" i="3"/>
  <c r="G338" i="3"/>
  <c r="F338" i="3"/>
  <c r="E338" i="3"/>
  <c r="L337" i="3"/>
  <c r="E337" i="3"/>
  <c r="J336" i="3"/>
  <c r="I336" i="3"/>
  <c r="H336" i="3"/>
  <c r="G336" i="3"/>
  <c r="F336" i="3"/>
  <c r="E336" i="3"/>
  <c r="L335" i="3"/>
  <c r="E335" i="3"/>
  <c r="J334" i="3"/>
  <c r="I334" i="3"/>
  <c r="H334" i="3"/>
  <c r="G334" i="3"/>
  <c r="F334" i="3"/>
  <c r="E334" i="3"/>
  <c r="J333" i="3"/>
  <c r="I333" i="3"/>
  <c r="H333" i="3"/>
  <c r="G333" i="3"/>
  <c r="F333" i="3"/>
  <c r="J332" i="3"/>
  <c r="I332" i="3"/>
  <c r="H332" i="3"/>
  <c r="G332" i="3"/>
  <c r="F332" i="3"/>
  <c r="J331" i="3"/>
  <c r="I331" i="3"/>
  <c r="H331" i="3"/>
  <c r="G331" i="3"/>
  <c r="F331" i="3"/>
  <c r="J330" i="3"/>
  <c r="I330" i="3"/>
  <c r="H330" i="3"/>
  <c r="G330" i="3"/>
  <c r="F330" i="3"/>
  <c r="J329" i="3"/>
  <c r="I329" i="3"/>
  <c r="H329" i="3"/>
  <c r="G329" i="3"/>
  <c r="F329" i="3"/>
  <c r="J328" i="3"/>
  <c r="I328" i="3"/>
  <c r="H328" i="3"/>
  <c r="G328" i="3"/>
  <c r="F328" i="3"/>
  <c r="J327" i="3"/>
  <c r="I327" i="3"/>
  <c r="H327" i="3"/>
  <c r="G327" i="3"/>
  <c r="F327" i="3"/>
  <c r="J326" i="3"/>
  <c r="I326" i="3"/>
  <c r="H326" i="3"/>
  <c r="G326" i="3"/>
  <c r="F326" i="3"/>
  <c r="J325" i="3"/>
  <c r="H325" i="3"/>
  <c r="F325" i="3"/>
  <c r="K324" i="3"/>
  <c r="J324" i="3"/>
  <c r="I324" i="3"/>
  <c r="H324" i="3"/>
  <c r="G324" i="3"/>
  <c r="L324" i="3" s="1"/>
  <c r="F324" i="3"/>
  <c r="I323" i="3"/>
  <c r="H323" i="3"/>
  <c r="G323" i="3"/>
  <c r="F323" i="3"/>
  <c r="J322" i="3"/>
  <c r="H322" i="3"/>
  <c r="G322" i="3"/>
  <c r="F322" i="3"/>
  <c r="L320" i="3"/>
  <c r="E320" i="3"/>
  <c r="E305" i="3" s="1"/>
  <c r="L319" i="3"/>
  <c r="E319" i="3"/>
  <c r="E304" i="3" s="1"/>
  <c r="L318" i="3"/>
  <c r="E318" i="3"/>
  <c r="E303" i="3" s="1"/>
  <c r="L317" i="3"/>
  <c r="E317" i="3"/>
  <c r="E302" i="3" s="1"/>
  <c r="L316" i="3"/>
  <c r="E316" i="3"/>
  <c r="E301" i="3" s="1"/>
  <c r="L315" i="3"/>
  <c r="E315" i="3"/>
  <c r="E300" i="3" s="1"/>
  <c r="L314" i="3"/>
  <c r="E314" i="3"/>
  <c r="E313" i="3" s="1"/>
  <c r="J313" i="3"/>
  <c r="I313" i="3"/>
  <c r="H313" i="3"/>
  <c r="G313" i="3"/>
  <c r="F313" i="3"/>
  <c r="E312" i="3"/>
  <c r="E311" i="3"/>
  <c r="E306" i="3" s="1"/>
  <c r="L310" i="3"/>
  <c r="E310" i="3"/>
  <c r="L309" i="3"/>
  <c r="E309" i="3"/>
  <c r="L308" i="3"/>
  <c r="E308" i="3"/>
  <c r="L307" i="3"/>
  <c r="E307" i="3"/>
  <c r="J306" i="3"/>
  <c r="I306" i="3"/>
  <c r="H306" i="3"/>
  <c r="G306" i="3"/>
  <c r="F306" i="3"/>
  <c r="J305" i="3"/>
  <c r="I305" i="3"/>
  <c r="H305" i="3"/>
  <c r="G305" i="3"/>
  <c r="F305" i="3"/>
  <c r="J304" i="3"/>
  <c r="I304" i="3"/>
  <c r="H304" i="3"/>
  <c r="H298" i="3" s="1"/>
  <c r="G304" i="3"/>
  <c r="F304" i="3"/>
  <c r="J303" i="3"/>
  <c r="I303" i="3"/>
  <c r="H303" i="3"/>
  <c r="G303" i="3"/>
  <c r="F303" i="3"/>
  <c r="J302" i="3"/>
  <c r="I302" i="3"/>
  <c r="H302" i="3"/>
  <c r="G302" i="3"/>
  <c r="F302" i="3"/>
  <c r="J301" i="3"/>
  <c r="I301" i="3"/>
  <c r="H301" i="3"/>
  <c r="G301" i="3"/>
  <c r="L301" i="3" s="1"/>
  <c r="F301" i="3"/>
  <c r="J300" i="3"/>
  <c r="I300" i="3"/>
  <c r="H300" i="3"/>
  <c r="G300" i="3"/>
  <c r="F300" i="3"/>
  <c r="J299" i="3"/>
  <c r="J298" i="3" s="1"/>
  <c r="I299" i="3"/>
  <c r="I298" i="3" s="1"/>
  <c r="H299" i="3"/>
  <c r="G299" i="3"/>
  <c r="F299" i="3"/>
  <c r="F298" i="3" s="1"/>
  <c r="G298" i="3"/>
  <c r="L297" i="3"/>
  <c r="E297" i="3"/>
  <c r="L296" i="3"/>
  <c r="E296" i="3"/>
  <c r="L295" i="3"/>
  <c r="L294" i="3"/>
  <c r="E294" i="3"/>
  <c r="J293" i="3"/>
  <c r="I293" i="3"/>
  <c r="H293" i="3"/>
  <c r="G293" i="3"/>
  <c r="F293" i="3"/>
  <c r="L292" i="3"/>
  <c r="E292" i="3"/>
  <c r="E291" i="3" s="1"/>
  <c r="J291" i="3"/>
  <c r="I291" i="3"/>
  <c r="H291" i="3"/>
  <c r="G291" i="3"/>
  <c r="F291" i="3"/>
  <c r="L288" i="3"/>
  <c r="E288" i="3"/>
  <c r="I287" i="3"/>
  <c r="H287" i="3"/>
  <c r="G287" i="3"/>
  <c r="F287" i="3"/>
  <c r="E287" i="3"/>
  <c r="L286" i="3"/>
  <c r="E286" i="3"/>
  <c r="E285" i="3" s="1"/>
  <c r="I285" i="3"/>
  <c r="H285" i="3"/>
  <c r="G285" i="3"/>
  <c r="F285" i="3"/>
  <c r="K283" i="3"/>
  <c r="J283" i="3"/>
  <c r="I283" i="3"/>
  <c r="H283" i="3"/>
  <c r="G283" i="3"/>
  <c r="F283" i="3"/>
  <c r="E283" i="3"/>
  <c r="L282" i="3"/>
  <c r="E282" i="3"/>
  <c r="E281" i="3"/>
  <c r="E280" i="3" s="1"/>
  <c r="J280" i="3"/>
  <c r="I280" i="3"/>
  <c r="H280" i="3"/>
  <c r="G280" i="3"/>
  <c r="L280" i="3" s="1"/>
  <c r="F280" i="3"/>
  <c r="L279" i="3"/>
  <c r="E279" i="3"/>
  <c r="E278" i="3"/>
  <c r="E277" i="3" s="1"/>
  <c r="J277" i="3"/>
  <c r="I277" i="3"/>
  <c r="H277" i="3"/>
  <c r="G277" i="3"/>
  <c r="F277" i="3"/>
  <c r="L276" i="3"/>
  <c r="E275" i="3"/>
  <c r="E274" i="3" s="1"/>
  <c r="J274" i="3"/>
  <c r="I274" i="3"/>
  <c r="H274" i="3"/>
  <c r="G274" i="3"/>
  <c r="F274" i="3"/>
  <c r="L273" i="3"/>
  <c r="E273" i="3"/>
  <c r="E272" i="3"/>
  <c r="E271" i="3" s="1"/>
  <c r="J271" i="3"/>
  <c r="I271" i="3"/>
  <c r="H271" i="3"/>
  <c r="G271" i="3"/>
  <c r="L271" i="3" s="1"/>
  <c r="F271" i="3"/>
  <c r="L270" i="3"/>
  <c r="E270" i="3"/>
  <c r="E269" i="3"/>
  <c r="E268" i="3" s="1"/>
  <c r="J268" i="3"/>
  <c r="I268" i="3"/>
  <c r="H268" i="3"/>
  <c r="G268" i="3"/>
  <c r="L268" i="3" s="1"/>
  <c r="F268" i="3"/>
  <c r="L267" i="3"/>
  <c r="E267" i="3"/>
  <c r="E266" i="3"/>
  <c r="J265" i="3"/>
  <c r="I265" i="3"/>
  <c r="H265" i="3"/>
  <c r="G265" i="3"/>
  <c r="F265" i="3"/>
  <c r="E265" i="3"/>
  <c r="L264" i="3"/>
  <c r="E264" i="3"/>
  <c r="E263" i="3"/>
  <c r="J262" i="3"/>
  <c r="I262" i="3"/>
  <c r="H262" i="3"/>
  <c r="G262" i="3"/>
  <c r="F262" i="3"/>
  <c r="E262" i="3"/>
  <c r="L261" i="3"/>
  <c r="E261" i="3"/>
  <c r="E260" i="3"/>
  <c r="E259" i="3" s="1"/>
  <c r="J259" i="3"/>
  <c r="I259" i="3"/>
  <c r="H259" i="3"/>
  <c r="G259" i="3"/>
  <c r="F259" i="3"/>
  <c r="L258" i="3"/>
  <c r="E258" i="3"/>
  <c r="E257" i="3"/>
  <c r="E256" i="3" s="1"/>
  <c r="J256" i="3"/>
  <c r="I256" i="3"/>
  <c r="H256" i="3"/>
  <c r="G256" i="3"/>
  <c r="F256" i="3"/>
  <c r="L255" i="3"/>
  <c r="E255" i="3"/>
  <c r="E254" i="3"/>
  <c r="J253" i="3"/>
  <c r="I253" i="3"/>
  <c r="H253" i="3"/>
  <c r="G253" i="3"/>
  <c r="F253" i="3"/>
  <c r="E253" i="3"/>
  <c r="E252" i="3"/>
  <c r="E251" i="3" s="1"/>
  <c r="K251" i="3"/>
  <c r="J251" i="3"/>
  <c r="I251" i="3"/>
  <c r="H251" i="3"/>
  <c r="G251" i="3"/>
  <c r="F251" i="3"/>
  <c r="L250" i="3"/>
  <c r="L249" i="3"/>
  <c r="E249" i="3"/>
  <c r="L248" i="3"/>
  <c r="E248" i="3"/>
  <c r="J247" i="3"/>
  <c r="I247" i="3"/>
  <c r="H247" i="3"/>
  <c r="G247" i="3"/>
  <c r="F247" i="3"/>
  <c r="L246" i="3"/>
  <c r="E246" i="3"/>
  <c r="L245" i="3"/>
  <c r="E245" i="3"/>
  <c r="L244" i="3"/>
  <c r="E244" i="3"/>
  <c r="E243" i="3" s="1"/>
  <c r="J243" i="3"/>
  <c r="I243" i="3"/>
  <c r="H243" i="3"/>
  <c r="G243" i="3"/>
  <c r="F243" i="3"/>
  <c r="L241" i="3"/>
  <c r="E241" i="3"/>
  <c r="L240" i="3"/>
  <c r="E240" i="3"/>
  <c r="J239" i="3"/>
  <c r="I239" i="3"/>
  <c r="H239" i="3"/>
  <c r="G239" i="3"/>
  <c r="F239" i="3"/>
  <c r="L238" i="3"/>
  <c r="E238" i="3"/>
  <c r="E237" i="3" s="1"/>
  <c r="J237" i="3"/>
  <c r="I237" i="3"/>
  <c r="H237" i="3"/>
  <c r="G237" i="3"/>
  <c r="F237" i="3"/>
  <c r="L236" i="3"/>
  <c r="E236" i="3"/>
  <c r="E234" i="3" s="1"/>
  <c r="L235" i="3"/>
  <c r="E235" i="3"/>
  <c r="J234" i="3"/>
  <c r="I234" i="3"/>
  <c r="H234" i="3"/>
  <c r="G234" i="3"/>
  <c r="F234" i="3"/>
  <c r="L233" i="3"/>
  <c r="E233" i="3"/>
  <c r="E231" i="3" s="1"/>
  <c r="L232" i="3"/>
  <c r="E232" i="3"/>
  <c r="J231" i="3"/>
  <c r="I231" i="3"/>
  <c r="H231" i="3"/>
  <c r="G231" i="3"/>
  <c r="F231" i="3"/>
  <c r="L230" i="3"/>
  <c r="E230" i="3"/>
  <c r="L229" i="3"/>
  <c r="E229" i="3"/>
  <c r="J228" i="3"/>
  <c r="I228" i="3"/>
  <c r="H228" i="3"/>
  <c r="G228" i="3"/>
  <c r="F228" i="3"/>
  <c r="L228" i="3" s="1"/>
  <c r="L227" i="3"/>
  <c r="E227" i="3"/>
  <c r="L226" i="3"/>
  <c r="E226" i="3"/>
  <c r="E225" i="3" s="1"/>
  <c r="J225" i="3"/>
  <c r="I225" i="3"/>
  <c r="H225" i="3"/>
  <c r="G225" i="3"/>
  <c r="F225" i="3"/>
  <c r="L224" i="3"/>
  <c r="E224" i="3"/>
  <c r="E222" i="3" s="1"/>
  <c r="L223" i="3"/>
  <c r="E223" i="3"/>
  <c r="J222" i="3"/>
  <c r="I222" i="3"/>
  <c r="H222" i="3"/>
  <c r="G222" i="3"/>
  <c r="F222" i="3"/>
  <c r="L221" i="3"/>
  <c r="E221" i="3"/>
  <c r="L220" i="3"/>
  <c r="E220" i="3"/>
  <c r="H219" i="3"/>
  <c r="G219" i="3"/>
  <c r="F219" i="3"/>
  <c r="L218" i="3"/>
  <c r="E218" i="3"/>
  <c r="L217" i="3"/>
  <c r="E217" i="3"/>
  <c r="J216" i="3"/>
  <c r="I216" i="3"/>
  <c r="H216" i="3"/>
  <c r="G216" i="3"/>
  <c r="F216" i="3"/>
  <c r="L215" i="3"/>
  <c r="E215" i="3"/>
  <c r="E213" i="3" s="1"/>
  <c r="L214" i="3"/>
  <c r="E214" i="3"/>
  <c r="J213" i="3"/>
  <c r="I213" i="3"/>
  <c r="H213" i="3"/>
  <c r="G213" i="3"/>
  <c r="F213" i="3"/>
  <c r="L209" i="3"/>
  <c r="E209" i="3"/>
  <c r="L207" i="3"/>
  <c r="E207" i="3"/>
  <c r="L206" i="3"/>
  <c r="E206" i="3"/>
  <c r="J205" i="3"/>
  <c r="I205" i="3"/>
  <c r="H205" i="3"/>
  <c r="G205" i="3"/>
  <c r="F205" i="3"/>
  <c r="E205" i="3"/>
  <c r="L204" i="3"/>
  <c r="E204" i="3"/>
  <c r="L203" i="3"/>
  <c r="E203" i="3"/>
  <c r="E202" i="3" s="1"/>
  <c r="J202" i="3"/>
  <c r="I202" i="3"/>
  <c r="H202" i="3"/>
  <c r="G202" i="3"/>
  <c r="F202" i="3"/>
  <c r="L201" i="3"/>
  <c r="E201" i="3"/>
  <c r="L200" i="3"/>
  <c r="E200" i="3"/>
  <c r="J199" i="3"/>
  <c r="I199" i="3"/>
  <c r="H199" i="3"/>
  <c r="G199" i="3"/>
  <c r="L199" i="3" s="1"/>
  <c r="F199" i="3"/>
  <c r="L198" i="3"/>
  <c r="E198" i="3"/>
  <c r="L197" i="3"/>
  <c r="E197" i="3"/>
  <c r="L196" i="3"/>
  <c r="E196" i="3"/>
  <c r="E195" i="3" s="1"/>
  <c r="J195" i="3"/>
  <c r="I195" i="3"/>
  <c r="H195" i="3"/>
  <c r="G195" i="3"/>
  <c r="F195" i="3"/>
  <c r="L194" i="3"/>
  <c r="E194" i="3"/>
  <c r="L193" i="3"/>
  <c r="E193" i="3"/>
  <c r="J192" i="3"/>
  <c r="I192" i="3"/>
  <c r="H192" i="3"/>
  <c r="G192" i="3"/>
  <c r="F192" i="3"/>
  <c r="L191" i="3"/>
  <c r="J190" i="3"/>
  <c r="I190" i="3"/>
  <c r="H190" i="3"/>
  <c r="G190" i="3"/>
  <c r="F190" i="3"/>
  <c r="E190" i="3"/>
  <c r="E189" i="3"/>
  <c r="J188" i="3"/>
  <c r="I188" i="3"/>
  <c r="H188" i="3"/>
  <c r="G188" i="3"/>
  <c r="F188" i="3"/>
  <c r="E188" i="3"/>
  <c r="L187" i="3"/>
  <c r="E187" i="3"/>
  <c r="J186" i="3"/>
  <c r="I186" i="3"/>
  <c r="H186" i="3"/>
  <c r="G186" i="3"/>
  <c r="F186" i="3"/>
  <c r="E186" i="3"/>
  <c r="L185" i="3"/>
  <c r="E185" i="3"/>
  <c r="L184" i="3"/>
  <c r="E184" i="3"/>
  <c r="J183" i="3"/>
  <c r="I183" i="3"/>
  <c r="H183" i="3"/>
  <c r="G183" i="3"/>
  <c r="F183" i="3"/>
  <c r="L182" i="3"/>
  <c r="E182" i="3"/>
  <c r="E181" i="3"/>
  <c r="E179" i="3" s="1"/>
  <c r="L180" i="3"/>
  <c r="J179" i="3"/>
  <c r="I179" i="3"/>
  <c r="H179" i="3"/>
  <c r="G179" i="3"/>
  <c r="F179" i="3"/>
  <c r="L178" i="3"/>
  <c r="E178" i="3"/>
  <c r="E176" i="3" s="1"/>
  <c r="L177" i="3"/>
  <c r="L176" i="3" s="1"/>
  <c r="K176" i="3"/>
  <c r="J176" i="3"/>
  <c r="I176" i="3"/>
  <c r="H176" i="3"/>
  <c r="G176" i="3"/>
  <c r="F176" i="3"/>
  <c r="E175" i="3"/>
  <c r="L173" i="3"/>
  <c r="E173" i="3"/>
  <c r="L172" i="3"/>
  <c r="E172" i="3"/>
  <c r="J171" i="3"/>
  <c r="I171" i="3"/>
  <c r="H171" i="3"/>
  <c r="G171" i="3"/>
  <c r="F171" i="3"/>
  <c r="E171" i="3"/>
  <c r="E170" i="3"/>
  <c r="E168" i="3"/>
  <c r="H166" i="3"/>
  <c r="E166" i="3" s="1"/>
  <c r="E164" i="3" s="1"/>
  <c r="L165" i="3"/>
  <c r="E165" i="3"/>
  <c r="J164" i="3"/>
  <c r="I164" i="3"/>
  <c r="G164" i="3"/>
  <c r="F164" i="3"/>
  <c r="L163" i="3"/>
  <c r="E163" i="3"/>
  <c r="L162" i="3"/>
  <c r="E162" i="3"/>
  <c r="E161" i="3" s="1"/>
  <c r="J161" i="3"/>
  <c r="I161" i="3"/>
  <c r="H161" i="3"/>
  <c r="G161" i="3"/>
  <c r="F161" i="3"/>
  <c r="L160" i="3"/>
  <c r="E160" i="3"/>
  <c r="E159" i="3" s="1"/>
  <c r="K159" i="3"/>
  <c r="J159" i="3"/>
  <c r="I159" i="3"/>
  <c r="H159" i="3"/>
  <c r="G159" i="3"/>
  <c r="F159" i="3"/>
  <c r="L158" i="3"/>
  <c r="E158" i="3"/>
  <c r="L157" i="3"/>
  <c r="E157" i="3"/>
  <c r="J156" i="3"/>
  <c r="I156" i="3"/>
  <c r="H156" i="3"/>
  <c r="G156" i="3"/>
  <c r="F156" i="3"/>
  <c r="L155" i="3"/>
  <c r="E155" i="3"/>
  <c r="E135" i="3" s="1"/>
  <c r="L154" i="3"/>
  <c r="E154" i="3"/>
  <c r="E151" i="3" s="1"/>
  <c r="L153" i="3"/>
  <c r="E153" i="3"/>
  <c r="L152" i="3"/>
  <c r="E152" i="3"/>
  <c r="E132" i="3" s="1"/>
  <c r="E75" i="3" s="1"/>
  <c r="J151" i="3"/>
  <c r="I151" i="3"/>
  <c r="H151" i="3"/>
  <c r="G151" i="3"/>
  <c r="F151" i="3"/>
  <c r="L150" i="3"/>
  <c r="E150" i="3"/>
  <c r="L149" i="3"/>
  <c r="E149" i="3"/>
  <c r="L148" i="3"/>
  <c r="E148" i="3"/>
  <c r="J147" i="3"/>
  <c r="I147" i="3"/>
  <c r="H147" i="3"/>
  <c r="G147" i="3"/>
  <c r="F147" i="3"/>
  <c r="L147" i="3" s="1"/>
  <c r="L146" i="3"/>
  <c r="E146" i="3"/>
  <c r="L145" i="3"/>
  <c r="E145" i="3"/>
  <c r="E137" i="3" s="1"/>
  <c r="L144" i="3"/>
  <c r="E144" i="3"/>
  <c r="J143" i="3"/>
  <c r="I143" i="3"/>
  <c r="H143" i="3"/>
  <c r="G143" i="3"/>
  <c r="F143" i="3"/>
  <c r="L142" i="3"/>
  <c r="E142" i="3"/>
  <c r="L141" i="3"/>
  <c r="E141" i="3"/>
  <c r="L140" i="3"/>
  <c r="E140" i="3"/>
  <c r="J139" i="3"/>
  <c r="I139" i="3"/>
  <c r="H139" i="3"/>
  <c r="G139" i="3"/>
  <c r="F139" i="3"/>
  <c r="J138" i="3"/>
  <c r="J84" i="3" s="1"/>
  <c r="I138" i="3"/>
  <c r="H138" i="3"/>
  <c r="H84" i="3" s="1"/>
  <c r="G138" i="3"/>
  <c r="G84" i="3" s="1"/>
  <c r="F138" i="3"/>
  <c r="F84" i="3" s="1"/>
  <c r="E138" i="3"/>
  <c r="J137" i="3"/>
  <c r="I137" i="3"/>
  <c r="H137" i="3"/>
  <c r="G137" i="3"/>
  <c r="F137" i="3"/>
  <c r="J136" i="3"/>
  <c r="I136" i="3"/>
  <c r="I82" i="3" s="1"/>
  <c r="H136" i="3"/>
  <c r="H82" i="3" s="1"/>
  <c r="G136" i="3"/>
  <c r="G82" i="3" s="1"/>
  <c r="F136" i="3"/>
  <c r="E136" i="3"/>
  <c r="J135" i="3"/>
  <c r="J78" i="3" s="1"/>
  <c r="I135" i="3"/>
  <c r="I78" i="3" s="1"/>
  <c r="H135" i="3"/>
  <c r="H78" i="3" s="1"/>
  <c r="H13" i="3" s="1"/>
  <c r="G135" i="3"/>
  <c r="G78" i="3" s="1"/>
  <c r="F135" i="3"/>
  <c r="F78" i="3" s="1"/>
  <c r="J134" i="3"/>
  <c r="J77" i="3" s="1"/>
  <c r="I134" i="3"/>
  <c r="I77" i="3" s="1"/>
  <c r="H134" i="3"/>
  <c r="H77" i="3" s="1"/>
  <c r="G134" i="3"/>
  <c r="G77" i="3" s="1"/>
  <c r="F134" i="3"/>
  <c r="J133" i="3"/>
  <c r="I133" i="3"/>
  <c r="I76" i="3" s="1"/>
  <c r="H133" i="3"/>
  <c r="G133" i="3"/>
  <c r="G76" i="3" s="1"/>
  <c r="F133" i="3"/>
  <c r="F76" i="3" s="1"/>
  <c r="E133" i="3"/>
  <c r="J132" i="3"/>
  <c r="J75" i="3" s="1"/>
  <c r="I132" i="3"/>
  <c r="I75" i="3" s="1"/>
  <c r="H132" i="3"/>
  <c r="H75" i="3" s="1"/>
  <c r="G132" i="3"/>
  <c r="G75" i="3" s="1"/>
  <c r="F132" i="3"/>
  <c r="L130" i="3"/>
  <c r="E130" i="3"/>
  <c r="L129" i="3"/>
  <c r="E129" i="3"/>
  <c r="L128" i="3"/>
  <c r="E128" i="3"/>
  <c r="J127" i="3"/>
  <c r="I127" i="3"/>
  <c r="H127" i="3"/>
  <c r="G127" i="3"/>
  <c r="F127" i="3"/>
  <c r="L126" i="3"/>
  <c r="E126" i="3"/>
  <c r="E79" i="3" s="1"/>
  <c r="L125" i="3"/>
  <c r="E125" i="3"/>
  <c r="L124" i="3"/>
  <c r="E124" i="3"/>
  <c r="J123" i="3"/>
  <c r="I123" i="3"/>
  <c r="H123" i="3"/>
  <c r="G123" i="3"/>
  <c r="F123" i="3"/>
  <c r="L122" i="3"/>
  <c r="E122" i="3"/>
  <c r="L121" i="3"/>
  <c r="E121" i="3"/>
  <c r="L120" i="3"/>
  <c r="E120" i="3"/>
  <c r="L119" i="3"/>
  <c r="E119" i="3"/>
  <c r="L118" i="3"/>
  <c r="E118" i="3"/>
  <c r="F117" i="3"/>
  <c r="F116" i="3"/>
  <c r="L116" i="3" s="1"/>
  <c r="E116" i="3"/>
  <c r="F115" i="3"/>
  <c r="J114" i="3"/>
  <c r="I114" i="3"/>
  <c r="H114" i="3"/>
  <c r="G114" i="3"/>
  <c r="L113" i="3"/>
  <c r="E113" i="3"/>
  <c r="L112" i="3"/>
  <c r="E112" i="3"/>
  <c r="L111" i="3"/>
  <c r="E111" i="3"/>
  <c r="L110" i="3"/>
  <c r="E110" i="3"/>
  <c r="L109" i="3"/>
  <c r="E109" i="3"/>
  <c r="L108" i="3"/>
  <c r="E108" i="3"/>
  <c r="L107" i="3"/>
  <c r="E107" i="3"/>
  <c r="F106" i="3"/>
  <c r="E106" i="3" s="1"/>
  <c r="J105" i="3"/>
  <c r="I105" i="3"/>
  <c r="H105" i="3"/>
  <c r="G105" i="3"/>
  <c r="L104" i="3"/>
  <c r="E104" i="3"/>
  <c r="L103" i="3"/>
  <c r="E103" i="3"/>
  <c r="J102" i="3"/>
  <c r="I102" i="3"/>
  <c r="H102" i="3"/>
  <c r="G102" i="3"/>
  <c r="F102" i="3"/>
  <c r="L101" i="3"/>
  <c r="E101" i="3"/>
  <c r="E99" i="3" s="1"/>
  <c r="L100" i="3"/>
  <c r="E100" i="3"/>
  <c r="J99" i="3"/>
  <c r="I99" i="3"/>
  <c r="H99" i="3"/>
  <c r="G99" i="3"/>
  <c r="F99" i="3"/>
  <c r="L98" i="3"/>
  <c r="E98" i="3"/>
  <c r="L97" i="3"/>
  <c r="E97" i="3"/>
  <c r="L96" i="3"/>
  <c r="E96" i="3"/>
  <c r="L95" i="3"/>
  <c r="E95" i="3"/>
  <c r="L94" i="3"/>
  <c r="E94" i="3"/>
  <c r="L93" i="3"/>
  <c r="E93" i="3"/>
  <c r="L92" i="3"/>
  <c r="E92" i="3"/>
  <c r="L91" i="3"/>
  <c r="E91" i="3"/>
  <c r="J90" i="3"/>
  <c r="I90" i="3"/>
  <c r="H90" i="3"/>
  <c r="G90" i="3"/>
  <c r="F90" i="3"/>
  <c r="L89" i="3"/>
  <c r="E89" i="3"/>
  <c r="L88" i="3"/>
  <c r="E88" i="3"/>
  <c r="J87" i="3"/>
  <c r="I87" i="3"/>
  <c r="H87" i="3"/>
  <c r="G87" i="3"/>
  <c r="F87" i="3"/>
  <c r="J86" i="3"/>
  <c r="I86" i="3"/>
  <c r="H86" i="3"/>
  <c r="G86" i="3"/>
  <c r="F86" i="3"/>
  <c r="J85" i="3"/>
  <c r="I85" i="3"/>
  <c r="H85" i="3"/>
  <c r="G85" i="3"/>
  <c r="F85" i="3"/>
  <c r="E85" i="3"/>
  <c r="I84" i="3"/>
  <c r="J83" i="3"/>
  <c r="I83" i="3"/>
  <c r="G83" i="3"/>
  <c r="F83" i="3"/>
  <c r="J82" i="3"/>
  <c r="J81" i="3"/>
  <c r="I81" i="3"/>
  <c r="H81" i="3"/>
  <c r="G81" i="3"/>
  <c r="F81" i="3"/>
  <c r="L81" i="3" s="1"/>
  <c r="E81" i="3"/>
  <c r="J80" i="3"/>
  <c r="I80" i="3"/>
  <c r="H80" i="3"/>
  <c r="G80" i="3"/>
  <c r="H76" i="3"/>
  <c r="F75" i="3"/>
  <c r="L73" i="3"/>
  <c r="E73" i="3"/>
  <c r="L72" i="3"/>
  <c r="E72" i="3"/>
  <c r="L71" i="3"/>
  <c r="E71" i="3"/>
  <c r="L70" i="3"/>
  <c r="E70" i="3"/>
  <c r="L69" i="3"/>
  <c r="E69" i="3"/>
  <c r="L68" i="3"/>
  <c r="E68" i="3"/>
  <c r="L67" i="3"/>
  <c r="E67" i="3"/>
  <c r="L66" i="3"/>
  <c r="E66" i="3"/>
  <c r="L65" i="3"/>
  <c r="E65" i="3"/>
  <c r="L64" i="3"/>
  <c r="E64" i="3"/>
  <c r="L63" i="3"/>
  <c r="E63" i="3"/>
  <c r="L62" i="3"/>
  <c r="E62" i="3"/>
  <c r="J61" i="3"/>
  <c r="I61" i="3"/>
  <c r="H61" i="3"/>
  <c r="G61" i="3"/>
  <c r="F61" i="3"/>
  <c r="L60" i="3"/>
  <c r="E60" i="3"/>
  <c r="L59" i="3"/>
  <c r="E59" i="3"/>
  <c r="L58" i="3"/>
  <c r="E58" i="3"/>
  <c r="L57" i="3"/>
  <c r="E57" i="3"/>
  <c r="L56" i="3"/>
  <c r="E56" i="3"/>
  <c r="L55" i="3"/>
  <c r="E55" i="3"/>
  <c r="L54" i="3"/>
  <c r="E54" i="3"/>
  <c r="L53" i="3"/>
  <c r="E53" i="3"/>
  <c r="L52" i="3"/>
  <c r="E52" i="3"/>
  <c r="L51" i="3"/>
  <c r="E51" i="3"/>
  <c r="L50" i="3"/>
  <c r="E50" i="3"/>
  <c r="L49" i="3"/>
  <c r="E49" i="3"/>
  <c r="J48" i="3"/>
  <c r="I48" i="3"/>
  <c r="H48" i="3"/>
  <c r="G48" i="3"/>
  <c r="L48" i="3" s="1"/>
  <c r="F48" i="3"/>
  <c r="L47" i="3"/>
  <c r="E47" i="3"/>
  <c r="L46" i="3"/>
  <c r="E46" i="3"/>
  <c r="L45" i="3"/>
  <c r="E45" i="3"/>
  <c r="L44" i="3"/>
  <c r="E44" i="3"/>
  <c r="L43" i="3"/>
  <c r="E43" i="3"/>
  <c r="L42" i="3"/>
  <c r="E42" i="3"/>
  <c r="L41" i="3"/>
  <c r="E41" i="3"/>
  <c r="L40" i="3"/>
  <c r="E40" i="3"/>
  <c r="L39" i="3"/>
  <c r="E39" i="3"/>
  <c r="L38" i="3"/>
  <c r="E38" i="3"/>
  <c r="L37" i="3"/>
  <c r="E37" i="3"/>
  <c r="L36" i="3"/>
  <c r="E36" i="3"/>
  <c r="J35" i="3"/>
  <c r="I35" i="3"/>
  <c r="H35" i="3"/>
  <c r="G35" i="3"/>
  <c r="F35" i="3"/>
  <c r="J34" i="3"/>
  <c r="I34" i="3"/>
  <c r="H34" i="3"/>
  <c r="G34" i="3"/>
  <c r="F34" i="3"/>
  <c r="J33" i="3"/>
  <c r="I33" i="3"/>
  <c r="H33" i="3"/>
  <c r="G33" i="3"/>
  <c r="F33" i="3"/>
  <c r="J32" i="3"/>
  <c r="I32" i="3"/>
  <c r="H32" i="3"/>
  <c r="G32" i="3"/>
  <c r="F32" i="3"/>
  <c r="J31" i="3"/>
  <c r="I31" i="3"/>
  <c r="H31" i="3"/>
  <c r="G31" i="3"/>
  <c r="F31" i="3"/>
  <c r="J30" i="3"/>
  <c r="I30" i="3"/>
  <c r="H30" i="3"/>
  <c r="G30" i="3"/>
  <c r="F30" i="3"/>
  <c r="J29" i="3"/>
  <c r="I29" i="3"/>
  <c r="H29" i="3"/>
  <c r="G29" i="3"/>
  <c r="F29" i="3"/>
  <c r="J28" i="3"/>
  <c r="I28" i="3"/>
  <c r="H28" i="3"/>
  <c r="G28" i="3"/>
  <c r="F28" i="3"/>
  <c r="J27" i="3"/>
  <c r="I27" i="3"/>
  <c r="H27" i="3"/>
  <c r="G27" i="3"/>
  <c r="F27" i="3"/>
  <c r="J26" i="3"/>
  <c r="I26" i="3"/>
  <c r="H26" i="3"/>
  <c r="G26" i="3"/>
  <c r="F26" i="3"/>
  <c r="J25" i="3"/>
  <c r="I25" i="3"/>
  <c r="H25" i="3"/>
  <c r="G25" i="3"/>
  <c r="F25" i="3"/>
  <c r="J24" i="3"/>
  <c r="I24" i="3"/>
  <c r="H24" i="3"/>
  <c r="G24" i="3"/>
  <c r="F24" i="3"/>
  <c r="J23" i="3"/>
  <c r="I23" i="3"/>
  <c r="H23" i="3"/>
  <c r="G23" i="3"/>
  <c r="F23" i="3"/>
  <c r="K21" i="3"/>
  <c r="H21" i="3"/>
  <c r="E1207" i="2"/>
  <c r="E1181" i="2" s="1"/>
  <c r="J1206" i="2"/>
  <c r="I1206" i="2"/>
  <c r="H1206" i="2"/>
  <c r="G1206" i="2"/>
  <c r="F1206" i="2"/>
  <c r="E1206" i="2"/>
  <c r="F1201" i="2"/>
  <c r="K1201" i="2" s="1"/>
  <c r="K1200" i="2"/>
  <c r="E1200" i="2"/>
  <c r="K1199" i="2"/>
  <c r="E1199" i="2"/>
  <c r="K1198" i="2"/>
  <c r="E1198" i="2"/>
  <c r="K1197" i="2"/>
  <c r="E1197" i="2"/>
  <c r="K1196" i="2"/>
  <c r="E1196" i="2"/>
  <c r="K1195" i="2"/>
  <c r="J1194" i="2"/>
  <c r="J1182" i="2" s="1"/>
  <c r="I1194" i="2"/>
  <c r="H1194" i="2"/>
  <c r="H1182" i="2" s="1"/>
  <c r="E1182" i="2" s="1"/>
  <c r="G1194" i="2"/>
  <c r="K1193" i="2"/>
  <c r="E1193" i="2"/>
  <c r="J1192" i="2"/>
  <c r="I1192" i="2"/>
  <c r="H1192" i="2"/>
  <c r="G1192" i="2"/>
  <c r="K1192" i="2" s="1"/>
  <c r="F1192" i="2"/>
  <c r="E1192" i="2"/>
  <c r="J1191" i="2"/>
  <c r="I1191" i="2"/>
  <c r="H1191" i="2"/>
  <c r="G1191" i="2"/>
  <c r="J1190" i="2"/>
  <c r="I1190" i="2"/>
  <c r="H1190" i="2"/>
  <c r="G1190" i="2"/>
  <c r="J1189" i="2"/>
  <c r="I1189" i="2"/>
  <c r="H1189" i="2"/>
  <c r="G1189" i="2"/>
  <c r="J1188" i="2"/>
  <c r="I1188" i="2"/>
  <c r="H1188" i="2"/>
  <c r="G1188" i="2"/>
  <c r="J1187" i="2"/>
  <c r="I1187" i="2"/>
  <c r="H1187" i="2"/>
  <c r="G1187" i="2"/>
  <c r="F1187" i="2"/>
  <c r="E1187" i="2" s="1"/>
  <c r="J1186" i="2"/>
  <c r="I1186" i="2"/>
  <c r="H1186" i="2"/>
  <c r="G1186" i="2"/>
  <c r="K1186" i="2" s="1"/>
  <c r="F1186" i="2"/>
  <c r="E1186" i="2"/>
  <c r="J1185" i="2"/>
  <c r="I1185" i="2"/>
  <c r="H1185" i="2"/>
  <c r="G1185" i="2"/>
  <c r="F1185" i="2"/>
  <c r="K1185" i="2" s="1"/>
  <c r="J1184" i="2"/>
  <c r="I1184" i="2"/>
  <c r="H1184" i="2"/>
  <c r="G1184" i="2"/>
  <c r="K1184" i="2" s="1"/>
  <c r="F1184" i="2"/>
  <c r="J1183" i="2"/>
  <c r="I1183" i="2"/>
  <c r="H1183" i="2"/>
  <c r="G1183" i="2"/>
  <c r="F1183" i="2"/>
  <c r="E1183" i="2" s="1"/>
  <c r="I1182" i="2"/>
  <c r="I1180" i="2" s="1"/>
  <c r="G1182" i="2"/>
  <c r="K1182" i="2" s="1"/>
  <c r="F1182" i="2"/>
  <c r="J1181" i="2"/>
  <c r="J1180" i="2" s="1"/>
  <c r="I1181" i="2"/>
  <c r="H1181" i="2"/>
  <c r="H1180" i="2" s="1"/>
  <c r="G1181" i="2"/>
  <c r="F1181" i="2"/>
  <c r="K1181" i="2" s="1"/>
  <c r="G1180" i="2"/>
  <c r="K1179" i="2"/>
  <c r="E1179" i="2"/>
  <c r="E1153" i="2" s="1"/>
  <c r="J1178" i="2"/>
  <c r="I1178" i="2"/>
  <c r="H1178" i="2"/>
  <c r="G1178" i="2"/>
  <c r="F1178" i="2"/>
  <c r="K1178" i="2" s="1"/>
  <c r="K1177" i="2"/>
  <c r="K1153" i="2" s="1"/>
  <c r="K1176" i="2"/>
  <c r="E1176" i="2"/>
  <c r="K1175" i="2"/>
  <c r="E1175" i="2"/>
  <c r="K1174" i="2"/>
  <c r="E1174" i="2"/>
  <c r="K1173" i="2"/>
  <c r="E1173" i="2"/>
  <c r="K1172" i="2"/>
  <c r="E1172" i="2"/>
  <c r="K1171" i="2"/>
  <c r="E1171" i="2"/>
  <c r="K1170" i="2"/>
  <c r="E1170" i="2"/>
  <c r="K1169" i="2"/>
  <c r="E1169" i="2"/>
  <c r="K1168" i="2"/>
  <c r="E1168" i="2"/>
  <c r="K1167" i="2"/>
  <c r="E1167" i="2"/>
  <c r="K1166" i="2"/>
  <c r="E1166" i="2"/>
  <c r="E1165" i="2" s="1"/>
  <c r="J1165" i="2"/>
  <c r="I1165" i="2"/>
  <c r="H1165" i="2"/>
  <c r="G1165" i="2"/>
  <c r="F1165" i="2"/>
  <c r="K1165" i="2" s="1"/>
  <c r="J1164" i="2"/>
  <c r="I1164" i="2"/>
  <c r="H1164" i="2"/>
  <c r="G1164" i="2"/>
  <c r="K1164" i="2" s="1"/>
  <c r="F1164" i="2"/>
  <c r="E1164" i="2"/>
  <c r="J1163" i="2"/>
  <c r="I1163" i="2"/>
  <c r="H1163" i="2"/>
  <c r="G1163" i="2"/>
  <c r="F1163" i="2"/>
  <c r="K1163" i="2" s="1"/>
  <c r="J1162" i="2"/>
  <c r="I1162" i="2"/>
  <c r="H1162" i="2"/>
  <c r="G1162" i="2"/>
  <c r="K1162" i="2" s="1"/>
  <c r="F1162" i="2"/>
  <c r="J1161" i="2"/>
  <c r="I1161" i="2"/>
  <c r="H1161" i="2"/>
  <c r="G1161" i="2"/>
  <c r="F1161" i="2"/>
  <c r="E1161" i="2" s="1"/>
  <c r="J1160" i="2"/>
  <c r="I1160" i="2"/>
  <c r="H1160" i="2"/>
  <c r="G1160" i="2"/>
  <c r="K1160" i="2" s="1"/>
  <c r="F1160" i="2"/>
  <c r="E1160" i="2"/>
  <c r="J1159" i="2"/>
  <c r="I1159" i="2"/>
  <c r="H1159" i="2"/>
  <c r="G1159" i="2"/>
  <c r="F1159" i="2"/>
  <c r="K1159" i="2" s="1"/>
  <c r="J1158" i="2"/>
  <c r="I1158" i="2"/>
  <c r="H1158" i="2"/>
  <c r="G1158" i="2"/>
  <c r="K1158" i="2" s="1"/>
  <c r="F1158" i="2"/>
  <c r="J1157" i="2"/>
  <c r="I1157" i="2"/>
  <c r="H1157" i="2"/>
  <c r="G1157" i="2"/>
  <c r="F1157" i="2"/>
  <c r="E1157" i="2" s="1"/>
  <c r="J1156" i="2"/>
  <c r="I1156" i="2"/>
  <c r="H1156" i="2"/>
  <c r="G1156" i="2"/>
  <c r="K1156" i="2" s="1"/>
  <c r="F1156" i="2"/>
  <c r="E1156" i="2"/>
  <c r="J1155" i="2"/>
  <c r="I1155" i="2"/>
  <c r="H1155" i="2"/>
  <c r="G1155" i="2"/>
  <c r="F1155" i="2"/>
  <c r="K1155" i="2" s="1"/>
  <c r="J1154" i="2"/>
  <c r="I1154" i="2"/>
  <c r="H1154" i="2"/>
  <c r="G1154" i="2"/>
  <c r="K1154" i="2" s="1"/>
  <c r="F1154" i="2"/>
  <c r="J1153" i="2"/>
  <c r="J1152" i="2" s="1"/>
  <c r="I1153" i="2"/>
  <c r="H1153" i="2"/>
  <c r="H1152" i="2" s="1"/>
  <c r="G1153" i="2"/>
  <c r="F1153" i="2"/>
  <c r="F1152" i="2" s="1"/>
  <c r="I1152" i="2"/>
  <c r="K1151" i="2"/>
  <c r="E1151" i="2"/>
  <c r="K1150" i="2"/>
  <c r="E1150" i="2"/>
  <c r="K1149" i="2"/>
  <c r="E1149" i="2"/>
  <c r="K1148" i="2"/>
  <c r="E1148" i="2"/>
  <c r="K1147" i="2"/>
  <c r="E1147" i="2"/>
  <c r="E1139" i="2" s="1"/>
  <c r="K1146" i="2"/>
  <c r="E1146" i="2"/>
  <c r="E1138" i="2" s="1"/>
  <c r="K1145" i="2"/>
  <c r="E1145" i="2"/>
  <c r="E1137" i="2" s="1"/>
  <c r="K1144" i="2"/>
  <c r="E1144" i="2"/>
  <c r="F1143" i="2"/>
  <c r="K1143" i="2" s="1"/>
  <c r="K1142" i="2"/>
  <c r="F1142" i="2"/>
  <c r="E1142" i="2"/>
  <c r="F1141" i="2"/>
  <c r="E1141" i="2" s="1"/>
  <c r="K1140" i="2"/>
  <c r="F1140" i="2"/>
  <c r="E1140" i="2"/>
  <c r="J1139" i="2"/>
  <c r="I1139" i="2"/>
  <c r="H1139" i="2"/>
  <c r="G1139" i="2"/>
  <c r="F1139" i="2"/>
  <c r="K1139" i="2" s="1"/>
  <c r="J1138" i="2"/>
  <c r="I1138" i="2"/>
  <c r="H1138" i="2"/>
  <c r="G1138" i="2"/>
  <c r="K1138" i="2" s="1"/>
  <c r="F1138" i="2"/>
  <c r="J1137" i="2"/>
  <c r="J1135" i="2" s="1"/>
  <c r="J1122" i="2" s="1"/>
  <c r="J1113" i="2" s="1"/>
  <c r="I1137" i="2"/>
  <c r="H1137" i="2"/>
  <c r="G1137" i="2"/>
  <c r="F1137" i="2"/>
  <c r="F1135" i="2" s="1"/>
  <c r="J1136" i="2"/>
  <c r="I1136" i="2"/>
  <c r="I1135" i="2" s="1"/>
  <c r="I1122" i="2" s="1"/>
  <c r="I1113" i="2" s="1"/>
  <c r="H1136" i="2"/>
  <c r="G1136" i="2"/>
  <c r="G1135" i="2" s="1"/>
  <c r="G1122" i="2" s="1"/>
  <c r="F1136" i="2"/>
  <c r="E1136" i="2"/>
  <c r="H1135" i="2"/>
  <c r="H1122" i="2" s="1"/>
  <c r="H1113" i="2" s="1"/>
  <c r="K1134" i="2"/>
  <c r="E1134" i="2"/>
  <c r="K1133" i="2"/>
  <c r="E1133" i="2"/>
  <c r="K1132" i="2"/>
  <c r="E1132" i="2"/>
  <c r="K1131" i="2"/>
  <c r="E1131" i="2"/>
  <c r="K1130" i="2"/>
  <c r="E1130" i="2"/>
  <c r="K1129" i="2"/>
  <c r="E1129" i="2"/>
  <c r="K1128" i="2"/>
  <c r="E1128" i="2"/>
  <c r="K1127" i="2"/>
  <c r="E1127" i="2"/>
  <c r="J1126" i="2"/>
  <c r="I1126" i="2"/>
  <c r="I1117" i="2" s="1"/>
  <c r="H1126" i="2"/>
  <c r="G1126" i="2"/>
  <c r="K1126" i="2" s="1"/>
  <c r="F1126" i="2"/>
  <c r="J1125" i="2"/>
  <c r="J1116" i="2" s="1"/>
  <c r="I1125" i="2"/>
  <c r="H1125" i="2"/>
  <c r="H1116" i="2" s="1"/>
  <c r="G1125" i="2"/>
  <c r="F1125" i="2"/>
  <c r="E1125" i="2" s="1"/>
  <c r="E1116" i="2" s="1"/>
  <c r="J1124" i="2"/>
  <c r="I1124" i="2"/>
  <c r="I1115" i="2" s="1"/>
  <c r="H1124" i="2"/>
  <c r="G1124" i="2"/>
  <c r="G1115" i="2" s="1"/>
  <c r="F1124" i="2"/>
  <c r="E1124" i="2"/>
  <c r="E1115" i="2" s="1"/>
  <c r="J1123" i="2"/>
  <c r="J1114" i="2" s="1"/>
  <c r="I1123" i="2"/>
  <c r="H1123" i="2"/>
  <c r="H1114" i="2" s="1"/>
  <c r="G1123" i="2"/>
  <c r="F1123" i="2"/>
  <c r="K1123" i="2" s="1"/>
  <c r="F1122" i="2"/>
  <c r="J1121" i="2"/>
  <c r="J1112" i="2" s="1"/>
  <c r="I1121" i="2"/>
  <c r="H1121" i="2"/>
  <c r="H1112" i="2" s="1"/>
  <c r="G1121" i="2"/>
  <c r="F1121" i="2"/>
  <c r="E1121" i="2" s="1"/>
  <c r="E1112" i="2" s="1"/>
  <c r="J1120" i="2"/>
  <c r="I1120" i="2"/>
  <c r="H1120" i="2"/>
  <c r="G1120" i="2"/>
  <c r="G1111" i="2" s="1"/>
  <c r="F1120" i="2"/>
  <c r="E1120" i="2"/>
  <c r="E1111" i="2" s="1"/>
  <c r="J1119" i="2"/>
  <c r="J1118" i="2" s="1"/>
  <c r="J1109" i="2" s="1"/>
  <c r="I1119" i="2"/>
  <c r="H1119" i="2"/>
  <c r="H1118" i="2" s="1"/>
  <c r="G1119" i="2"/>
  <c r="F1119" i="2"/>
  <c r="K1119" i="2" s="1"/>
  <c r="J1117" i="2"/>
  <c r="H1117" i="2"/>
  <c r="F1117" i="2"/>
  <c r="I1116" i="2"/>
  <c r="G1116" i="2"/>
  <c r="J1115" i="2"/>
  <c r="H1115" i="2"/>
  <c r="F1115" i="2"/>
  <c r="I1114" i="2"/>
  <c r="G1114" i="2"/>
  <c r="F1113" i="2"/>
  <c r="I1112" i="2"/>
  <c r="G1112" i="2"/>
  <c r="J1111" i="2"/>
  <c r="H1111" i="2"/>
  <c r="I1110" i="2"/>
  <c r="G1110" i="2"/>
  <c r="E1108" i="2"/>
  <c r="E1107" i="2"/>
  <c r="E1106" i="2"/>
  <c r="F1105" i="2"/>
  <c r="E1105" i="2"/>
  <c r="K1104" i="2"/>
  <c r="E1104" i="2"/>
  <c r="E1103" i="2" s="1"/>
  <c r="J1103" i="2"/>
  <c r="I1103" i="2"/>
  <c r="H1103" i="2"/>
  <c r="G1103" i="2"/>
  <c r="F1103" i="2"/>
  <c r="K1103" i="2" s="1"/>
  <c r="K1102" i="2"/>
  <c r="E1102" i="2"/>
  <c r="J1101" i="2"/>
  <c r="I1101" i="2"/>
  <c r="H1101" i="2"/>
  <c r="G1101" i="2"/>
  <c r="K1101" i="2" s="1"/>
  <c r="F1101" i="2"/>
  <c r="E1101" i="2"/>
  <c r="K1100" i="2"/>
  <c r="E1100" i="2"/>
  <c r="E1099" i="2" s="1"/>
  <c r="J1099" i="2"/>
  <c r="I1099" i="2"/>
  <c r="H1099" i="2"/>
  <c r="G1099" i="2"/>
  <c r="F1099" i="2"/>
  <c r="K1099" i="2" s="1"/>
  <c r="K1098" i="2"/>
  <c r="E1098" i="2"/>
  <c r="J1097" i="2"/>
  <c r="I1097" i="2"/>
  <c r="H1097" i="2"/>
  <c r="G1097" i="2"/>
  <c r="K1097" i="2" s="1"/>
  <c r="F1097" i="2"/>
  <c r="E1097" i="2"/>
  <c r="K1096" i="2"/>
  <c r="E1096" i="2"/>
  <c r="E1095" i="2" s="1"/>
  <c r="J1095" i="2"/>
  <c r="I1095" i="2"/>
  <c r="H1095" i="2"/>
  <c r="G1095" i="2"/>
  <c r="F1095" i="2"/>
  <c r="K1095" i="2" s="1"/>
  <c r="K1094" i="2"/>
  <c r="E1094" i="2"/>
  <c r="J1093" i="2"/>
  <c r="I1093" i="2"/>
  <c r="H1093" i="2"/>
  <c r="G1093" i="2"/>
  <c r="K1093" i="2" s="1"/>
  <c r="F1093" i="2"/>
  <c r="E1093" i="2"/>
  <c r="K1092" i="2"/>
  <c r="E1092" i="2"/>
  <c r="E1091" i="2" s="1"/>
  <c r="J1091" i="2"/>
  <c r="I1091" i="2"/>
  <c r="H1091" i="2"/>
  <c r="G1091" i="2"/>
  <c r="F1091" i="2"/>
  <c r="K1091" i="2" s="1"/>
  <c r="K1090" i="2"/>
  <c r="E1090" i="2"/>
  <c r="J1089" i="2"/>
  <c r="I1089" i="2"/>
  <c r="H1089" i="2"/>
  <c r="G1089" i="2"/>
  <c r="K1089" i="2" s="1"/>
  <c r="F1089" i="2"/>
  <c r="E1089" i="2"/>
  <c r="K1088" i="2"/>
  <c r="E1088" i="2"/>
  <c r="E1087" i="2" s="1"/>
  <c r="J1087" i="2"/>
  <c r="I1087" i="2"/>
  <c r="H1087" i="2"/>
  <c r="G1087" i="2"/>
  <c r="F1087" i="2"/>
  <c r="K1087" i="2" s="1"/>
  <c r="K1086" i="2"/>
  <c r="F1086" i="2"/>
  <c r="E1086" i="2"/>
  <c r="J1085" i="2"/>
  <c r="I1085" i="2"/>
  <c r="H1085" i="2"/>
  <c r="G1085" i="2"/>
  <c r="F1085" i="2"/>
  <c r="E1085" i="2" s="1"/>
  <c r="E1038" i="2" s="1"/>
  <c r="J1084" i="2"/>
  <c r="I1084" i="2"/>
  <c r="I1037" i="2" s="1"/>
  <c r="H1084" i="2"/>
  <c r="G1084" i="2"/>
  <c r="K1084" i="2" s="1"/>
  <c r="F1084" i="2"/>
  <c r="E1084" i="2"/>
  <c r="J1083" i="2"/>
  <c r="J1036" i="2" s="1"/>
  <c r="I1083" i="2"/>
  <c r="H1083" i="2"/>
  <c r="H1036" i="2" s="1"/>
  <c r="G1083" i="2"/>
  <c r="F1083" i="2"/>
  <c r="K1083" i="2" s="1"/>
  <c r="J1082" i="2"/>
  <c r="I1082" i="2"/>
  <c r="I1081" i="2" s="1"/>
  <c r="H1082" i="2"/>
  <c r="G1082" i="2"/>
  <c r="K1082" i="2" s="1"/>
  <c r="F1082" i="2"/>
  <c r="E1082" i="2"/>
  <c r="J1081" i="2"/>
  <c r="F1081" i="2"/>
  <c r="K1080" i="2"/>
  <c r="E1080" i="2"/>
  <c r="J1079" i="2"/>
  <c r="I1079" i="2"/>
  <c r="H1079" i="2"/>
  <c r="G1079" i="2"/>
  <c r="K1079" i="2" s="1"/>
  <c r="F1079" i="2"/>
  <c r="E1079" i="2"/>
  <c r="K1078" i="2"/>
  <c r="E1078" i="2"/>
  <c r="J1077" i="2"/>
  <c r="I1077" i="2"/>
  <c r="H1077" i="2"/>
  <c r="G1077" i="2"/>
  <c r="F1077" i="2"/>
  <c r="K1076" i="2"/>
  <c r="E1076" i="2"/>
  <c r="J1075" i="2"/>
  <c r="I1075" i="2"/>
  <c r="H1075" i="2"/>
  <c r="G1075" i="2"/>
  <c r="K1075" i="2" s="1"/>
  <c r="F1075" i="2"/>
  <c r="E1075" i="2"/>
  <c r="K1074" i="2"/>
  <c r="E1074" i="2"/>
  <c r="E1073" i="2" s="1"/>
  <c r="J1073" i="2"/>
  <c r="I1073" i="2"/>
  <c r="H1073" i="2"/>
  <c r="G1073" i="2"/>
  <c r="F1073" i="2"/>
  <c r="K1073" i="2" s="1"/>
  <c r="K1072" i="2"/>
  <c r="E1072" i="2"/>
  <c r="J1071" i="2"/>
  <c r="I1071" i="2"/>
  <c r="H1071" i="2"/>
  <c r="G1071" i="2"/>
  <c r="K1071" i="2" s="1"/>
  <c r="F1071" i="2"/>
  <c r="E1071" i="2"/>
  <c r="J1070" i="2"/>
  <c r="J1044" i="2" s="1"/>
  <c r="I1070" i="2"/>
  <c r="H1070" i="2"/>
  <c r="H1044" i="2" s="1"/>
  <c r="G1070" i="2"/>
  <c r="F1070" i="2"/>
  <c r="J1069" i="2"/>
  <c r="I1069" i="2"/>
  <c r="H1069" i="2"/>
  <c r="G1069" i="2"/>
  <c r="F1069" i="2"/>
  <c r="E1069" i="2"/>
  <c r="J1068" i="2"/>
  <c r="I1068" i="2"/>
  <c r="H1068" i="2"/>
  <c r="H1066" i="2" s="1"/>
  <c r="G1068" i="2"/>
  <c r="F1068" i="2"/>
  <c r="J1067" i="2"/>
  <c r="I1067" i="2"/>
  <c r="I1066" i="2" s="1"/>
  <c r="H1067" i="2"/>
  <c r="G1067" i="2"/>
  <c r="F1067" i="2"/>
  <c r="E1067" i="2"/>
  <c r="F1066" i="2"/>
  <c r="J1062" i="2"/>
  <c r="J1063" i="2" s="1"/>
  <c r="J1064" i="2" s="1"/>
  <c r="J1065" i="2" s="1"/>
  <c r="H1062" i="2"/>
  <c r="H1063" i="2" s="1"/>
  <c r="F1062" i="2"/>
  <c r="J1061" i="2"/>
  <c r="I1061" i="2"/>
  <c r="H1061" i="2"/>
  <c r="G1061" i="2"/>
  <c r="F1061" i="2"/>
  <c r="E1061" i="2"/>
  <c r="K1060" i="2"/>
  <c r="E1060" i="2"/>
  <c r="K1059" i="2"/>
  <c r="E1059" i="2"/>
  <c r="E1039" i="2" s="1"/>
  <c r="K1058" i="2"/>
  <c r="E1058" i="2"/>
  <c r="K1057" i="2"/>
  <c r="E1057" i="2"/>
  <c r="K1056" i="2"/>
  <c r="E1056" i="2"/>
  <c r="K1055" i="2"/>
  <c r="E1055" i="2"/>
  <c r="E1035" i="2" s="1"/>
  <c r="K1054" i="2"/>
  <c r="E1054" i="2"/>
  <c r="K1052" i="2"/>
  <c r="E1052" i="2"/>
  <c r="K1051" i="2"/>
  <c r="E1051" i="2"/>
  <c r="K1050" i="2"/>
  <c r="E1050" i="2"/>
  <c r="J1049" i="2"/>
  <c r="I1049" i="2"/>
  <c r="I1046" i="2" s="1"/>
  <c r="H1049" i="2"/>
  <c r="G1049" i="2"/>
  <c r="F1049" i="2"/>
  <c r="E1049" i="2"/>
  <c r="J1048" i="2"/>
  <c r="I1048" i="2"/>
  <c r="H1048" i="2"/>
  <c r="H1042" i="2" s="1"/>
  <c r="G1048" i="2"/>
  <c r="F1048" i="2"/>
  <c r="E1048" i="2"/>
  <c r="K1047" i="2"/>
  <c r="F1047" i="2"/>
  <c r="E1047" i="2"/>
  <c r="H1046" i="2"/>
  <c r="J1045" i="2"/>
  <c r="I1045" i="2" s="1"/>
  <c r="H1045" i="2" s="1"/>
  <c r="G1045" i="2" s="1"/>
  <c r="I1044" i="2"/>
  <c r="G1044" i="2"/>
  <c r="J1043" i="2"/>
  <c r="H1043" i="2"/>
  <c r="J1041" i="2"/>
  <c r="H1041" i="2"/>
  <c r="F1041" i="2"/>
  <c r="F1040" i="2"/>
  <c r="E1040" i="2"/>
  <c r="F1039" i="2"/>
  <c r="J1037" i="2"/>
  <c r="H1037" i="2"/>
  <c r="F1037" i="2"/>
  <c r="I1036" i="2"/>
  <c r="G1036" i="2"/>
  <c r="J1035" i="2"/>
  <c r="H1035" i="2"/>
  <c r="F1035" i="2"/>
  <c r="J1034" i="2"/>
  <c r="I1034" i="2"/>
  <c r="H1034" i="2"/>
  <c r="G1034" i="2"/>
  <c r="F1034" i="2"/>
  <c r="E1034" i="2"/>
  <c r="K1032" i="2"/>
  <c r="E1032" i="2"/>
  <c r="K1031" i="2"/>
  <c r="E1031" i="2"/>
  <c r="K1030" i="2"/>
  <c r="E1030" i="2"/>
  <c r="K1029" i="2"/>
  <c r="E1029" i="2"/>
  <c r="K1028" i="2"/>
  <c r="E1028" i="2"/>
  <c r="K1027" i="2"/>
  <c r="E1027" i="2"/>
  <c r="K1026" i="2"/>
  <c r="E1026" i="2"/>
  <c r="K1025" i="2"/>
  <c r="E1025" i="2"/>
  <c r="K1024" i="2"/>
  <c r="E1024" i="2"/>
  <c r="K1023" i="2"/>
  <c r="E1023" i="2"/>
  <c r="K1022" i="2"/>
  <c r="E1022" i="2"/>
  <c r="K1021" i="2"/>
  <c r="E1021" i="2"/>
  <c r="J1020" i="2"/>
  <c r="I1020" i="2"/>
  <c r="H1020" i="2"/>
  <c r="G1020" i="2"/>
  <c r="K1020" i="2" s="1"/>
  <c r="F1020" i="2"/>
  <c r="E1020" i="2"/>
  <c r="K1019" i="2"/>
  <c r="E1019" i="2"/>
  <c r="E994" i="2" s="1"/>
  <c r="K1018" i="2"/>
  <c r="E1018" i="2"/>
  <c r="E993" i="2" s="1"/>
  <c r="K1017" i="2"/>
  <c r="E1017" i="2"/>
  <c r="E992" i="2" s="1"/>
  <c r="K1016" i="2"/>
  <c r="E1016" i="2"/>
  <c r="E991" i="2" s="1"/>
  <c r="K1015" i="2"/>
  <c r="E1015" i="2"/>
  <c r="E990" i="2" s="1"/>
  <c r="K1014" i="2"/>
  <c r="E1014" i="2"/>
  <c r="E989" i="2" s="1"/>
  <c r="K1013" i="2"/>
  <c r="E1013" i="2"/>
  <c r="E988" i="2" s="1"/>
  <c r="K1012" i="2"/>
  <c r="E1012" i="2"/>
  <c r="E987" i="2" s="1"/>
  <c r="K1011" i="2"/>
  <c r="E1011" i="2"/>
  <c r="E986" i="2" s="1"/>
  <c r="K1010" i="2"/>
  <c r="E1010" i="2"/>
  <c r="E985" i="2" s="1"/>
  <c r="K1009" i="2"/>
  <c r="E1009" i="2"/>
  <c r="E1008" i="2" s="1"/>
  <c r="J1008" i="2"/>
  <c r="I1008" i="2"/>
  <c r="H1008" i="2"/>
  <c r="G1008" i="2"/>
  <c r="F1008" i="2"/>
  <c r="K1008" i="2" s="1"/>
  <c r="K1007" i="2"/>
  <c r="E1007" i="2"/>
  <c r="K1006" i="2"/>
  <c r="E1006" i="2"/>
  <c r="K1005" i="2"/>
  <c r="E1005" i="2"/>
  <c r="K1004" i="2"/>
  <c r="E1004" i="2"/>
  <c r="K1003" i="2"/>
  <c r="E1003" i="2"/>
  <c r="K1002" i="2"/>
  <c r="E1002" i="2"/>
  <c r="K1001" i="2"/>
  <c r="E1001" i="2"/>
  <c r="K1000" i="2"/>
  <c r="E1000" i="2"/>
  <c r="K999" i="2"/>
  <c r="E999" i="2"/>
  <c r="K998" i="2"/>
  <c r="E998" i="2"/>
  <c r="K997" i="2"/>
  <c r="E997" i="2"/>
  <c r="K996" i="2"/>
  <c r="E996" i="2"/>
  <c r="J995" i="2"/>
  <c r="I995" i="2"/>
  <c r="H995" i="2"/>
  <c r="G995" i="2"/>
  <c r="F995" i="2"/>
  <c r="E995" i="2"/>
  <c r="J994" i="2"/>
  <c r="I994" i="2"/>
  <c r="H994" i="2"/>
  <c r="G994" i="2"/>
  <c r="F994" i="2"/>
  <c r="K994" i="2" s="1"/>
  <c r="J993" i="2"/>
  <c r="I993" i="2"/>
  <c r="H993" i="2"/>
  <c r="G993" i="2"/>
  <c r="K993" i="2" s="1"/>
  <c r="F993" i="2"/>
  <c r="J992" i="2"/>
  <c r="I992" i="2"/>
  <c r="H992" i="2"/>
  <c r="G992" i="2"/>
  <c r="F992" i="2"/>
  <c r="K992" i="2" s="1"/>
  <c r="J991" i="2"/>
  <c r="I991" i="2"/>
  <c r="H991" i="2"/>
  <c r="G991" i="2"/>
  <c r="K991" i="2" s="1"/>
  <c r="F991" i="2"/>
  <c r="J990" i="2"/>
  <c r="I990" i="2"/>
  <c r="H990" i="2"/>
  <c r="H982" i="2" s="1"/>
  <c r="G990" i="2"/>
  <c r="F990" i="2"/>
  <c r="J989" i="2"/>
  <c r="I989" i="2"/>
  <c r="H989" i="2"/>
  <c r="G989" i="2"/>
  <c r="K989" i="2" s="1"/>
  <c r="F989" i="2"/>
  <c r="J988" i="2"/>
  <c r="I988" i="2"/>
  <c r="H988" i="2"/>
  <c r="G988" i="2"/>
  <c r="F988" i="2"/>
  <c r="K988" i="2" s="1"/>
  <c r="J987" i="2"/>
  <c r="I987" i="2"/>
  <c r="H987" i="2"/>
  <c r="G987" i="2"/>
  <c r="F987" i="2"/>
  <c r="J986" i="2"/>
  <c r="I986" i="2"/>
  <c r="H986" i="2"/>
  <c r="G986" i="2"/>
  <c r="F986" i="2"/>
  <c r="K986" i="2" s="1"/>
  <c r="J985" i="2"/>
  <c r="I985" i="2"/>
  <c r="H985" i="2"/>
  <c r="G985" i="2"/>
  <c r="K985" i="2" s="1"/>
  <c r="F985" i="2"/>
  <c r="J984" i="2"/>
  <c r="J982" i="2" s="1"/>
  <c r="I984" i="2"/>
  <c r="H984" i="2"/>
  <c r="G984" i="2"/>
  <c r="F984" i="2"/>
  <c r="J983" i="2"/>
  <c r="I983" i="2"/>
  <c r="H983" i="2"/>
  <c r="G983" i="2"/>
  <c r="G982" i="2" s="1"/>
  <c r="F983" i="2"/>
  <c r="E983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J969" i="2"/>
  <c r="I969" i="2"/>
  <c r="I956" i="2" s="1"/>
  <c r="H969" i="2"/>
  <c r="G969" i="2"/>
  <c r="G956" i="2" s="1"/>
  <c r="F969" i="2"/>
  <c r="E969" i="2"/>
  <c r="E956" i="2" s="1"/>
  <c r="J968" i="2"/>
  <c r="I968" i="2"/>
  <c r="H968" i="2"/>
  <c r="G968" i="2"/>
  <c r="F968" i="2"/>
  <c r="K968" i="2" s="1"/>
  <c r="E968" i="2"/>
  <c r="J967" i="2"/>
  <c r="I967" i="2"/>
  <c r="H967" i="2"/>
  <c r="G967" i="2"/>
  <c r="K967" i="2" s="1"/>
  <c r="F967" i="2"/>
  <c r="E967" i="2"/>
  <c r="J966" i="2"/>
  <c r="I966" i="2"/>
  <c r="H966" i="2"/>
  <c r="G966" i="2"/>
  <c r="F966" i="2"/>
  <c r="E966" i="2"/>
  <c r="J965" i="2"/>
  <c r="I965" i="2"/>
  <c r="H965" i="2"/>
  <c r="G965" i="2"/>
  <c r="K965" i="2" s="1"/>
  <c r="F965" i="2"/>
  <c r="E965" i="2"/>
  <c r="J964" i="2"/>
  <c r="I964" i="2"/>
  <c r="H964" i="2"/>
  <c r="G964" i="2"/>
  <c r="F964" i="2"/>
  <c r="K964" i="2" s="1"/>
  <c r="E964" i="2"/>
  <c r="J963" i="2"/>
  <c r="I963" i="2"/>
  <c r="H963" i="2"/>
  <c r="G963" i="2"/>
  <c r="K963" i="2" s="1"/>
  <c r="F963" i="2"/>
  <c r="E963" i="2"/>
  <c r="J962" i="2"/>
  <c r="I962" i="2"/>
  <c r="H962" i="2"/>
  <c r="G962" i="2"/>
  <c r="F962" i="2"/>
  <c r="K962" i="2" s="1"/>
  <c r="E962" i="2"/>
  <c r="J961" i="2"/>
  <c r="I961" i="2"/>
  <c r="H961" i="2"/>
  <c r="G961" i="2"/>
  <c r="K961" i="2" s="1"/>
  <c r="F961" i="2"/>
  <c r="E961" i="2"/>
  <c r="J960" i="2"/>
  <c r="I960" i="2"/>
  <c r="H960" i="2"/>
  <c r="G960" i="2"/>
  <c r="F960" i="2"/>
  <c r="K960" i="2" s="1"/>
  <c r="E960" i="2"/>
  <c r="J959" i="2"/>
  <c r="I959" i="2"/>
  <c r="H959" i="2"/>
  <c r="G959" i="2"/>
  <c r="F959" i="2"/>
  <c r="E959" i="2"/>
  <c r="J958" i="2"/>
  <c r="I958" i="2"/>
  <c r="H958" i="2"/>
  <c r="G958" i="2"/>
  <c r="F958" i="2"/>
  <c r="K958" i="2" s="1"/>
  <c r="E958" i="2"/>
  <c r="J957" i="2"/>
  <c r="I957" i="2"/>
  <c r="H957" i="2"/>
  <c r="G957" i="2"/>
  <c r="K957" i="2" s="1"/>
  <c r="F957" i="2"/>
  <c r="E957" i="2"/>
  <c r="J956" i="2"/>
  <c r="H956" i="2"/>
  <c r="F956" i="2"/>
  <c r="K956" i="2" s="1"/>
  <c r="K955" i="2"/>
  <c r="E955" i="2"/>
  <c r="K954" i="2"/>
  <c r="E954" i="2"/>
  <c r="K953" i="2"/>
  <c r="E953" i="2"/>
  <c r="K952" i="2"/>
  <c r="E952" i="2"/>
  <c r="K951" i="2"/>
  <c r="E951" i="2"/>
  <c r="K950" i="2"/>
  <c r="E950" i="2"/>
  <c r="K949" i="2"/>
  <c r="E949" i="2"/>
  <c r="K948" i="2"/>
  <c r="E948" i="2"/>
  <c r="K947" i="2"/>
  <c r="E947" i="2"/>
  <c r="K946" i="2"/>
  <c r="E946" i="2"/>
  <c r="K945" i="2"/>
  <c r="E945" i="2"/>
  <c r="K944" i="2"/>
  <c r="E944" i="2"/>
  <c r="J943" i="2"/>
  <c r="I943" i="2"/>
  <c r="I930" i="2" s="1"/>
  <c r="H943" i="2"/>
  <c r="G943" i="2"/>
  <c r="G930" i="2" s="1"/>
  <c r="F943" i="2"/>
  <c r="E943" i="2"/>
  <c r="E930" i="2" s="1"/>
  <c r="J942" i="2"/>
  <c r="I942" i="2"/>
  <c r="H942" i="2"/>
  <c r="G942" i="2"/>
  <c r="F942" i="2"/>
  <c r="E942" i="2"/>
  <c r="J941" i="2"/>
  <c r="I941" i="2"/>
  <c r="H941" i="2"/>
  <c r="G941" i="2"/>
  <c r="K941" i="2" s="1"/>
  <c r="F941" i="2"/>
  <c r="E941" i="2"/>
  <c r="J940" i="2"/>
  <c r="I940" i="2"/>
  <c r="H940" i="2"/>
  <c r="G940" i="2"/>
  <c r="F940" i="2"/>
  <c r="K940" i="2" s="1"/>
  <c r="E940" i="2"/>
  <c r="J939" i="2"/>
  <c r="I939" i="2"/>
  <c r="H939" i="2"/>
  <c r="G939" i="2"/>
  <c r="K939" i="2" s="1"/>
  <c r="F939" i="2"/>
  <c r="E939" i="2"/>
  <c r="J938" i="2"/>
  <c r="I938" i="2"/>
  <c r="H938" i="2"/>
  <c r="G938" i="2"/>
  <c r="F938" i="2"/>
  <c r="K938" i="2" s="1"/>
  <c r="E938" i="2"/>
  <c r="J937" i="2"/>
  <c r="I937" i="2"/>
  <c r="H937" i="2"/>
  <c r="G937" i="2"/>
  <c r="K937" i="2" s="1"/>
  <c r="F937" i="2"/>
  <c r="E937" i="2"/>
  <c r="J936" i="2"/>
  <c r="I936" i="2"/>
  <c r="H936" i="2"/>
  <c r="G936" i="2"/>
  <c r="F936" i="2"/>
  <c r="K936" i="2" s="1"/>
  <c r="E936" i="2"/>
  <c r="J935" i="2"/>
  <c r="I935" i="2"/>
  <c r="H935" i="2"/>
  <c r="G935" i="2"/>
  <c r="F935" i="2"/>
  <c r="E935" i="2"/>
  <c r="J934" i="2"/>
  <c r="I934" i="2"/>
  <c r="H934" i="2"/>
  <c r="G934" i="2"/>
  <c r="F934" i="2"/>
  <c r="K934" i="2" s="1"/>
  <c r="E934" i="2"/>
  <c r="J933" i="2"/>
  <c r="I933" i="2"/>
  <c r="H933" i="2"/>
  <c r="G933" i="2"/>
  <c r="K933" i="2" s="1"/>
  <c r="F933" i="2"/>
  <c r="E933" i="2"/>
  <c r="J932" i="2"/>
  <c r="I932" i="2"/>
  <c r="H932" i="2"/>
  <c r="G932" i="2"/>
  <c r="F932" i="2"/>
  <c r="K932" i="2" s="1"/>
  <c r="E932" i="2"/>
  <c r="J931" i="2"/>
  <c r="I931" i="2"/>
  <c r="I817" i="2" s="1"/>
  <c r="H931" i="2"/>
  <c r="G931" i="2"/>
  <c r="F931" i="2"/>
  <c r="E931" i="2"/>
  <c r="J930" i="2"/>
  <c r="H930" i="2"/>
  <c r="F930" i="2"/>
  <c r="K929" i="2"/>
  <c r="E929" i="2"/>
  <c r="K928" i="2"/>
  <c r="E928" i="2"/>
  <c r="K927" i="2"/>
  <c r="E927" i="2"/>
  <c r="E914" i="2" s="1"/>
  <c r="K926" i="2"/>
  <c r="E926" i="2"/>
  <c r="K925" i="2"/>
  <c r="E925" i="2"/>
  <c r="K924" i="2"/>
  <c r="E924" i="2"/>
  <c r="K923" i="2"/>
  <c r="E923" i="2"/>
  <c r="E910" i="2" s="1"/>
  <c r="K922" i="2"/>
  <c r="E922" i="2"/>
  <c r="K921" i="2"/>
  <c r="E921" i="2"/>
  <c r="K920" i="2"/>
  <c r="E920" i="2"/>
  <c r="K919" i="2"/>
  <c r="E919" i="2"/>
  <c r="E906" i="2" s="1"/>
  <c r="K918" i="2"/>
  <c r="E918" i="2"/>
  <c r="J917" i="2"/>
  <c r="I917" i="2"/>
  <c r="I904" i="2" s="1"/>
  <c r="H917" i="2"/>
  <c r="G917" i="2"/>
  <c r="G904" i="2" s="1"/>
  <c r="F917" i="2"/>
  <c r="E917" i="2"/>
  <c r="E904" i="2" s="1"/>
  <c r="J916" i="2"/>
  <c r="I916" i="2"/>
  <c r="H916" i="2"/>
  <c r="G916" i="2"/>
  <c r="F916" i="2"/>
  <c r="K916" i="2" s="1"/>
  <c r="E916" i="2"/>
  <c r="J915" i="2"/>
  <c r="I915" i="2"/>
  <c r="H915" i="2"/>
  <c r="G915" i="2"/>
  <c r="K915" i="2" s="1"/>
  <c r="F915" i="2"/>
  <c r="E915" i="2"/>
  <c r="J914" i="2"/>
  <c r="I914" i="2"/>
  <c r="H914" i="2"/>
  <c r="G914" i="2"/>
  <c r="F914" i="2"/>
  <c r="K914" i="2" s="1"/>
  <c r="J913" i="2"/>
  <c r="I913" i="2"/>
  <c r="H913" i="2"/>
  <c r="G913" i="2"/>
  <c r="K913" i="2" s="1"/>
  <c r="F913" i="2"/>
  <c r="E913" i="2"/>
  <c r="J912" i="2"/>
  <c r="I912" i="2"/>
  <c r="H912" i="2"/>
  <c r="G912" i="2"/>
  <c r="F912" i="2"/>
  <c r="K912" i="2" s="1"/>
  <c r="E912" i="2"/>
  <c r="J911" i="2"/>
  <c r="I911" i="2"/>
  <c r="H911" i="2"/>
  <c r="G911" i="2"/>
  <c r="K911" i="2" s="1"/>
  <c r="F911" i="2"/>
  <c r="E911" i="2"/>
  <c r="J910" i="2"/>
  <c r="I910" i="2"/>
  <c r="H910" i="2"/>
  <c r="G910" i="2"/>
  <c r="F910" i="2"/>
  <c r="K910" i="2" s="1"/>
  <c r="J909" i="2"/>
  <c r="I909" i="2"/>
  <c r="H909" i="2"/>
  <c r="G909" i="2"/>
  <c r="K909" i="2" s="1"/>
  <c r="F909" i="2"/>
  <c r="E909" i="2"/>
  <c r="J908" i="2"/>
  <c r="I908" i="2"/>
  <c r="H908" i="2"/>
  <c r="G908" i="2"/>
  <c r="F908" i="2"/>
  <c r="K908" i="2" s="1"/>
  <c r="E908" i="2"/>
  <c r="J907" i="2"/>
  <c r="I907" i="2"/>
  <c r="H907" i="2"/>
  <c r="G907" i="2"/>
  <c r="K907" i="2" s="1"/>
  <c r="F907" i="2"/>
  <c r="E907" i="2"/>
  <c r="J906" i="2"/>
  <c r="I906" i="2"/>
  <c r="H906" i="2"/>
  <c r="G906" i="2"/>
  <c r="F906" i="2"/>
  <c r="K906" i="2" s="1"/>
  <c r="J905" i="2"/>
  <c r="I905" i="2"/>
  <c r="H905" i="2"/>
  <c r="G905" i="2"/>
  <c r="K905" i="2" s="1"/>
  <c r="F905" i="2"/>
  <c r="E905" i="2"/>
  <c r="J904" i="2"/>
  <c r="H904" i="2"/>
  <c r="K903" i="2"/>
  <c r="E903" i="2"/>
  <c r="K902" i="2"/>
  <c r="E902" i="2"/>
  <c r="K901" i="2"/>
  <c r="E901" i="2"/>
  <c r="K900" i="2"/>
  <c r="E900" i="2"/>
  <c r="K899" i="2"/>
  <c r="E899" i="2"/>
  <c r="K898" i="2"/>
  <c r="E898" i="2"/>
  <c r="K897" i="2"/>
  <c r="E897" i="2"/>
  <c r="K896" i="2"/>
  <c r="E896" i="2"/>
  <c r="E883" i="2" s="1"/>
  <c r="K895" i="2"/>
  <c r="E895" i="2"/>
  <c r="K894" i="2"/>
  <c r="E894" i="2"/>
  <c r="K893" i="2"/>
  <c r="E893" i="2"/>
  <c r="K892" i="2"/>
  <c r="E892" i="2"/>
  <c r="J891" i="2"/>
  <c r="I891" i="2"/>
  <c r="H891" i="2"/>
  <c r="H878" i="2" s="1"/>
  <c r="G891" i="2"/>
  <c r="F891" i="2"/>
  <c r="E891" i="2"/>
  <c r="E878" i="2" s="1"/>
  <c r="J890" i="2"/>
  <c r="I890" i="2"/>
  <c r="H890" i="2"/>
  <c r="G890" i="2"/>
  <c r="E890" i="2"/>
  <c r="J889" i="2"/>
  <c r="I889" i="2"/>
  <c r="H889" i="2"/>
  <c r="G889" i="2"/>
  <c r="K889" i="2" s="1"/>
  <c r="E889" i="2"/>
  <c r="J888" i="2"/>
  <c r="I888" i="2"/>
  <c r="H888" i="2"/>
  <c r="G888" i="2"/>
  <c r="E888" i="2"/>
  <c r="J887" i="2"/>
  <c r="I887" i="2"/>
  <c r="H887" i="2"/>
  <c r="G887" i="2"/>
  <c r="K887" i="2" s="1"/>
  <c r="E887" i="2"/>
  <c r="J886" i="2"/>
  <c r="J824" i="2" s="1"/>
  <c r="I886" i="2"/>
  <c r="H886" i="2"/>
  <c r="H824" i="2" s="1"/>
  <c r="G886" i="2"/>
  <c r="E886" i="2"/>
  <c r="J885" i="2"/>
  <c r="I885" i="2"/>
  <c r="H885" i="2"/>
  <c r="G885" i="2"/>
  <c r="F885" i="2"/>
  <c r="E885" i="2"/>
  <c r="J884" i="2"/>
  <c r="I884" i="2"/>
  <c r="H884" i="2"/>
  <c r="G884" i="2"/>
  <c r="K884" i="2" s="1"/>
  <c r="F884" i="2"/>
  <c r="E884" i="2"/>
  <c r="J883" i="2"/>
  <c r="I883" i="2"/>
  <c r="H883" i="2"/>
  <c r="G883" i="2"/>
  <c r="F883" i="2"/>
  <c r="J882" i="2"/>
  <c r="I882" i="2"/>
  <c r="H882" i="2"/>
  <c r="G882" i="2"/>
  <c r="K882" i="2" s="1"/>
  <c r="F882" i="2"/>
  <c r="E882" i="2"/>
  <c r="J881" i="2"/>
  <c r="I881" i="2"/>
  <c r="H881" i="2"/>
  <c r="H819" i="2" s="1"/>
  <c r="G881" i="2"/>
  <c r="F881" i="2"/>
  <c r="E881" i="2"/>
  <c r="J880" i="2"/>
  <c r="I880" i="2"/>
  <c r="H880" i="2"/>
  <c r="G880" i="2"/>
  <c r="K880" i="2" s="1"/>
  <c r="F880" i="2"/>
  <c r="E880" i="2"/>
  <c r="J879" i="2"/>
  <c r="I879" i="2"/>
  <c r="H879" i="2"/>
  <c r="G879" i="2"/>
  <c r="F879" i="2"/>
  <c r="K878" i="2"/>
  <c r="J878" i="2"/>
  <c r="I878" i="2"/>
  <c r="G878" i="2"/>
  <c r="F878" i="2"/>
  <c r="K877" i="2"/>
  <c r="E877" i="2"/>
  <c r="K876" i="2"/>
  <c r="E876" i="2"/>
  <c r="K875" i="2"/>
  <c r="E875" i="2"/>
  <c r="K874" i="2"/>
  <c r="E874" i="2"/>
  <c r="K873" i="2"/>
  <c r="E873" i="2"/>
  <c r="K872" i="2"/>
  <c r="E872" i="2"/>
  <c r="K871" i="2"/>
  <c r="E871" i="2"/>
  <c r="K870" i="2"/>
  <c r="E870" i="2"/>
  <c r="K869" i="2"/>
  <c r="E869" i="2"/>
  <c r="K868" i="2"/>
  <c r="E868" i="2"/>
  <c r="K867" i="2"/>
  <c r="E867" i="2"/>
  <c r="K866" i="2"/>
  <c r="E866" i="2"/>
  <c r="E865" i="2" s="1"/>
  <c r="J865" i="2"/>
  <c r="I865" i="2"/>
  <c r="H865" i="2"/>
  <c r="G865" i="2"/>
  <c r="F865" i="2"/>
  <c r="F861" i="2"/>
  <c r="F838" i="2" s="1"/>
  <c r="K860" i="2"/>
  <c r="F860" i="2"/>
  <c r="E860" i="2"/>
  <c r="K859" i="2"/>
  <c r="E859" i="2"/>
  <c r="K858" i="2"/>
  <c r="E858" i="2"/>
  <c r="K857" i="2"/>
  <c r="E857" i="2"/>
  <c r="E834" i="2" s="1"/>
  <c r="K856" i="2"/>
  <c r="E856" i="2"/>
  <c r="K855" i="2"/>
  <c r="E855" i="2"/>
  <c r="K854" i="2"/>
  <c r="E854" i="2"/>
  <c r="K853" i="2"/>
  <c r="E853" i="2"/>
  <c r="J852" i="2"/>
  <c r="I852" i="2"/>
  <c r="H852" i="2"/>
  <c r="G852" i="2"/>
  <c r="K851" i="2"/>
  <c r="E851" i="2"/>
  <c r="K850" i="2"/>
  <c r="E850" i="2"/>
  <c r="K849" i="2"/>
  <c r="E849" i="2"/>
  <c r="J848" i="2"/>
  <c r="I848" i="2"/>
  <c r="H848" i="2"/>
  <c r="G848" i="2"/>
  <c r="K848" i="2" s="1"/>
  <c r="F848" i="2"/>
  <c r="E848" i="2"/>
  <c r="K847" i="2"/>
  <c r="E847" i="2"/>
  <c r="K846" i="2"/>
  <c r="E846" i="2"/>
  <c r="K845" i="2"/>
  <c r="E845" i="2"/>
  <c r="K844" i="2"/>
  <c r="E844" i="2"/>
  <c r="E831" i="2" s="1"/>
  <c r="E818" i="2" s="1"/>
  <c r="K843" i="2"/>
  <c r="E843" i="2"/>
  <c r="J842" i="2"/>
  <c r="I842" i="2"/>
  <c r="H842" i="2"/>
  <c r="G842" i="2"/>
  <c r="F842" i="2"/>
  <c r="K842" i="2" s="1"/>
  <c r="J841" i="2"/>
  <c r="J828" i="2" s="1"/>
  <c r="I841" i="2"/>
  <c r="H841" i="2"/>
  <c r="G841" i="2"/>
  <c r="G828" i="2" s="1"/>
  <c r="J840" i="2"/>
  <c r="J827" i="2" s="1"/>
  <c r="I840" i="2"/>
  <c r="H840" i="2"/>
  <c r="H827" i="2" s="1"/>
  <c r="G840" i="2"/>
  <c r="J839" i="2"/>
  <c r="I839" i="2"/>
  <c r="I826" i="2" s="1"/>
  <c r="H839" i="2"/>
  <c r="G839" i="2"/>
  <c r="G826" i="2" s="1"/>
  <c r="J838" i="2"/>
  <c r="I838" i="2"/>
  <c r="H838" i="2"/>
  <c r="H825" i="2" s="1"/>
  <c r="G838" i="2"/>
  <c r="J837" i="2"/>
  <c r="I837" i="2"/>
  <c r="H837" i="2"/>
  <c r="G837" i="2"/>
  <c r="G824" i="2" s="1"/>
  <c r="F837" i="2"/>
  <c r="E837" i="2"/>
  <c r="E824" i="2" s="1"/>
  <c r="J836" i="2"/>
  <c r="J823" i="2" s="1"/>
  <c r="I836" i="2"/>
  <c r="I823" i="2" s="1"/>
  <c r="H836" i="2"/>
  <c r="G836" i="2"/>
  <c r="F836" i="2"/>
  <c r="E836" i="2"/>
  <c r="J835" i="2"/>
  <c r="I835" i="2"/>
  <c r="I822" i="2" s="1"/>
  <c r="H835" i="2"/>
  <c r="H822" i="2" s="1"/>
  <c r="G835" i="2"/>
  <c r="K835" i="2" s="1"/>
  <c r="F835" i="2"/>
  <c r="E835" i="2"/>
  <c r="E822" i="2" s="1"/>
  <c r="J834" i="2"/>
  <c r="I834" i="2"/>
  <c r="H834" i="2"/>
  <c r="G834" i="2"/>
  <c r="G821" i="2" s="1"/>
  <c r="F834" i="2"/>
  <c r="J833" i="2"/>
  <c r="I833" i="2"/>
  <c r="I820" i="2" s="1"/>
  <c r="H833" i="2"/>
  <c r="G833" i="2"/>
  <c r="G820" i="2" s="1"/>
  <c r="F833" i="2"/>
  <c r="E833" i="2"/>
  <c r="J832" i="2"/>
  <c r="I832" i="2"/>
  <c r="H832" i="2"/>
  <c r="G832" i="2"/>
  <c r="F832" i="2"/>
  <c r="E832" i="2"/>
  <c r="E819" i="2" s="1"/>
  <c r="J831" i="2"/>
  <c r="I831" i="2"/>
  <c r="H831" i="2"/>
  <c r="G831" i="2"/>
  <c r="G818" i="2" s="1"/>
  <c r="F831" i="2"/>
  <c r="J830" i="2"/>
  <c r="J829" i="2" s="1"/>
  <c r="I830" i="2"/>
  <c r="H830" i="2"/>
  <c r="G830" i="2"/>
  <c r="K830" i="2" s="1"/>
  <c r="F830" i="2"/>
  <c r="I828" i="2"/>
  <c r="H828" i="2"/>
  <c r="I827" i="2"/>
  <c r="G827" i="2"/>
  <c r="J826" i="2"/>
  <c r="H826" i="2"/>
  <c r="J825" i="2"/>
  <c r="I825" i="2"/>
  <c r="G825" i="2"/>
  <c r="I824" i="2"/>
  <c r="F824" i="2"/>
  <c r="H823" i="2"/>
  <c r="G823" i="2"/>
  <c r="E823" i="2"/>
  <c r="J822" i="2"/>
  <c r="G822" i="2"/>
  <c r="J821" i="2"/>
  <c r="I821" i="2"/>
  <c r="F821" i="2"/>
  <c r="E821" i="2"/>
  <c r="J820" i="2"/>
  <c r="H820" i="2"/>
  <c r="F820" i="2"/>
  <c r="E820" i="2"/>
  <c r="I819" i="2"/>
  <c r="G819" i="2"/>
  <c r="J818" i="2"/>
  <c r="H818" i="2"/>
  <c r="F818" i="2"/>
  <c r="J817" i="2"/>
  <c r="G817" i="2"/>
  <c r="F817" i="2"/>
  <c r="K815" i="2"/>
  <c r="E815" i="2"/>
  <c r="K814" i="2"/>
  <c r="E814" i="2"/>
  <c r="E813" i="2" s="1"/>
  <c r="I813" i="2"/>
  <c r="H813" i="2"/>
  <c r="G813" i="2"/>
  <c r="F813" i="2"/>
  <c r="K813" i="2" s="1"/>
  <c r="K812" i="2"/>
  <c r="E812" i="2"/>
  <c r="E810" i="2" s="1"/>
  <c r="K811" i="2"/>
  <c r="E811" i="2"/>
  <c r="J810" i="2"/>
  <c r="I810" i="2"/>
  <c r="H810" i="2"/>
  <c r="G810" i="2"/>
  <c r="F810" i="2"/>
  <c r="K810" i="2" s="1"/>
  <c r="K809" i="2"/>
  <c r="E809" i="2"/>
  <c r="E808" i="2" s="1"/>
  <c r="I808" i="2"/>
  <c r="H808" i="2"/>
  <c r="G808" i="2"/>
  <c r="F808" i="2"/>
  <c r="K808" i="2" s="1"/>
  <c r="K807" i="2"/>
  <c r="E807" i="2"/>
  <c r="E806" i="2" s="1"/>
  <c r="I806" i="2"/>
  <c r="H806" i="2"/>
  <c r="G806" i="2"/>
  <c r="F806" i="2"/>
  <c r="K806" i="2" s="1"/>
  <c r="K805" i="2"/>
  <c r="E805" i="2"/>
  <c r="K804" i="2"/>
  <c r="E804" i="2"/>
  <c r="K803" i="2"/>
  <c r="E803" i="2"/>
  <c r="E802" i="2" s="1"/>
  <c r="J802" i="2"/>
  <c r="I802" i="2"/>
  <c r="H802" i="2"/>
  <c r="G802" i="2"/>
  <c r="K802" i="2" s="1"/>
  <c r="F802" i="2"/>
  <c r="K801" i="2"/>
  <c r="E801" i="2"/>
  <c r="K800" i="2"/>
  <c r="E800" i="2"/>
  <c r="K799" i="2"/>
  <c r="E799" i="2"/>
  <c r="E798" i="2" s="1"/>
  <c r="I798" i="2"/>
  <c r="H798" i="2"/>
  <c r="G798" i="2"/>
  <c r="F798" i="2"/>
  <c r="K798" i="2" s="1"/>
  <c r="K797" i="2"/>
  <c r="E797" i="2"/>
  <c r="K796" i="2"/>
  <c r="E796" i="2"/>
  <c r="K795" i="2"/>
  <c r="E795" i="2"/>
  <c r="E794" i="2" s="1"/>
  <c r="I794" i="2"/>
  <c r="H794" i="2"/>
  <c r="G794" i="2"/>
  <c r="F794" i="2"/>
  <c r="K794" i="2" s="1"/>
  <c r="K793" i="2"/>
  <c r="E793" i="2"/>
  <c r="E792" i="2" s="1"/>
  <c r="I792" i="2"/>
  <c r="H792" i="2"/>
  <c r="G792" i="2"/>
  <c r="F792" i="2"/>
  <c r="K792" i="2" s="1"/>
  <c r="K791" i="2"/>
  <c r="E791" i="2"/>
  <c r="K790" i="2"/>
  <c r="E790" i="2"/>
  <c r="I789" i="2"/>
  <c r="H789" i="2"/>
  <c r="G789" i="2"/>
  <c r="F789" i="2"/>
  <c r="K789" i="2" s="1"/>
  <c r="E789" i="2"/>
  <c r="K788" i="2"/>
  <c r="E788" i="2"/>
  <c r="K787" i="2"/>
  <c r="E787" i="2"/>
  <c r="E786" i="2" s="1"/>
  <c r="I786" i="2"/>
  <c r="H786" i="2"/>
  <c r="G786" i="2"/>
  <c r="F786" i="2"/>
  <c r="K786" i="2" s="1"/>
  <c r="K785" i="2"/>
  <c r="E785" i="2"/>
  <c r="E784" i="2" s="1"/>
  <c r="I784" i="2"/>
  <c r="H784" i="2"/>
  <c r="G784" i="2"/>
  <c r="F784" i="2"/>
  <c r="K784" i="2" s="1"/>
  <c r="K783" i="2"/>
  <c r="E783" i="2"/>
  <c r="E781" i="2" s="1"/>
  <c r="K782" i="2"/>
  <c r="E782" i="2"/>
  <c r="J781" i="2"/>
  <c r="I781" i="2"/>
  <c r="H781" i="2"/>
  <c r="G781" i="2"/>
  <c r="F781" i="2"/>
  <c r="K781" i="2" s="1"/>
  <c r="K780" i="2"/>
  <c r="E780" i="2"/>
  <c r="K779" i="2"/>
  <c r="E779" i="2"/>
  <c r="K778" i="2"/>
  <c r="E778" i="2"/>
  <c r="J777" i="2"/>
  <c r="I777" i="2"/>
  <c r="H777" i="2"/>
  <c r="G777" i="2"/>
  <c r="K777" i="2" s="1"/>
  <c r="F777" i="2"/>
  <c r="K776" i="2"/>
  <c r="E776" i="2"/>
  <c r="K775" i="2"/>
  <c r="E775" i="2"/>
  <c r="J774" i="2"/>
  <c r="I774" i="2"/>
  <c r="H774" i="2"/>
  <c r="G774" i="2"/>
  <c r="K774" i="2" s="1"/>
  <c r="F774" i="2"/>
  <c r="E774" i="2"/>
  <c r="K773" i="2"/>
  <c r="E773" i="2"/>
  <c r="E759" i="2" s="1"/>
  <c r="K772" i="2"/>
  <c r="E772" i="2"/>
  <c r="K771" i="2"/>
  <c r="E771" i="2"/>
  <c r="J770" i="2"/>
  <c r="I770" i="2"/>
  <c r="H770" i="2"/>
  <c r="G770" i="2"/>
  <c r="F770" i="2"/>
  <c r="K770" i="2" s="1"/>
  <c r="K769" i="2"/>
  <c r="E769" i="2"/>
  <c r="K768" i="2"/>
  <c r="E768" i="2"/>
  <c r="K767" i="2"/>
  <c r="E767" i="2"/>
  <c r="K766" i="2"/>
  <c r="E766" i="2"/>
  <c r="K765" i="2"/>
  <c r="E765" i="2"/>
  <c r="E763" i="2" s="1"/>
  <c r="K764" i="2"/>
  <c r="E764" i="2"/>
  <c r="J763" i="2"/>
  <c r="I763" i="2"/>
  <c r="H763" i="2"/>
  <c r="G763" i="2"/>
  <c r="F763" i="2"/>
  <c r="K763" i="2" s="1"/>
  <c r="J762" i="2"/>
  <c r="J755" i="2" s="1"/>
  <c r="I762" i="2"/>
  <c r="H762" i="2"/>
  <c r="G762" i="2"/>
  <c r="F762" i="2"/>
  <c r="E762" i="2"/>
  <c r="J761" i="2"/>
  <c r="I761" i="2"/>
  <c r="H761" i="2"/>
  <c r="G761" i="2"/>
  <c r="K761" i="2" s="1"/>
  <c r="F761" i="2"/>
  <c r="J760" i="2"/>
  <c r="I760" i="2"/>
  <c r="H760" i="2"/>
  <c r="G760" i="2"/>
  <c r="F760" i="2"/>
  <c r="E760" i="2"/>
  <c r="J759" i="2"/>
  <c r="I759" i="2"/>
  <c r="H759" i="2"/>
  <c r="G759" i="2"/>
  <c r="F759" i="2"/>
  <c r="J758" i="2"/>
  <c r="I758" i="2"/>
  <c r="H758" i="2"/>
  <c r="H755" i="2" s="1"/>
  <c r="G758" i="2"/>
  <c r="K758" i="2" s="1"/>
  <c r="F758" i="2"/>
  <c r="J757" i="2"/>
  <c r="I757" i="2"/>
  <c r="H757" i="2"/>
  <c r="G757" i="2"/>
  <c r="K757" i="2" s="1"/>
  <c r="F757" i="2"/>
  <c r="J756" i="2"/>
  <c r="I756" i="2"/>
  <c r="H756" i="2"/>
  <c r="G756" i="2"/>
  <c r="G755" i="2" s="1"/>
  <c r="F756" i="2"/>
  <c r="E756" i="2"/>
  <c r="I755" i="2"/>
  <c r="F755" i="2"/>
  <c r="F749" i="2"/>
  <c r="F748" i="2"/>
  <c r="K748" i="2" s="1"/>
  <c r="F747" i="2"/>
  <c r="K746" i="2"/>
  <c r="E746" i="2"/>
  <c r="K745" i="2"/>
  <c r="E745" i="2"/>
  <c r="K744" i="2"/>
  <c r="E744" i="2"/>
  <c r="J743" i="2"/>
  <c r="I743" i="2"/>
  <c r="H743" i="2"/>
  <c r="G743" i="2"/>
  <c r="K742" i="2"/>
  <c r="E742" i="2"/>
  <c r="K741" i="2"/>
  <c r="E741" i="2"/>
  <c r="J740" i="2"/>
  <c r="I740" i="2"/>
  <c r="H740" i="2"/>
  <c r="G740" i="2"/>
  <c r="F740" i="2"/>
  <c r="E740" i="2"/>
  <c r="K739" i="2"/>
  <c r="E739" i="2"/>
  <c r="K738" i="2"/>
  <c r="E738" i="2"/>
  <c r="K737" i="2"/>
  <c r="E737" i="2"/>
  <c r="K736" i="2"/>
  <c r="E736" i="2"/>
  <c r="K735" i="2"/>
  <c r="E735" i="2"/>
  <c r="K734" i="2"/>
  <c r="E734" i="2"/>
  <c r="K733" i="2"/>
  <c r="E733" i="2"/>
  <c r="K732" i="2"/>
  <c r="E732" i="2"/>
  <c r="K731" i="2"/>
  <c r="E731" i="2"/>
  <c r="K730" i="2"/>
  <c r="E730" i="2"/>
  <c r="K729" i="2"/>
  <c r="E729" i="2"/>
  <c r="K728" i="2"/>
  <c r="E728" i="2"/>
  <c r="E727" i="2" s="1"/>
  <c r="J727" i="2"/>
  <c r="I727" i="2"/>
  <c r="H727" i="2"/>
  <c r="G727" i="2"/>
  <c r="K727" i="2" s="1"/>
  <c r="F727" i="2"/>
  <c r="F721" i="2"/>
  <c r="E721" i="2" s="1"/>
  <c r="F720" i="2"/>
  <c r="K720" i="2" s="1"/>
  <c r="K718" i="2"/>
  <c r="F718" i="2"/>
  <c r="E718" i="2" s="1"/>
  <c r="K717" i="2"/>
  <c r="F717" i="2"/>
  <c r="E717" i="2"/>
  <c r="F716" i="2"/>
  <c r="K716" i="2" s="1"/>
  <c r="E716" i="2"/>
  <c r="J715" i="2"/>
  <c r="I715" i="2"/>
  <c r="I714" i="2" s="1"/>
  <c r="H715" i="2"/>
  <c r="H714" i="2" s="1"/>
  <c r="G715" i="2"/>
  <c r="K715" i="2" s="1"/>
  <c r="F715" i="2"/>
  <c r="J714" i="2"/>
  <c r="G714" i="2"/>
  <c r="E713" i="2"/>
  <c r="E712" i="2"/>
  <c r="E710" i="2" s="1"/>
  <c r="K711" i="2"/>
  <c r="E711" i="2"/>
  <c r="J710" i="2"/>
  <c r="I710" i="2"/>
  <c r="H710" i="2"/>
  <c r="G710" i="2"/>
  <c r="F710" i="2"/>
  <c r="K710" i="2" s="1"/>
  <c r="K709" i="2"/>
  <c r="E709" i="2"/>
  <c r="J708" i="2"/>
  <c r="I708" i="2"/>
  <c r="H708" i="2"/>
  <c r="G708" i="2"/>
  <c r="K708" i="2" s="1"/>
  <c r="F708" i="2"/>
  <c r="K707" i="2"/>
  <c r="E707" i="2"/>
  <c r="K706" i="2"/>
  <c r="E706" i="2"/>
  <c r="J705" i="2"/>
  <c r="I705" i="2"/>
  <c r="H705" i="2"/>
  <c r="G705" i="2"/>
  <c r="K705" i="2" s="1"/>
  <c r="F705" i="2"/>
  <c r="E705" i="2"/>
  <c r="K704" i="2"/>
  <c r="E704" i="2"/>
  <c r="K703" i="2"/>
  <c r="E703" i="2"/>
  <c r="K702" i="2"/>
  <c r="E702" i="2"/>
  <c r="E701" i="2" s="1"/>
  <c r="J701" i="2"/>
  <c r="I701" i="2"/>
  <c r="H701" i="2"/>
  <c r="G701" i="2"/>
  <c r="F701" i="2"/>
  <c r="K701" i="2" s="1"/>
  <c r="K700" i="2"/>
  <c r="E700" i="2"/>
  <c r="E697" i="2" s="1"/>
  <c r="K699" i="2"/>
  <c r="E699" i="2"/>
  <c r="K698" i="2"/>
  <c r="J697" i="2"/>
  <c r="I697" i="2"/>
  <c r="H697" i="2"/>
  <c r="G697" i="2"/>
  <c r="K697" i="2" s="1"/>
  <c r="F697" i="2"/>
  <c r="J696" i="2"/>
  <c r="I696" i="2"/>
  <c r="I692" i="2" s="1"/>
  <c r="H696" i="2"/>
  <c r="G696" i="2"/>
  <c r="K696" i="2" s="1"/>
  <c r="F696" i="2"/>
  <c r="E696" i="2"/>
  <c r="J695" i="2"/>
  <c r="I695" i="2"/>
  <c r="H695" i="2"/>
  <c r="G695" i="2"/>
  <c r="F695" i="2"/>
  <c r="J694" i="2"/>
  <c r="I694" i="2"/>
  <c r="H694" i="2"/>
  <c r="G694" i="2"/>
  <c r="K694" i="2" s="1"/>
  <c r="F694" i="2"/>
  <c r="J693" i="2"/>
  <c r="J692" i="2" s="1"/>
  <c r="I693" i="2"/>
  <c r="H693" i="2"/>
  <c r="G693" i="2"/>
  <c r="K693" i="2" s="1"/>
  <c r="F693" i="2"/>
  <c r="F692" i="2"/>
  <c r="K691" i="2"/>
  <c r="E691" i="2"/>
  <c r="K690" i="2"/>
  <c r="E690" i="2"/>
  <c r="K689" i="2"/>
  <c r="E689" i="2"/>
  <c r="K688" i="2"/>
  <c r="E688" i="2"/>
  <c r="J687" i="2"/>
  <c r="I687" i="2"/>
  <c r="H687" i="2"/>
  <c r="G687" i="2"/>
  <c r="F687" i="2"/>
  <c r="E687" i="2"/>
  <c r="K686" i="2"/>
  <c r="E686" i="2"/>
  <c r="K685" i="2"/>
  <c r="E685" i="2"/>
  <c r="J684" i="2"/>
  <c r="I684" i="2"/>
  <c r="H684" i="2"/>
  <c r="G684" i="2"/>
  <c r="K684" i="2" s="1"/>
  <c r="F684" i="2"/>
  <c r="E684" i="2"/>
  <c r="K683" i="2"/>
  <c r="E683" i="2"/>
  <c r="E682" i="2" s="1"/>
  <c r="J682" i="2"/>
  <c r="I682" i="2"/>
  <c r="H682" i="2"/>
  <c r="G682" i="2"/>
  <c r="F682" i="2"/>
  <c r="K681" i="2"/>
  <c r="E681" i="2"/>
  <c r="J680" i="2"/>
  <c r="I680" i="2"/>
  <c r="H680" i="2"/>
  <c r="G680" i="2"/>
  <c r="F680" i="2"/>
  <c r="K680" i="2" s="1"/>
  <c r="E680" i="2"/>
  <c r="K679" i="2"/>
  <c r="E679" i="2"/>
  <c r="K678" i="2"/>
  <c r="E678" i="2"/>
  <c r="K677" i="2"/>
  <c r="E677" i="2"/>
  <c r="K676" i="2"/>
  <c r="E676" i="2"/>
  <c r="K675" i="2"/>
  <c r="E675" i="2"/>
  <c r="K674" i="2"/>
  <c r="E674" i="2"/>
  <c r="E673" i="2" s="1"/>
  <c r="J673" i="2"/>
  <c r="I673" i="2"/>
  <c r="H673" i="2"/>
  <c r="G673" i="2"/>
  <c r="F673" i="2"/>
  <c r="K673" i="2" s="1"/>
  <c r="K672" i="2"/>
  <c r="E672" i="2"/>
  <c r="K671" i="2"/>
  <c r="E671" i="2"/>
  <c r="K670" i="2"/>
  <c r="E670" i="2"/>
  <c r="K669" i="2"/>
  <c r="E669" i="2"/>
  <c r="K668" i="2"/>
  <c r="E668" i="2"/>
  <c r="K667" i="2"/>
  <c r="E667" i="2"/>
  <c r="J666" i="2"/>
  <c r="I666" i="2"/>
  <c r="H666" i="2"/>
  <c r="G666" i="2"/>
  <c r="K666" i="2" s="1"/>
  <c r="F666" i="2"/>
  <c r="E666" i="2"/>
  <c r="K665" i="2"/>
  <c r="E665" i="2"/>
  <c r="J664" i="2"/>
  <c r="I664" i="2"/>
  <c r="H664" i="2"/>
  <c r="G664" i="2"/>
  <c r="F664" i="2"/>
  <c r="E664" i="2"/>
  <c r="K663" i="2"/>
  <c r="E663" i="2"/>
  <c r="J662" i="2"/>
  <c r="I662" i="2"/>
  <c r="H662" i="2"/>
  <c r="G662" i="2"/>
  <c r="F662" i="2"/>
  <c r="K662" i="2" s="1"/>
  <c r="E662" i="2"/>
  <c r="K661" i="2"/>
  <c r="E661" i="2"/>
  <c r="E660" i="2" s="1"/>
  <c r="J660" i="2"/>
  <c r="I660" i="2"/>
  <c r="H660" i="2"/>
  <c r="G660" i="2"/>
  <c r="K660" i="2" s="1"/>
  <c r="F660" i="2"/>
  <c r="K659" i="2"/>
  <c r="E659" i="2"/>
  <c r="K658" i="2"/>
  <c r="E658" i="2"/>
  <c r="K657" i="2"/>
  <c r="E657" i="2"/>
  <c r="K656" i="2"/>
  <c r="E656" i="2"/>
  <c r="K655" i="2"/>
  <c r="E655" i="2"/>
  <c r="E648" i="2" s="1"/>
  <c r="K654" i="2"/>
  <c r="E654" i="2"/>
  <c r="K653" i="2"/>
  <c r="E653" i="2"/>
  <c r="J652" i="2"/>
  <c r="I652" i="2"/>
  <c r="I629" i="2" s="1"/>
  <c r="I563" i="2" s="1"/>
  <c r="H652" i="2"/>
  <c r="G652" i="2"/>
  <c r="G629" i="2" s="1"/>
  <c r="G563" i="2" s="1"/>
  <c r="F652" i="2"/>
  <c r="E652" i="2"/>
  <c r="E629" i="2" s="1"/>
  <c r="J651" i="2"/>
  <c r="J628" i="2" s="1"/>
  <c r="J562" i="2" s="1"/>
  <c r="I651" i="2"/>
  <c r="H651" i="2"/>
  <c r="H628" i="2" s="1"/>
  <c r="H562" i="2" s="1"/>
  <c r="G651" i="2"/>
  <c r="F651" i="2"/>
  <c r="K651" i="2" s="1"/>
  <c r="E651" i="2"/>
  <c r="J650" i="2"/>
  <c r="I650" i="2"/>
  <c r="I627" i="2" s="1"/>
  <c r="I561" i="2" s="1"/>
  <c r="H650" i="2"/>
  <c r="G650" i="2"/>
  <c r="G627" i="2" s="1"/>
  <c r="G561" i="2" s="1"/>
  <c r="F650" i="2"/>
  <c r="E650" i="2"/>
  <c r="E627" i="2" s="1"/>
  <c r="E561" i="2" s="1"/>
  <c r="J649" i="2"/>
  <c r="I649" i="2"/>
  <c r="H649" i="2"/>
  <c r="G649" i="2"/>
  <c r="F649" i="2"/>
  <c r="E649" i="2"/>
  <c r="J648" i="2"/>
  <c r="I648" i="2"/>
  <c r="H648" i="2"/>
  <c r="G648" i="2"/>
  <c r="K648" i="2" s="1"/>
  <c r="F648" i="2"/>
  <c r="J647" i="2"/>
  <c r="I647" i="2"/>
  <c r="H647" i="2"/>
  <c r="G647" i="2"/>
  <c r="K647" i="2" s="1"/>
  <c r="F647" i="2"/>
  <c r="E647" i="2"/>
  <c r="J646" i="2"/>
  <c r="J622" i="2" s="1"/>
  <c r="I646" i="2"/>
  <c r="I645" i="2" s="1"/>
  <c r="H646" i="2"/>
  <c r="G646" i="2"/>
  <c r="F646" i="2"/>
  <c r="K646" i="2" s="1"/>
  <c r="E646" i="2"/>
  <c r="H645" i="2"/>
  <c r="K644" i="2"/>
  <c r="E644" i="2"/>
  <c r="K643" i="2"/>
  <c r="E643" i="2"/>
  <c r="E641" i="2" s="1"/>
  <c r="E640" i="2" s="1"/>
  <c r="J642" i="2"/>
  <c r="I642" i="2"/>
  <c r="H642" i="2"/>
  <c r="G642" i="2"/>
  <c r="K642" i="2" s="1"/>
  <c r="F642" i="2"/>
  <c r="E642" i="2"/>
  <c r="J641" i="2"/>
  <c r="I641" i="2"/>
  <c r="H641" i="2"/>
  <c r="G641" i="2"/>
  <c r="G640" i="2" s="1"/>
  <c r="F641" i="2"/>
  <c r="J640" i="2"/>
  <c r="I640" i="2"/>
  <c r="F640" i="2"/>
  <c r="K639" i="2"/>
  <c r="E639" i="2"/>
  <c r="K638" i="2"/>
  <c r="E638" i="2"/>
  <c r="J637" i="2"/>
  <c r="J624" i="2" s="1"/>
  <c r="J558" i="2" s="1"/>
  <c r="I637" i="2"/>
  <c r="H637" i="2"/>
  <c r="H624" i="2" s="1"/>
  <c r="G637" i="2"/>
  <c r="F637" i="2"/>
  <c r="E637" i="2"/>
  <c r="J636" i="2"/>
  <c r="I636" i="2"/>
  <c r="I635" i="2" s="1"/>
  <c r="H636" i="2"/>
  <c r="G636" i="2"/>
  <c r="K636" i="2" s="1"/>
  <c r="F636" i="2"/>
  <c r="E636" i="2"/>
  <c r="E635" i="2" s="1"/>
  <c r="J635" i="2"/>
  <c r="K634" i="2"/>
  <c r="E634" i="2"/>
  <c r="K633" i="2"/>
  <c r="E633" i="2"/>
  <c r="J632" i="2"/>
  <c r="I632" i="2"/>
  <c r="H632" i="2"/>
  <c r="G632" i="2"/>
  <c r="K632" i="2" s="1"/>
  <c r="F632" i="2"/>
  <c r="E632" i="2"/>
  <c r="J631" i="2"/>
  <c r="I631" i="2"/>
  <c r="I623" i="2" s="1"/>
  <c r="I557" i="2" s="1"/>
  <c r="H631" i="2"/>
  <c r="H630" i="2" s="1"/>
  <c r="G631" i="2"/>
  <c r="F631" i="2"/>
  <c r="E631" i="2"/>
  <c r="E630" i="2" s="1"/>
  <c r="G630" i="2"/>
  <c r="J629" i="2"/>
  <c r="H629" i="2"/>
  <c r="H563" i="2" s="1"/>
  <c r="H17" i="2" s="1"/>
  <c r="F629" i="2"/>
  <c r="K629" i="2" s="1"/>
  <c r="I628" i="2"/>
  <c r="G628" i="2"/>
  <c r="G562" i="2" s="1"/>
  <c r="E628" i="2"/>
  <c r="J627" i="2"/>
  <c r="J561" i="2" s="1"/>
  <c r="H627" i="2"/>
  <c r="F627" i="2"/>
  <c r="J626" i="2"/>
  <c r="I626" i="2"/>
  <c r="I560" i="2" s="1"/>
  <c r="H626" i="2"/>
  <c r="H560" i="2" s="1"/>
  <c r="G626" i="2"/>
  <c r="K626" i="2" s="1"/>
  <c r="F626" i="2"/>
  <c r="E626" i="2"/>
  <c r="E560" i="2" s="1"/>
  <c r="J625" i="2"/>
  <c r="I625" i="2"/>
  <c r="H625" i="2"/>
  <c r="H559" i="2" s="1"/>
  <c r="G625" i="2"/>
  <c r="G559" i="2" s="1"/>
  <c r="F625" i="2"/>
  <c r="K625" i="2" s="1"/>
  <c r="I624" i="2"/>
  <c r="G624" i="2"/>
  <c r="G558" i="2" s="1"/>
  <c r="E624" i="2"/>
  <c r="J623" i="2"/>
  <c r="J557" i="2" s="1"/>
  <c r="H623" i="2"/>
  <c r="F623" i="2"/>
  <c r="I622" i="2"/>
  <c r="I621" i="2" s="1"/>
  <c r="H622" i="2"/>
  <c r="E622" i="2"/>
  <c r="K620" i="2"/>
  <c r="E620" i="2"/>
  <c r="K619" i="2"/>
  <c r="E619" i="2"/>
  <c r="K618" i="2"/>
  <c r="E618" i="2"/>
  <c r="K617" i="2"/>
  <c r="E617" i="2"/>
  <c r="K616" i="2"/>
  <c r="E616" i="2"/>
  <c r="K615" i="2"/>
  <c r="E615" i="2"/>
  <c r="K614" i="2"/>
  <c r="E614" i="2"/>
  <c r="K613" i="2"/>
  <c r="E613" i="2"/>
  <c r="K612" i="2"/>
  <c r="E612" i="2"/>
  <c r="J611" i="2"/>
  <c r="I611" i="2"/>
  <c r="H611" i="2"/>
  <c r="G611" i="2"/>
  <c r="K611" i="2" s="1"/>
  <c r="F611" i="2"/>
  <c r="E611" i="2"/>
  <c r="K610" i="2"/>
  <c r="E610" i="2"/>
  <c r="K609" i="2"/>
  <c r="E609" i="2"/>
  <c r="K608" i="2"/>
  <c r="E608" i="2"/>
  <c r="E597" i="2" s="1"/>
  <c r="K607" i="2"/>
  <c r="E607" i="2"/>
  <c r="K606" i="2"/>
  <c r="E606" i="2"/>
  <c r="K605" i="2"/>
  <c r="E605" i="2"/>
  <c r="K604" i="2"/>
  <c r="E604" i="2"/>
  <c r="K603" i="2"/>
  <c r="E603" i="2"/>
  <c r="K602" i="2"/>
  <c r="E602" i="2"/>
  <c r="K601" i="2"/>
  <c r="E601" i="2"/>
  <c r="K600" i="2"/>
  <c r="E600" i="2"/>
  <c r="K599" i="2"/>
  <c r="E599" i="2"/>
  <c r="K598" i="2"/>
  <c r="E598" i="2"/>
  <c r="J597" i="2"/>
  <c r="J595" i="2" s="1"/>
  <c r="I597" i="2"/>
  <c r="H597" i="2"/>
  <c r="G597" i="2"/>
  <c r="F597" i="2"/>
  <c r="K597" i="2" s="1"/>
  <c r="J596" i="2"/>
  <c r="I596" i="2"/>
  <c r="I595" i="2" s="1"/>
  <c r="H596" i="2"/>
  <c r="H556" i="2" s="1"/>
  <c r="G596" i="2"/>
  <c r="G595" i="2" s="1"/>
  <c r="F596" i="2"/>
  <c r="E596" i="2"/>
  <c r="H595" i="2"/>
  <c r="K594" i="2"/>
  <c r="E594" i="2"/>
  <c r="J593" i="2"/>
  <c r="I593" i="2"/>
  <c r="H593" i="2"/>
  <c r="G593" i="2"/>
  <c r="K593" i="2" s="1"/>
  <c r="F593" i="2"/>
  <c r="E593" i="2"/>
  <c r="K592" i="2"/>
  <c r="E592" i="2"/>
  <c r="E591" i="2" s="1"/>
  <c r="J591" i="2"/>
  <c r="I591" i="2"/>
  <c r="H591" i="2"/>
  <c r="G591" i="2"/>
  <c r="F591" i="2"/>
  <c r="K591" i="2" s="1"/>
  <c r="K590" i="2"/>
  <c r="E590" i="2"/>
  <c r="J589" i="2"/>
  <c r="I589" i="2"/>
  <c r="H589" i="2"/>
  <c r="G589" i="2"/>
  <c r="K589" i="2" s="1"/>
  <c r="F589" i="2"/>
  <c r="E589" i="2"/>
  <c r="K588" i="2"/>
  <c r="E588" i="2"/>
  <c r="E587" i="2" s="1"/>
  <c r="J587" i="2"/>
  <c r="I587" i="2"/>
  <c r="H587" i="2"/>
  <c r="G587" i="2"/>
  <c r="F587" i="2"/>
  <c r="K587" i="2" s="1"/>
  <c r="K586" i="2"/>
  <c r="E586" i="2"/>
  <c r="J585" i="2"/>
  <c r="I585" i="2"/>
  <c r="H585" i="2"/>
  <c r="G585" i="2"/>
  <c r="K585" i="2" s="1"/>
  <c r="F585" i="2"/>
  <c r="E585" i="2"/>
  <c r="K584" i="2"/>
  <c r="E584" i="2"/>
  <c r="E583" i="2" s="1"/>
  <c r="J583" i="2"/>
  <c r="I583" i="2"/>
  <c r="H583" i="2"/>
  <c r="G583" i="2"/>
  <c r="F583" i="2"/>
  <c r="K583" i="2" s="1"/>
  <c r="K582" i="2"/>
  <c r="E582" i="2"/>
  <c r="J581" i="2"/>
  <c r="I581" i="2"/>
  <c r="H581" i="2"/>
  <c r="G581" i="2"/>
  <c r="K581" i="2" s="1"/>
  <c r="F581" i="2"/>
  <c r="E581" i="2"/>
  <c r="K580" i="2"/>
  <c r="E580" i="2"/>
  <c r="E579" i="2" s="1"/>
  <c r="J579" i="2"/>
  <c r="I579" i="2"/>
  <c r="H579" i="2"/>
  <c r="G579" i="2"/>
  <c r="F579" i="2"/>
  <c r="K579" i="2" s="1"/>
  <c r="K578" i="2"/>
  <c r="E578" i="2"/>
  <c r="J577" i="2"/>
  <c r="I577" i="2"/>
  <c r="H577" i="2"/>
  <c r="G577" i="2"/>
  <c r="K577" i="2" s="1"/>
  <c r="F577" i="2"/>
  <c r="E577" i="2"/>
  <c r="K576" i="2"/>
  <c r="E576" i="2"/>
  <c r="E575" i="2" s="1"/>
  <c r="J575" i="2"/>
  <c r="I575" i="2"/>
  <c r="H575" i="2"/>
  <c r="G575" i="2"/>
  <c r="F575" i="2"/>
  <c r="K575" i="2" s="1"/>
  <c r="K574" i="2"/>
  <c r="E574" i="2"/>
  <c r="J573" i="2"/>
  <c r="I573" i="2"/>
  <c r="H573" i="2"/>
  <c r="G573" i="2"/>
  <c r="K573" i="2" s="1"/>
  <c r="F573" i="2"/>
  <c r="E573" i="2"/>
  <c r="K572" i="2"/>
  <c r="E572" i="2"/>
  <c r="K571" i="2"/>
  <c r="E571" i="2"/>
  <c r="E565" i="2" s="1"/>
  <c r="K570" i="2"/>
  <c r="E570" i="2"/>
  <c r="E564" i="2" s="1"/>
  <c r="K569" i="2"/>
  <c r="E569" i="2"/>
  <c r="E568" i="2" s="1"/>
  <c r="J568" i="2"/>
  <c r="I568" i="2"/>
  <c r="H568" i="2"/>
  <c r="G568" i="2"/>
  <c r="F568" i="2"/>
  <c r="K568" i="2" s="1"/>
  <c r="I567" i="2"/>
  <c r="G567" i="2"/>
  <c r="K567" i="2" s="1"/>
  <c r="F567" i="2"/>
  <c r="J566" i="2"/>
  <c r="I566" i="2"/>
  <c r="H566" i="2"/>
  <c r="G566" i="2"/>
  <c r="K566" i="2" s="1"/>
  <c r="F566" i="2"/>
  <c r="E566" i="2"/>
  <c r="J565" i="2"/>
  <c r="I565" i="2"/>
  <c r="H565" i="2"/>
  <c r="G565" i="2"/>
  <c r="F565" i="2"/>
  <c r="K565" i="2" s="1"/>
  <c r="J564" i="2"/>
  <c r="I564" i="2"/>
  <c r="H564" i="2"/>
  <c r="G564" i="2"/>
  <c r="K564" i="2" s="1"/>
  <c r="F564" i="2"/>
  <c r="J563" i="2"/>
  <c r="F563" i="2"/>
  <c r="I562" i="2"/>
  <c r="E562" i="2"/>
  <c r="H561" i="2"/>
  <c r="J560" i="2"/>
  <c r="G560" i="2"/>
  <c r="F560" i="2"/>
  <c r="J559" i="2"/>
  <c r="I559" i="2"/>
  <c r="F559" i="2"/>
  <c r="I558" i="2"/>
  <c r="E558" i="2"/>
  <c r="H557" i="2"/>
  <c r="K554" i="2"/>
  <c r="E554" i="2"/>
  <c r="K553" i="2"/>
  <c r="E553" i="2"/>
  <c r="K552" i="2"/>
  <c r="E552" i="2"/>
  <c r="K551" i="2"/>
  <c r="E551" i="2"/>
  <c r="K550" i="2"/>
  <c r="E550" i="2"/>
  <c r="K549" i="2"/>
  <c r="E549" i="2"/>
  <c r="K548" i="2"/>
  <c r="E548" i="2"/>
  <c r="J547" i="2"/>
  <c r="I547" i="2"/>
  <c r="H547" i="2"/>
  <c r="G547" i="2"/>
  <c r="K547" i="2" s="1"/>
  <c r="F547" i="2"/>
  <c r="E547" i="2"/>
  <c r="J546" i="2"/>
  <c r="I546" i="2"/>
  <c r="H546" i="2"/>
  <c r="G546" i="2"/>
  <c r="F546" i="2"/>
  <c r="K546" i="2" s="1"/>
  <c r="E546" i="2"/>
  <c r="J545" i="2"/>
  <c r="I545" i="2"/>
  <c r="H545" i="2"/>
  <c r="G545" i="2"/>
  <c r="K545" i="2" s="1"/>
  <c r="F545" i="2"/>
  <c r="E545" i="2"/>
  <c r="J544" i="2"/>
  <c r="I544" i="2"/>
  <c r="H544" i="2"/>
  <c r="G544" i="2"/>
  <c r="F544" i="2"/>
  <c r="K544" i="2" s="1"/>
  <c r="E544" i="2"/>
  <c r="J543" i="2"/>
  <c r="I543" i="2"/>
  <c r="H543" i="2"/>
  <c r="G543" i="2"/>
  <c r="K543" i="2" s="1"/>
  <c r="F543" i="2"/>
  <c r="E543" i="2"/>
  <c r="J542" i="2"/>
  <c r="I542" i="2"/>
  <c r="H542" i="2"/>
  <c r="G542" i="2"/>
  <c r="F542" i="2"/>
  <c r="K542" i="2" s="1"/>
  <c r="E542" i="2"/>
  <c r="J541" i="2"/>
  <c r="I541" i="2"/>
  <c r="H541" i="2"/>
  <c r="G541" i="2"/>
  <c r="K541" i="2" s="1"/>
  <c r="F541" i="2"/>
  <c r="E541" i="2"/>
  <c r="J540" i="2"/>
  <c r="I540" i="2"/>
  <c r="H540" i="2"/>
  <c r="G540" i="2"/>
  <c r="F540" i="2"/>
  <c r="K540" i="2" s="1"/>
  <c r="E540" i="2"/>
  <c r="J539" i="2"/>
  <c r="I539" i="2"/>
  <c r="H539" i="2"/>
  <c r="G539" i="2"/>
  <c r="K539" i="2" s="1"/>
  <c r="F539" i="2"/>
  <c r="E539" i="2"/>
  <c r="K538" i="2"/>
  <c r="E538" i="2"/>
  <c r="K537" i="2"/>
  <c r="E537" i="2"/>
  <c r="E524" i="2" s="1"/>
  <c r="K536" i="2"/>
  <c r="E536" i="2"/>
  <c r="E523" i="2" s="1"/>
  <c r="K535" i="2"/>
  <c r="E535" i="2"/>
  <c r="K534" i="2"/>
  <c r="E534" i="2"/>
  <c r="K533" i="2"/>
  <c r="E533" i="2"/>
  <c r="E520" i="2" s="1"/>
  <c r="K532" i="2"/>
  <c r="E532" i="2"/>
  <c r="E519" i="2" s="1"/>
  <c r="K531" i="2"/>
  <c r="E531" i="2"/>
  <c r="K530" i="2"/>
  <c r="E530" i="2"/>
  <c r="K529" i="2"/>
  <c r="E529" i="2"/>
  <c r="E516" i="2" s="1"/>
  <c r="K528" i="2"/>
  <c r="E528" i="2"/>
  <c r="E515" i="2" s="1"/>
  <c r="E513" i="2" s="1"/>
  <c r="K527" i="2"/>
  <c r="E527" i="2"/>
  <c r="E526" i="2" s="1"/>
  <c r="J526" i="2"/>
  <c r="I526" i="2"/>
  <c r="H526" i="2"/>
  <c r="G526" i="2"/>
  <c r="F526" i="2"/>
  <c r="K526" i="2" s="1"/>
  <c r="J525" i="2"/>
  <c r="I525" i="2"/>
  <c r="H525" i="2"/>
  <c r="G525" i="2"/>
  <c r="K525" i="2" s="1"/>
  <c r="F525" i="2"/>
  <c r="E525" i="2"/>
  <c r="J524" i="2"/>
  <c r="I524" i="2"/>
  <c r="H524" i="2"/>
  <c r="G524" i="2"/>
  <c r="F524" i="2"/>
  <c r="K524" i="2" s="1"/>
  <c r="J523" i="2"/>
  <c r="I523" i="2"/>
  <c r="H523" i="2"/>
  <c r="G523" i="2"/>
  <c r="K523" i="2" s="1"/>
  <c r="F523" i="2"/>
  <c r="J522" i="2"/>
  <c r="I522" i="2"/>
  <c r="H522" i="2"/>
  <c r="G522" i="2"/>
  <c r="F522" i="2"/>
  <c r="K522" i="2" s="1"/>
  <c r="E522" i="2"/>
  <c r="J521" i="2"/>
  <c r="I521" i="2"/>
  <c r="H521" i="2"/>
  <c r="G521" i="2"/>
  <c r="K521" i="2" s="1"/>
  <c r="F521" i="2"/>
  <c r="E521" i="2"/>
  <c r="J520" i="2"/>
  <c r="I520" i="2"/>
  <c r="H520" i="2"/>
  <c r="G520" i="2"/>
  <c r="K520" i="2" s="1"/>
  <c r="F520" i="2"/>
  <c r="J519" i="2"/>
  <c r="I519" i="2"/>
  <c r="H519" i="2"/>
  <c r="G519" i="2"/>
  <c r="K519" i="2" s="1"/>
  <c r="F519" i="2"/>
  <c r="J518" i="2"/>
  <c r="I518" i="2"/>
  <c r="H518" i="2"/>
  <c r="G518" i="2"/>
  <c r="F518" i="2"/>
  <c r="K518" i="2" s="1"/>
  <c r="E518" i="2"/>
  <c r="J517" i="2"/>
  <c r="I517" i="2"/>
  <c r="H517" i="2"/>
  <c r="G517" i="2"/>
  <c r="K517" i="2" s="1"/>
  <c r="F517" i="2"/>
  <c r="E517" i="2"/>
  <c r="J516" i="2"/>
  <c r="I516" i="2"/>
  <c r="H516" i="2"/>
  <c r="H513" i="2" s="1"/>
  <c r="G516" i="2"/>
  <c r="K516" i="2" s="1"/>
  <c r="F516" i="2"/>
  <c r="J515" i="2"/>
  <c r="I515" i="2"/>
  <c r="H515" i="2"/>
  <c r="G515" i="2"/>
  <c r="K515" i="2" s="1"/>
  <c r="F515" i="2"/>
  <c r="J514" i="2"/>
  <c r="J513" i="2" s="1"/>
  <c r="I514" i="2"/>
  <c r="H514" i="2"/>
  <c r="G514" i="2"/>
  <c r="F514" i="2"/>
  <c r="K514" i="2" s="1"/>
  <c r="E514" i="2"/>
  <c r="I513" i="2"/>
  <c r="K512" i="2"/>
  <c r="E512" i="2"/>
  <c r="J511" i="2"/>
  <c r="J509" i="2" s="1"/>
  <c r="I511" i="2"/>
  <c r="I509" i="2" s="1"/>
  <c r="H511" i="2"/>
  <c r="G511" i="2"/>
  <c r="F511" i="2"/>
  <c r="K511" i="2" s="1"/>
  <c r="E511" i="2"/>
  <c r="E509" i="2" s="1"/>
  <c r="J510" i="2"/>
  <c r="I510" i="2"/>
  <c r="H510" i="2"/>
  <c r="G510" i="2"/>
  <c r="K510" i="2" s="1"/>
  <c r="F510" i="2"/>
  <c r="E510" i="2"/>
  <c r="H509" i="2"/>
  <c r="G509" i="2"/>
  <c r="K508" i="2"/>
  <c r="E508" i="2"/>
  <c r="E506" i="2" s="1"/>
  <c r="K507" i="2"/>
  <c r="E507" i="2"/>
  <c r="J506" i="2"/>
  <c r="I506" i="2"/>
  <c r="H506" i="2"/>
  <c r="G506" i="2"/>
  <c r="K506" i="2" s="1"/>
  <c r="F506" i="2"/>
  <c r="K505" i="2"/>
  <c r="E505" i="2"/>
  <c r="K504" i="2"/>
  <c r="E504" i="2"/>
  <c r="K503" i="2"/>
  <c r="E503" i="2"/>
  <c r="K502" i="2"/>
  <c r="E502" i="2"/>
  <c r="K501" i="2"/>
  <c r="E501" i="2"/>
  <c r="K500" i="2"/>
  <c r="E500" i="2"/>
  <c r="K499" i="2"/>
  <c r="E499" i="2"/>
  <c r="E498" i="2" s="1"/>
  <c r="J498" i="2"/>
  <c r="I498" i="2"/>
  <c r="H498" i="2"/>
  <c r="G498" i="2"/>
  <c r="K498" i="2" s="1"/>
  <c r="F498" i="2"/>
  <c r="K497" i="2"/>
  <c r="E497" i="2"/>
  <c r="E495" i="2" s="1"/>
  <c r="K496" i="2"/>
  <c r="E496" i="2"/>
  <c r="J495" i="2"/>
  <c r="I495" i="2"/>
  <c r="H495" i="2"/>
  <c r="G495" i="2"/>
  <c r="K495" i="2" s="1"/>
  <c r="F495" i="2"/>
  <c r="K494" i="2"/>
  <c r="E494" i="2"/>
  <c r="E493" i="2" s="1"/>
  <c r="J493" i="2"/>
  <c r="I493" i="2"/>
  <c r="H493" i="2"/>
  <c r="G493" i="2"/>
  <c r="K493" i="2" s="1"/>
  <c r="F493" i="2"/>
  <c r="K492" i="2"/>
  <c r="E492" i="2"/>
  <c r="K491" i="2"/>
  <c r="E491" i="2"/>
  <c r="K490" i="2"/>
  <c r="E490" i="2"/>
  <c r="K489" i="2"/>
  <c r="E489" i="2"/>
  <c r="K488" i="2"/>
  <c r="E488" i="2"/>
  <c r="E486" i="2" s="1"/>
  <c r="K487" i="2"/>
  <c r="E487" i="2"/>
  <c r="J486" i="2"/>
  <c r="I486" i="2"/>
  <c r="H486" i="2"/>
  <c r="G486" i="2"/>
  <c r="K486" i="2" s="1"/>
  <c r="F486" i="2"/>
  <c r="K485" i="2"/>
  <c r="E485" i="2"/>
  <c r="K484" i="2"/>
  <c r="E484" i="2"/>
  <c r="K483" i="2"/>
  <c r="E483" i="2"/>
  <c r="E482" i="2" s="1"/>
  <c r="J482" i="2"/>
  <c r="I482" i="2"/>
  <c r="H482" i="2"/>
  <c r="G482" i="2"/>
  <c r="K482" i="2" s="1"/>
  <c r="F482" i="2"/>
  <c r="K481" i="2"/>
  <c r="E481" i="2"/>
  <c r="K480" i="2"/>
  <c r="E480" i="2"/>
  <c r="K479" i="2"/>
  <c r="E479" i="2"/>
  <c r="K478" i="2"/>
  <c r="E478" i="2"/>
  <c r="K477" i="2"/>
  <c r="E477" i="2"/>
  <c r="E475" i="2" s="1"/>
  <c r="K476" i="2"/>
  <c r="E476" i="2"/>
  <c r="J475" i="2"/>
  <c r="I475" i="2"/>
  <c r="H475" i="2"/>
  <c r="G475" i="2"/>
  <c r="K475" i="2" s="1"/>
  <c r="F475" i="2"/>
  <c r="K474" i="2"/>
  <c r="E474" i="2"/>
  <c r="K473" i="2"/>
  <c r="E473" i="2"/>
  <c r="E466" i="2" s="1"/>
  <c r="E459" i="2" s="1"/>
  <c r="K472" i="2"/>
  <c r="E472" i="2"/>
  <c r="E465" i="2" s="1"/>
  <c r="E458" i="2" s="1"/>
  <c r="K471" i="2"/>
  <c r="E471" i="2"/>
  <c r="K470" i="2"/>
  <c r="E470" i="2"/>
  <c r="E468" i="2" s="1"/>
  <c r="K469" i="2"/>
  <c r="E469" i="2"/>
  <c r="E462" i="2" s="1"/>
  <c r="J468" i="2"/>
  <c r="I468" i="2"/>
  <c r="H468" i="2"/>
  <c r="G468" i="2"/>
  <c r="F468" i="2"/>
  <c r="K468" i="2" s="1"/>
  <c r="J467" i="2"/>
  <c r="I467" i="2"/>
  <c r="I460" i="2" s="1"/>
  <c r="H467" i="2"/>
  <c r="H460" i="2" s="1"/>
  <c r="G467" i="2"/>
  <c r="G460" i="2" s="1"/>
  <c r="F467" i="2"/>
  <c r="E467" i="2"/>
  <c r="E460" i="2" s="1"/>
  <c r="J466" i="2"/>
  <c r="J459" i="2" s="1"/>
  <c r="I466" i="2"/>
  <c r="H466" i="2"/>
  <c r="H459" i="2" s="1"/>
  <c r="G466" i="2"/>
  <c r="K466" i="2" s="1"/>
  <c r="F466" i="2"/>
  <c r="F459" i="2" s="1"/>
  <c r="J465" i="2"/>
  <c r="J458" i="2" s="1"/>
  <c r="I465" i="2"/>
  <c r="I458" i="2" s="1"/>
  <c r="H465" i="2"/>
  <c r="G465" i="2"/>
  <c r="K465" i="2" s="1"/>
  <c r="F465" i="2"/>
  <c r="F458" i="2" s="1"/>
  <c r="J464" i="2"/>
  <c r="J461" i="2" s="1"/>
  <c r="I464" i="2"/>
  <c r="I457" i="2" s="1"/>
  <c r="H464" i="2"/>
  <c r="H457" i="2" s="1"/>
  <c r="G464" i="2"/>
  <c r="F464" i="2"/>
  <c r="K464" i="2" s="1"/>
  <c r="E464" i="2"/>
  <c r="E457" i="2" s="1"/>
  <c r="J463" i="2"/>
  <c r="I463" i="2"/>
  <c r="I456" i="2" s="1"/>
  <c r="H463" i="2"/>
  <c r="H456" i="2" s="1"/>
  <c r="G463" i="2"/>
  <c r="G456" i="2" s="1"/>
  <c r="F463" i="2"/>
  <c r="E463" i="2"/>
  <c r="E456" i="2" s="1"/>
  <c r="J462" i="2"/>
  <c r="J455" i="2" s="1"/>
  <c r="I462" i="2"/>
  <c r="H462" i="2"/>
  <c r="H461" i="2" s="1"/>
  <c r="G462" i="2"/>
  <c r="K462" i="2" s="1"/>
  <c r="F462" i="2"/>
  <c r="F455" i="2" s="1"/>
  <c r="G461" i="2"/>
  <c r="J460" i="2"/>
  <c r="F460" i="2"/>
  <c r="K460" i="2" s="1"/>
  <c r="I459" i="2"/>
  <c r="H458" i="2"/>
  <c r="G457" i="2"/>
  <c r="J456" i="2"/>
  <c r="F456" i="2"/>
  <c r="K456" i="2" s="1"/>
  <c r="I455" i="2"/>
  <c r="J454" i="2"/>
  <c r="I454" i="2"/>
  <c r="H454" i="2"/>
  <c r="G454" i="2"/>
  <c r="K454" i="2" s="1"/>
  <c r="F454" i="2"/>
  <c r="K452" i="2"/>
  <c r="E452" i="2"/>
  <c r="K451" i="2"/>
  <c r="E451" i="2"/>
  <c r="E438" i="2" s="1"/>
  <c r="K450" i="2"/>
  <c r="E450" i="2"/>
  <c r="E437" i="2" s="1"/>
  <c r="K449" i="2"/>
  <c r="E449" i="2"/>
  <c r="K448" i="2"/>
  <c r="E448" i="2"/>
  <c r="K447" i="2"/>
  <c r="E447" i="2"/>
  <c r="E434" i="2" s="1"/>
  <c r="K446" i="2"/>
  <c r="E446" i="2"/>
  <c r="E433" i="2" s="1"/>
  <c r="K445" i="2"/>
  <c r="E445" i="2"/>
  <c r="K444" i="2"/>
  <c r="E444" i="2"/>
  <c r="K443" i="2"/>
  <c r="E443" i="2"/>
  <c r="E430" i="2" s="1"/>
  <c r="K442" i="2"/>
  <c r="E442" i="2"/>
  <c r="E440" i="2" s="1"/>
  <c r="E427" i="2" s="1"/>
  <c r="K441" i="2"/>
  <c r="E441" i="2"/>
  <c r="J440" i="2"/>
  <c r="J427" i="2" s="1"/>
  <c r="I440" i="2"/>
  <c r="H440" i="2"/>
  <c r="G440" i="2"/>
  <c r="F440" i="2"/>
  <c r="K440" i="2" s="1"/>
  <c r="J439" i="2"/>
  <c r="I439" i="2"/>
  <c r="H439" i="2"/>
  <c r="G439" i="2"/>
  <c r="K439" i="2" s="1"/>
  <c r="F439" i="2"/>
  <c r="E439" i="2"/>
  <c r="J438" i="2"/>
  <c r="I438" i="2"/>
  <c r="H438" i="2"/>
  <c r="G438" i="2"/>
  <c r="K438" i="2" s="1"/>
  <c r="F438" i="2"/>
  <c r="J437" i="2"/>
  <c r="I437" i="2"/>
  <c r="H437" i="2"/>
  <c r="G437" i="2"/>
  <c r="K437" i="2" s="1"/>
  <c r="F437" i="2"/>
  <c r="J436" i="2"/>
  <c r="I436" i="2"/>
  <c r="H436" i="2"/>
  <c r="G436" i="2"/>
  <c r="F436" i="2"/>
  <c r="K436" i="2" s="1"/>
  <c r="E436" i="2"/>
  <c r="J435" i="2"/>
  <c r="I435" i="2"/>
  <c r="H435" i="2"/>
  <c r="G435" i="2"/>
  <c r="K435" i="2" s="1"/>
  <c r="F435" i="2"/>
  <c r="E435" i="2"/>
  <c r="J434" i="2"/>
  <c r="I434" i="2"/>
  <c r="H434" i="2"/>
  <c r="G434" i="2"/>
  <c r="F434" i="2"/>
  <c r="K434" i="2" s="1"/>
  <c r="J433" i="2"/>
  <c r="I433" i="2"/>
  <c r="H433" i="2"/>
  <c r="G433" i="2"/>
  <c r="K433" i="2" s="1"/>
  <c r="F433" i="2"/>
  <c r="J432" i="2"/>
  <c r="I432" i="2"/>
  <c r="H432" i="2"/>
  <c r="G432" i="2"/>
  <c r="F432" i="2"/>
  <c r="K432" i="2" s="1"/>
  <c r="E432" i="2"/>
  <c r="J431" i="2"/>
  <c r="I431" i="2"/>
  <c r="H431" i="2"/>
  <c r="G431" i="2"/>
  <c r="K431" i="2" s="1"/>
  <c r="F431" i="2"/>
  <c r="E431" i="2"/>
  <c r="J430" i="2"/>
  <c r="I430" i="2"/>
  <c r="H430" i="2"/>
  <c r="G430" i="2"/>
  <c r="F430" i="2"/>
  <c r="K430" i="2" s="1"/>
  <c r="J429" i="2"/>
  <c r="I429" i="2"/>
  <c r="H429" i="2"/>
  <c r="G429" i="2"/>
  <c r="K429" i="2" s="1"/>
  <c r="F429" i="2"/>
  <c r="J428" i="2"/>
  <c r="I428" i="2"/>
  <c r="H428" i="2"/>
  <c r="G428" i="2"/>
  <c r="F428" i="2"/>
  <c r="K428" i="2" s="1"/>
  <c r="E428" i="2"/>
  <c r="I427" i="2"/>
  <c r="H427" i="2"/>
  <c r="G427" i="2"/>
  <c r="K426" i="2"/>
  <c r="E426" i="2"/>
  <c r="K425" i="2"/>
  <c r="E425" i="2"/>
  <c r="E406" i="2" s="1"/>
  <c r="K424" i="2"/>
  <c r="E424" i="2"/>
  <c r="K423" i="2"/>
  <c r="E423" i="2"/>
  <c r="K422" i="2"/>
  <c r="E422" i="2"/>
  <c r="K421" i="2"/>
  <c r="E421" i="2"/>
  <c r="E402" i="2" s="1"/>
  <c r="K420" i="2"/>
  <c r="E420" i="2"/>
  <c r="E419" i="2" s="1"/>
  <c r="J419" i="2"/>
  <c r="I419" i="2"/>
  <c r="H419" i="2"/>
  <c r="G419" i="2"/>
  <c r="F419" i="2"/>
  <c r="K419" i="2" s="1"/>
  <c r="K418" i="2"/>
  <c r="E418" i="2"/>
  <c r="K417" i="2"/>
  <c r="E417" i="2"/>
  <c r="J416" i="2"/>
  <c r="I416" i="2"/>
  <c r="H416" i="2"/>
  <c r="G416" i="2"/>
  <c r="K416" i="2" s="1"/>
  <c r="F416" i="2"/>
  <c r="E416" i="2"/>
  <c r="F415" i="2"/>
  <c r="E415" i="2" s="1"/>
  <c r="E407" i="2" s="1"/>
  <c r="K414" i="2"/>
  <c r="F414" i="2"/>
  <c r="E414" i="2"/>
  <c r="F413" i="2"/>
  <c r="K413" i="2" s="1"/>
  <c r="K412" i="2"/>
  <c r="F412" i="2"/>
  <c r="E412" i="2"/>
  <c r="F411" i="2"/>
  <c r="E411" i="2" s="1"/>
  <c r="E403" i="2" s="1"/>
  <c r="K410" i="2"/>
  <c r="F410" i="2"/>
  <c r="E410" i="2"/>
  <c r="F409" i="2"/>
  <c r="K409" i="2" s="1"/>
  <c r="J408" i="2"/>
  <c r="I408" i="2"/>
  <c r="H408" i="2"/>
  <c r="G408" i="2"/>
  <c r="J407" i="2"/>
  <c r="I407" i="2"/>
  <c r="H407" i="2"/>
  <c r="G407" i="2"/>
  <c r="F407" i="2"/>
  <c r="K407" i="2" s="1"/>
  <c r="J406" i="2"/>
  <c r="I406" i="2"/>
  <c r="H406" i="2"/>
  <c r="G406" i="2"/>
  <c r="K406" i="2" s="1"/>
  <c r="F406" i="2"/>
  <c r="J405" i="2"/>
  <c r="I405" i="2"/>
  <c r="H405" i="2"/>
  <c r="G405" i="2"/>
  <c r="F405" i="2"/>
  <c r="K405" i="2" s="1"/>
  <c r="J404" i="2"/>
  <c r="I404" i="2"/>
  <c r="H404" i="2"/>
  <c r="G404" i="2"/>
  <c r="K404" i="2" s="1"/>
  <c r="F404" i="2"/>
  <c r="E404" i="2"/>
  <c r="J403" i="2"/>
  <c r="I403" i="2"/>
  <c r="H403" i="2"/>
  <c r="G403" i="2"/>
  <c r="F403" i="2"/>
  <c r="K403" i="2" s="1"/>
  <c r="J402" i="2"/>
  <c r="I402" i="2"/>
  <c r="H402" i="2"/>
  <c r="G402" i="2"/>
  <c r="K402" i="2" s="1"/>
  <c r="F402" i="2"/>
  <c r="J401" i="2"/>
  <c r="J400" i="2" s="1"/>
  <c r="I401" i="2"/>
  <c r="H401" i="2"/>
  <c r="H400" i="2" s="1"/>
  <c r="G401" i="2"/>
  <c r="F401" i="2"/>
  <c r="K401" i="2" s="1"/>
  <c r="I400" i="2"/>
  <c r="K399" i="2"/>
  <c r="E399" i="2"/>
  <c r="E398" i="2" s="1"/>
  <c r="J398" i="2"/>
  <c r="I398" i="2"/>
  <c r="H398" i="2"/>
  <c r="G398" i="2"/>
  <c r="F398" i="2"/>
  <c r="K398" i="2" s="1"/>
  <c r="K397" i="2"/>
  <c r="E397" i="2"/>
  <c r="J396" i="2"/>
  <c r="I396" i="2"/>
  <c r="H396" i="2"/>
  <c r="G396" i="2"/>
  <c r="K396" i="2" s="1"/>
  <c r="F396" i="2"/>
  <c r="E396" i="2"/>
  <c r="K395" i="2"/>
  <c r="E395" i="2"/>
  <c r="E394" i="2" s="1"/>
  <c r="J394" i="2"/>
  <c r="I394" i="2"/>
  <c r="H394" i="2"/>
  <c r="G394" i="2"/>
  <c r="F394" i="2"/>
  <c r="K394" i="2" s="1"/>
  <c r="K393" i="2"/>
  <c r="E393" i="2"/>
  <c r="J392" i="2"/>
  <c r="I392" i="2"/>
  <c r="H392" i="2"/>
  <c r="G392" i="2"/>
  <c r="K392" i="2" s="1"/>
  <c r="F392" i="2"/>
  <c r="E392" i="2"/>
  <c r="K391" i="2"/>
  <c r="E391" i="2"/>
  <c r="K390" i="2"/>
  <c r="E390" i="2"/>
  <c r="E389" i="2" s="1"/>
  <c r="J389" i="2"/>
  <c r="I389" i="2"/>
  <c r="H389" i="2"/>
  <c r="G389" i="2"/>
  <c r="F389" i="2"/>
  <c r="K389" i="2" s="1"/>
  <c r="K388" i="2"/>
  <c r="E388" i="2"/>
  <c r="J387" i="2"/>
  <c r="I387" i="2"/>
  <c r="H387" i="2"/>
  <c r="G387" i="2"/>
  <c r="K387" i="2" s="1"/>
  <c r="F387" i="2"/>
  <c r="E387" i="2"/>
  <c r="K386" i="2"/>
  <c r="E386" i="2"/>
  <c r="E385" i="2" s="1"/>
  <c r="J385" i="2"/>
  <c r="I385" i="2"/>
  <c r="H385" i="2"/>
  <c r="G385" i="2"/>
  <c r="F385" i="2"/>
  <c r="K385" i="2" s="1"/>
  <c r="K384" i="2"/>
  <c r="E384" i="2"/>
  <c r="J383" i="2"/>
  <c r="I383" i="2"/>
  <c r="H383" i="2"/>
  <c r="G383" i="2"/>
  <c r="K383" i="2" s="1"/>
  <c r="F383" i="2"/>
  <c r="E383" i="2"/>
  <c r="K382" i="2"/>
  <c r="E382" i="2"/>
  <c r="E381" i="2" s="1"/>
  <c r="J381" i="2"/>
  <c r="I381" i="2"/>
  <c r="H381" i="2"/>
  <c r="G381" i="2"/>
  <c r="F381" i="2"/>
  <c r="K381" i="2" s="1"/>
  <c r="K380" i="2"/>
  <c r="E380" i="2"/>
  <c r="K379" i="2"/>
  <c r="E379" i="2"/>
  <c r="J378" i="2"/>
  <c r="I378" i="2"/>
  <c r="H378" i="2"/>
  <c r="G378" i="2"/>
  <c r="K378" i="2" s="1"/>
  <c r="F378" i="2"/>
  <c r="E378" i="2"/>
  <c r="K377" i="2"/>
  <c r="E377" i="2"/>
  <c r="E376" i="2" s="1"/>
  <c r="J376" i="2"/>
  <c r="I376" i="2"/>
  <c r="H376" i="2"/>
  <c r="G376" i="2"/>
  <c r="F376" i="2"/>
  <c r="K376" i="2" s="1"/>
  <c r="K375" i="2"/>
  <c r="E375" i="2"/>
  <c r="E361" i="2" s="1"/>
  <c r="J374" i="2"/>
  <c r="I374" i="2"/>
  <c r="H374" i="2"/>
  <c r="G374" i="2"/>
  <c r="K374" i="2" s="1"/>
  <c r="F374" i="2"/>
  <c r="E374" i="2"/>
  <c r="K373" i="2"/>
  <c r="E373" i="2"/>
  <c r="E372" i="2" s="1"/>
  <c r="J372" i="2"/>
  <c r="I372" i="2"/>
  <c r="H372" i="2"/>
  <c r="G372" i="2"/>
  <c r="F372" i="2"/>
  <c r="K372" i="2" s="1"/>
  <c r="K371" i="2"/>
  <c r="E371" i="2"/>
  <c r="J370" i="2"/>
  <c r="I370" i="2"/>
  <c r="H370" i="2"/>
  <c r="G370" i="2"/>
  <c r="K370" i="2" s="1"/>
  <c r="F370" i="2"/>
  <c r="E370" i="2"/>
  <c r="K369" i="2"/>
  <c r="J368" i="2"/>
  <c r="I368" i="2"/>
  <c r="H368" i="2"/>
  <c r="G368" i="2"/>
  <c r="K368" i="2" s="1"/>
  <c r="F368" i="2"/>
  <c r="E368" i="2"/>
  <c r="J367" i="2"/>
  <c r="I367" i="2"/>
  <c r="H367" i="2"/>
  <c r="G367" i="2"/>
  <c r="F367" i="2"/>
  <c r="K367" i="2" s="1"/>
  <c r="E367" i="2"/>
  <c r="J366" i="2"/>
  <c r="I366" i="2"/>
  <c r="H366" i="2"/>
  <c r="G366" i="2"/>
  <c r="K366" i="2" s="1"/>
  <c r="F366" i="2"/>
  <c r="E366" i="2"/>
  <c r="J365" i="2"/>
  <c r="I365" i="2"/>
  <c r="H365" i="2"/>
  <c r="G365" i="2"/>
  <c r="F365" i="2"/>
  <c r="K365" i="2" s="1"/>
  <c r="J364" i="2"/>
  <c r="I364" i="2"/>
  <c r="H364" i="2"/>
  <c r="G364" i="2"/>
  <c r="K364" i="2" s="1"/>
  <c r="F364" i="2"/>
  <c r="E364" i="2"/>
  <c r="J363" i="2"/>
  <c r="I363" i="2"/>
  <c r="H363" i="2"/>
  <c r="G363" i="2"/>
  <c r="F363" i="2"/>
  <c r="K363" i="2" s="1"/>
  <c r="J362" i="2"/>
  <c r="I362" i="2"/>
  <c r="H362" i="2"/>
  <c r="G362" i="2"/>
  <c r="K362" i="2" s="1"/>
  <c r="F362" i="2"/>
  <c r="E362" i="2"/>
  <c r="J361" i="2"/>
  <c r="I361" i="2"/>
  <c r="H361" i="2"/>
  <c r="G361" i="2"/>
  <c r="F361" i="2"/>
  <c r="K361" i="2" s="1"/>
  <c r="J360" i="2"/>
  <c r="I360" i="2"/>
  <c r="H360" i="2"/>
  <c r="G360" i="2"/>
  <c r="K360" i="2" s="1"/>
  <c r="F360" i="2"/>
  <c r="E360" i="2"/>
  <c r="J359" i="2"/>
  <c r="J358" i="2" s="1"/>
  <c r="I359" i="2"/>
  <c r="H359" i="2"/>
  <c r="H358" i="2" s="1"/>
  <c r="G359" i="2"/>
  <c r="F359" i="2"/>
  <c r="K359" i="2" s="1"/>
  <c r="E359" i="2"/>
  <c r="I358" i="2"/>
  <c r="K357" i="2"/>
  <c r="E357" i="2"/>
  <c r="E356" i="2" s="1"/>
  <c r="J356" i="2"/>
  <c r="I356" i="2"/>
  <c r="H356" i="2"/>
  <c r="G356" i="2"/>
  <c r="F356" i="2"/>
  <c r="K356" i="2" s="1"/>
  <c r="K355" i="2"/>
  <c r="E355" i="2"/>
  <c r="J354" i="2"/>
  <c r="I354" i="2"/>
  <c r="H354" i="2"/>
  <c r="G354" i="2"/>
  <c r="K354" i="2" s="1"/>
  <c r="F354" i="2"/>
  <c r="K353" i="2"/>
  <c r="E353" i="2"/>
  <c r="E352" i="2" s="1"/>
  <c r="J352" i="2"/>
  <c r="I352" i="2"/>
  <c r="H352" i="2"/>
  <c r="G352" i="2"/>
  <c r="F352" i="2"/>
  <c r="K352" i="2" s="1"/>
  <c r="K351" i="2"/>
  <c r="E351" i="2"/>
  <c r="K350" i="2"/>
  <c r="E350" i="2"/>
  <c r="J349" i="2"/>
  <c r="I349" i="2"/>
  <c r="H349" i="2"/>
  <c r="G349" i="2"/>
  <c r="K349" i="2" s="1"/>
  <c r="F349" i="2"/>
  <c r="E349" i="2"/>
  <c r="K348" i="2"/>
  <c r="E348" i="2"/>
  <c r="E347" i="2" s="1"/>
  <c r="J347" i="2"/>
  <c r="I347" i="2"/>
  <c r="H347" i="2"/>
  <c r="G347" i="2"/>
  <c r="F347" i="2"/>
  <c r="K347" i="2" s="1"/>
  <c r="K346" i="2"/>
  <c r="E346" i="2"/>
  <c r="K345" i="2"/>
  <c r="E345" i="2"/>
  <c r="K344" i="2"/>
  <c r="E344" i="2"/>
  <c r="K343" i="2"/>
  <c r="E343" i="2"/>
  <c r="J342" i="2"/>
  <c r="I342" i="2"/>
  <c r="H342" i="2"/>
  <c r="G342" i="2"/>
  <c r="K342" i="2" s="1"/>
  <c r="F342" i="2"/>
  <c r="E342" i="2"/>
  <c r="K341" i="2"/>
  <c r="E341" i="2"/>
  <c r="E340" i="2" s="1"/>
  <c r="E276" i="2" s="1"/>
  <c r="J340" i="2"/>
  <c r="I340" i="2"/>
  <c r="H340" i="2"/>
  <c r="H276" i="2" s="1"/>
  <c r="H275" i="2" s="1"/>
  <c r="G340" i="2"/>
  <c r="F340" i="2"/>
  <c r="K340" i="2" s="1"/>
  <c r="K339" i="2"/>
  <c r="E339" i="2"/>
  <c r="K338" i="2"/>
  <c r="E338" i="2"/>
  <c r="K337" i="2"/>
  <c r="E337" i="2"/>
  <c r="J336" i="2"/>
  <c r="I336" i="2"/>
  <c r="H336" i="2"/>
  <c r="G336" i="2"/>
  <c r="K336" i="2" s="1"/>
  <c r="F336" i="2"/>
  <c r="E336" i="2"/>
  <c r="K335" i="2"/>
  <c r="E335" i="2"/>
  <c r="K334" i="2"/>
  <c r="E334" i="2"/>
  <c r="E333" i="2" s="1"/>
  <c r="J333" i="2"/>
  <c r="I333" i="2"/>
  <c r="H333" i="2"/>
  <c r="G333" i="2"/>
  <c r="F333" i="2"/>
  <c r="K333" i="2" s="1"/>
  <c r="K332" i="2"/>
  <c r="E332" i="2"/>
  <c r="J331" i="2"/>
  <c r="I331" i="2"/>
  <c r="H331" i="2"/>
  <c r="G331" i="2"/>
  <c r="K331" i="2" s="1"/>
  <c r="F331" i="2"/>
  <c r="E331" i="2"/>
  <c r="E330" i="2"/>
  <c r="E329" i="2" s="1"/>
  <c r="J329" i="2"/>
  <c r="I329" i="2"/>
  <c r="H329" i="2"/>
  <c r="G329" i="2"/>
  <c r="F329" i="2"/>
  <c r="K328" i="2"/>
  <c r="E328" i="2"/>
  <c r="K327" i="2"/>
  <c r="E327" i="2"/>
  <c r="K326" i="2"/>
  <c r="E326" i="2"/>
  <c r="E285" i="2" s="1"/>
  <c r="K325" i="2"/>
  <c r="E325" i="2"/>
  <c r="K324" i="2"/>
  <c r="E324" i="2"/>
  <c r="K323" i="2"/>
  <c r="E323" i="2"/>
  <c r="K322" i="2"/>
  <c r="E322" i="2"/>
  <c r="K321" i="2"/>
  <c r="E321" i="2"/>
  <c r="K320" i="2"/>
  <c r="J320" i="2"/>
  <c r="I320" i="2"/>
  <c r="I317" i="2" s="1"/>
  <c r="G320" i="2"/>
  <c r="E320" i="2"/>
  <c r="E279" i="2" s="1"/>
  <c r="K319" i="2"/>
  <c r="E319" i="2"/>
  <c r="K318" i="2"/>
  <c r="E318" i="2"/>
  <c r="E317" i="2" s="1"/>
  <c r="J317" i="2"/>
  <c r="H317" i="2"/>
  <c r="G317" i="2"/>
  <c r="F317" i="2"/>
  <c r="E316" i="2"/>
  <c r="E312" i="2" s="1"/>
  <c r="E315" i="2"/>
  <c r="E314" i="2"/>
  <c r="E313" i="2"/>
  <c r="K312" i="2"/>
  <c r="J312" i="2"/>
  <c r="I312" i="2"/>
  <c r="H312" i="2"/>
  <c r="G312" i="2"/>
  <c r="F312" i="2"/>
  <c r="J311" i="2"/>
  <c r="I311" i="2"/>
  <c r="H311" i="2"/>
  <c r="G311" i="2"/>
  <c r="F311" i="2"/>
  <c r="E311" i="2"/>
  <c r="K310" i="2"/>
  <c r="E310" i="2"/>
  <c r="K309" i="2"/>
  <c r="K308" i="2"/>
  <c r="J307" i="2"/>
  <c r="I307" i="2"/>
  <c r="H307" i="2"/>
  <c r="G307" i="2"/>
  <c r="F307" i="2"/>
  <c r="K307" i="2" s="1"/>
  <c r="E307" i="2"/>
  <c r="K306" i="2"/>
  <c r="E306" i="2"/>
  <c r="K305" i="2"/>
  <c r="E305" i="2"/>
  <c r="J304" i="2"/>
  <c r="I304" i="2"/>
  <c r="H304" i="2"/>
  <c r="G304" i="2"/>
  <c r="K304" i="2" s="1"/>
  <c r="F304" i="2"/>
  <c r="E304" i="2"/>
  <c r="K303" i="2"/>
  <c r="E303" i="2"/>
  <c r="E302" i="2" s="1"/>
  <c r="J302" i="2"/>
  <c r="I302" i="2"/>
  <c r="H302" i="2"/>
  <c r="G302" i="2"/>
  <c r="F302" i="2"/>
  <c r="K302" i="2" s="1"/>
  <c r="K301" i="2"/>
  <c r="E301" i="2"/>
  <c r="J300" i="2"/>
  <c r="I300" i="2"/>
  <c r="H300" i="2"/>
  <c r="G300" i="2"/>
  <c r="K300" i="2" s="1"/>
  <c r="F300" i="2"/>
  <c r="E300" i="2"/>
  <c r="K299" i="2"/>
  <c r="E299" i="2"/>
  <c r="E298" i="2" s="1"/>
  <c r="J298" i="2"/>
  <c r="I298" i="2"/>
  <c r="H298" i="2"/>
  <c r="G298" i="2"/>
  <c r="F298" i="2"/>
  <c r="K298" i="2" s="1"/>
  <c r="K297" i="2"/>
  <c r="E297" i="2"/>
  <c r="J296" i="2"/>
  <c r="I296" i="2"/>
  <c r="H296" i="2"/>
  <c r="G296" i="2"/>
  <c r="K296" i="2" s="1"/>
  <c r="F296" i="2"/>
  <c r="E296" i="2"/>
  <c r="K295" i="2"/>
  <c r="E295" i="2"/>
  <c r="E294" i="2" s="1"/>
  <c r="J294" i="2"/>
  <c r="I294" i="2"/>
  <c r="H294" i="2"/>
  <c r="G294" i="2"/>
  <c r="F294" i="2"/>
  <c r="K294" i="2" s="1"/>
  <c r="K293" i="2"/>
  <c r="E293" i="2"/>
  <c r="J292" i="2"/>
  <c r="I292" i="2"/>
  <c r="H292" i="2"/>
  <c r="G292" i="2"/>
  <c r="K292" i="2" s="1"/>
  <c r="F292" i="2"/>
  <c r="E292" i="2"/>
  <c r="K291" i="2"/>
  <c r="E291" i="2"/>
  <c r="E290" i="2" s="1"/>
  <c r="J290" i="2"/>
  <c r="I290" i="2"/>
  <c r="H290" i="2"/>
  <c r="G290" i="2"/>
  <c r="F290" i="2"/>
  <c r="K290" i="2" s="1"/>
  <c r="K289" i="2"/>
  <c r="E289" i="2"/>
  <c r="J288" i="2"/>
  <c r="I288" i="2"/>
  <c r="H288" i="2"/>
  <c r="G288" i="2"/>
  <c r="K288" i="2" s="1"/>
  <c r="F288" i="2"/>
  <c r="E288" i="2"/>
  <c r="J287" i="2"/>
  <c r="I287" i="2"/>
  <c r="H287" i="2"/>
  <c r="G287" i="2"/>
  <c r="F287" i="2"/>
  <c r="K287" i="2" s="1"/>
  <c r="E287" i="2"/>
  <c r="J286" i="2"/>
  <c r="I286" i="2"/>
  <c r="H286" i="2"/>
  <c r="G286" i="2"/>
  <c r="K286" i="2" s="1"/>
  <c r="F286" i="2"/>
  <c r="E286" i="2"/>
  <c r="J285" i="2"/>
  <c r="I285" i="2"/>
  <c r="H285" i="2"/>
  <c r="G285" i="2"/>
  <c r="K285" i="2" s="1"/>
  <c r="F285" i="2"/>
  <c r="J284" i="2"/>
  <c r="I284" i="2"/>
  <c r="H284" i="2"/>
  <c r="G284" i="2"/>
  <c r="K284" i="2" s="1"/>
  <c r="F284" i="2"/>
  <c r="E284" i="2"/>
  <c r="J283" i="2"/>
  <c r="I283" i="2"/>
  <c r="H283" i="2"/>
  <c r="G283" i="2"/>
  <c r="F283" i="2"/>
  <c r="K283" i="2" s="1"/>
  <c r="E283" i="2"/>
  <c r="J282" i="2"/>
  <c r="I282" i="2"/>
  <c r="H282" i="2"/>
  <c r="G282" i="2"/>
  <c r="K282" i="2" s="1"/>
  <c r="F282" i="2"/>
  <c r="E282" i="2"/>
  <c r="J281" i="2"/>
  <c r="I281" i="2"/>
  <c r="H281" i="2"/>
  <c r="G281" i="2"/>
  <c r="K281" i="2" s="1"/>
  <c r="F281" i="2"/>
  <c r="J280" i="2"/>
  <c r="I280" i="2"/>
  <c r="H280" i="2"/>
  <c r="G280" i="2"/>
  <c r="K280" i="2" s="1"/>
  <c r="F280" i="2"/>
  <c r="E280" i="2"/>
  <c r="J279" i="2"/>
  <c r="I279" i="2"/>
  <c r="H279" i="2"/>
  <c r="G279" i="2"/>
  <c r="F279" i="2"/>
  <c r="K279" i="2" s="1"/>
  <c r="J278" i="2"/>
  <c r="I278" i="2"/>
  <c r="I275" i="2" s="1"/>
  <c r="H278" i="2"/>
  <c r="G278" i="2"/>
  <c r="K278" i="2" s="1"/>
  <c r="F278" i="2"/>
  <c r="E278" i="2"/>
  <c r="J277" i="2"/>
  <c r="I277" i="2"/>
  <c r="H277" i="2"/>
  <c r="G277" i="2"/>
  <c r="K277" i="2" s="1"/>
  <c r="F277" i="2"/>
  <c r="J276" i="2"/>
  <c r="I276" i="2"/>
  <c r="G276" i="2"/>
  <c r="G275" i="2" s="1"/>
  <c r="F276" i="2"/>
  <c r="J275" i="2"/>
  <c r="F275" i="2"/>
  <c r="K274" i="2"/>
  <c r="E274" i="2"/>
  <c r="K273" i="2"/>
  <c r="E273" i="2"/>
  <c r="K272" i="2"/>
  <c r="E272" i="2"/>
  <c r="K271" i="2"/>
  <c r="E271" i="2"/>
  <c r="E259" i="2" s="1"/>
  <c r="K270" i="2"/>
  <c r="E270" i="2"/>
  <c r="K269" i="2"/>
  <c r="E269" i="2"/>
  <c r="E267" i="2" s="1"/>
  <c r="K268" i="2"/>
  <c r="E268" i="2"/>
  <c r="J267" i="2"/>
  <c r="I267" i="2"/>
  <c r="H267" i="2"/>
  <c r="G267" i="2"/>
  <c r="K267" i="2" s="1"/>
  <c r="F267" i="2"/>
  <c r="K266" i="2"/>
  <c r="E266" i="2"/>
  <c r="K265" i="2"/>
  <c r="E265" i="2"/>
  <c r="K264" i="2"/>
  <c r="E264" i="2"/>
  <c r="K263" i="2"/>
  <c r="E263" i="2"/>
  <c r="E256" i="2" s="1"/>
  <c r="E255" i="2" s="1"/>
  <c r="J262" i="2"/>
  <c r="I262" i="2"/>
  <c r="H262" i="2"/>
  <c r="G262" i="2"/>
  <c r="F262" i="2"/>
  <c r="K262" i="2" s="1"/>
  <c r="E262" i="2"/>
  <c r="J261" i="2"/>
  <c r="I261" i="2"/>
  <c r="H261" i="2"/>
  <c r="G261" i="2"/>
  <c r="K261" i="2" s="1"/>
  <c r="F261" i="2"/>
  <c r="E261" i="2"/>
  <c r="J260" i="2"/>
  <c r="I260" i="2"/>
  <c r="H260" i="2"/>
  <c r="G260" i="2"/>
  <c r="K260" i="2" s="1"/>
  <c r="F260" i="2"/>
  <c r="E260" i="2"/>
  <c r="J259" i="2"/>
  <c r="I259" i="2"/>
  <c r="H259" i="2"/>
  <c r="G259" i="2"/>
  <c r="K259" i="2" s="1"/>
  <c r="F259" i="2"/>
  <c r="J258" i="2"/>
  <c r="J255" i="2" s="1"/>
  <c r="I258" i="2"/>
  <c r="H258" i="2"/>
  <c r="G258" i="2"/>
  <c r="F258" i="2"/>
  <c r="K258" i="2" s="1"/>
  <c r="E258" i="2"/>
  <c r="J257" i="2"/>
  <c r="I257" i="2"/>
  <c r="H257" i="2"/>
  <c r="G257" i="2"/>
  <c r="K257" i="2" s="1"/>
  <c r="F257" i="2"/>
  <c r="E257" i="2"/>
  <c r="J256" i="2"/>
  <c r="I256" i="2"/>
  <c r="H256" i="2"/>
  <c r="H255" i="2" s="1"/>
  <c r="G256" i="2"/>
  <c r="K256" i="2" s="1"/>
  <c r="F256" i="2"/>
  <c r="G255" i="2"/>
  <c r="E254" i="2"/>
  <c r="E253" i="2"/>
  <c r="E252" i="2"/>
  <c r="K251" i="2"/>
  <c r="J251" i="2"/>
  <c r="I251" i="2"/>
  <c r="H251" i="2"/>
  <c r="G251" i="2"/>
  <c r="F251" i="2"/>
  <c r="E251" i="2"/>
  <c r="E250" i="2"/>
  <c r="E249" i="2"/>
  <c r="E248" i="2" s="1"/>
  <c r="I248" i="2"/>
  <c r="H248" i="2"/>
  <c r="G248" i="2"/>
  <c r="F248" i="2"/>
  <c r="E247" i="2"/>
  <c r="E246" i="2" s="1"/>
  <c r="J246" i="2"/>
  <c r="I246" i="2"/>
  <c r="H246" i="2"/>
  <c r="G246" i="2"/>
  <c r="F246" i="2"/>
  <c r="K245" i="2"/>
  <c r="E245" i="2"/>
  <c r="E244" i="2" s="1"/>
  <c r="I244" i="2"/>
  <c r="H244" i="2"/>
  <c r="G244" i="2"/>
  <c r="F244" i="2"/>
  <c r="K244" i="2" s="1"/>
  <c r="K243" i="2"/>
  <c r="E243" i="2"/>
  <c r="E242" i="2" s="1"/>
  <c r="I242" i="2"/>
  <c r="H242" i="2"/>
  <c r="G242" i="2"/>
  <c r="F242" i="2"/>
  <c r="K242" i="2" s="1"/>
  <c r="K241" i="2"/>
  <c r="E241" i="2"/>
  <c r="E240" i="2" s="1"/>
  <c r="J240" i="2"/>
  <c r="I240" i="2"/>
  <c r="H240" i="2"/>
  <c r="G240" i="2"/>
  <c r="K240" i="2" s="1"/>
  <c r="F240" i="2"/>
  <c r="K239" i="2"/>
  <c r="E239" i="2"/>
  <c r="J238" i="2"/>
  <c r="I238" i="2"/>
  <c r="H238" i="2"/>
  <c r="G238" i="2"/>
  <c r="K238" i="2" s="1"/>
  <c r="F238" i="2"/>
  <c r="E238" i="2"/>
  <c r="K237" i="2"/>
  <c r="E237" i="2"/>
  <c r="J236" i="2"/>
  <c r="I236" i="2"/>
  <c r="H236" i="2"/>
  <c r="G236" i="2"/>
  <c r="F236" i="2"/>
  <c r="K236" i="2" s="1"/>
  <c r="E236" i="2"/>
  <c r="K235" i="2"/>
  <c r="E235" i="2"/>
  <c r="J234" i="2"/>
  <c r="I234" i="2"/>
  <c r="H234" i="2"/>
  <c r="G234" i="2"/>
  <c r="K234" i="2" s="1"/>
  <c r="F234" i="2"/>
  <c r="E234" i="2"/>
  <c r="K233" i="2"/>
  <c r="E233" i="2"/>
  <c r="E231" i="2" s="1"/>
  <c r="K232" i="2"/>
  <c r="E232" i="2"/>
  <c r="J231" i="2"/>
  <c r="I231" i="2"/>
  <c r="H231" i="2"/>
  <c r="G231" i="2"/>
  <c r="F231" i="2"/>
  <c r="K231" i="2" s="1"/>
  <c r="K230" i="2"/>
  <c r="E230" i="2"/>
  <c r="K229" i="2"/>
  <c r="E229" i="2"/>
  <c r="E227" i="2" s="1"/>
  <c r="K228" i="2"/>
  <c r="E228" i="2"/>
  <c r="J227" i="2"/>
  <c r="I227" i="2"/>
  <c r="H227" i="2"/>
  <c r="G227" i="2"/>
  <c r="K227" i="2" s="1"/>
  <c r="F227" i="2"/>
  <c r="E226" i="2"/>
  <c r="K225" i="2"/>
  <c r="E225" i="2"/>
  <c r="J224" i="2"/>
  <c r="I224" i="2"/>
  <c r="H224" i="2"/>
  <c r="G224" i="2"/>
  <c r="K224" i="2" s="1"/>
  <c r="F224" i="2"/>
  <c r="E224" i="2"/>
  <c r="K223" i="2"/>
  <c r="E223" i="2"/>
  <c r="J222" i="2"/>
  <c r="I222" i="2"/>
  <c r="H222" i="2"/>
  <c r="G222" i="2"/>
  <c r="F222" i="2"/>
  <c r="K222" i="2" s="1"/>
  <c r="E222" i="2"/>
  <c r="K221" i="2"/>
  <c r="E221" i="2"/>
  <c r="K220" i="2"/>
  <c r="E220" i="2"/>
  <c r="J219" i="2"/>
  <c r="I219" i="2"/>
  <c r="H219" i="2"/>
  <c r="G219" i="2"/>
  <c r="K219" i="2" s="1"/>
  <c r="F219" i="2"/>
  <c r="E219" i="2"/>
  <c r="K218" i="2"/>
  <c r="E218" i="2"/>
  <c r="E216" i="2" s="1"/>
  <c r="K217" i="2"/>
  <c r="E217" i="2"/>
  <c r="J216" i="2"/>
  <c r="I216" i="2"/>
  <c r="H216" i="2"/>
  <c r="G216" i="2"/>
  <c r="K216" i="2" s="1"/>
  <c r="F216" i="2"/>
  <c r="K215" i="2"/>
  <c r="E215" i="2"/>
  <c r="E213" i="2" s="1"/>
  <c r="K214" i="2"/>
  <c r="E214" i="2"/>
  <c r="J213" i="2"/>
  <c r="I213" i="2"/>
  <c r="H213" i="2"/>
  <c r="G213" i="2"/>
  <c r="K213" i="2" s="1"/>
  <c r="F213" i="2"/>
  <c r="K212" i="2"/>
  <c r="E212" i="2"/>
  <c r="E210" i="2" s="1"/>
  <c r="K211" i="2"/>
  <c r="E211" i="2"/>
  <c r="J210" i="2"/>
  <c r="I210" i="2"/>
  <c r="H210" i="2"/>
  <c r="G210" i="2"/>
  <c r="F210" i="2"/>
  <c r="K210" i="2" s="1"/>
  <c r="E209" i="2"/>
  <c r="K208" i="2"/>
  <c r="E208" i="2"/>
  <c r="E207" i="2" s="1"/>
  <c r="H207" i="2"/>
  <c r="G207" i="2"/>
  <c r="F207" i="2"/>
  <c r="K207" i="2" s="1"/>
  <c r="K206" i="2"/>
  <c r="E206" i="2"/>
  <c r="K205" i="2"/>
  <c r="E205" i="2"/>
  <c r="E204" i="2" s="1"/>
  <c r="H204" i="2"/>
  <c r="G204" i="2"/>
  <c r="F204" i="2"/>
  <c r="K204" i="2" s="1"/>
  <c r="K203" i="2"/>
  <c r="E203" i="2"/>
  <c r="E201" i="2" s="1"/>
  <c r="K202" i="2"/>
  <c r="E202" i="2"/>
  <c r="J201" i="2"/>
  <c r="I201" i="2"/>
  <c r="H201" i="2"/>
  <c r="G201" i="2"/>
  <c r="F201" i="2"/>
  <c r="K201" i="2" s="1"/>
  <c r="K200" i="2"/>
  <c r="E200" i="2"/>
  <c r="K199" i="2"/>
  <c r="E199" i="2"/>
  <c r="J198" i="2"/>
  <c r="I198" i="2"/>
  <c r="H198" i="2"/>
  <c r="G198" i="2"/>
  <c r="K198" i="2" s="1"/>
  <c r="F198" i="2"/>
  <c r="E198" i="2"/>
  <c r="K197" i="2"/>
  <c r="E197" i="2"/>
  <c r="J196" i="2"/>
  <c r="I196" i="2"/>
  <c r="H196" i="2"/>
  <c r="G196" i="2"/>
  <c r="F196" i="2"/>
  <c r="K196" i="2" s="1"/>
  <c r="E196" i="2"/>
  <c r="K195" i="2"/>
  <c r="E195" i="2"/>
  <c r="J194" i="2"/>
  <c r="I194" i="2"/>
  <c r="H194" i="2"/>
  <c r="G194" i="2"/>
  <c r="K194" i="2" s="1"/>
  <c r="F194" i="2"/>
  <c r="E194" i="2"/>
  <c r="E193" i="2"/>
  <c r="K192" i="2"/>
  <c r="E192" i="2"/>
  <c r="J191" i="2"/>
  <c r="I191" i="2"/>
  <c r="H191" i="2"/>
  <c r="G191" i="2"/>
  <c r="K191" i="2" s="1"/>
  <c r="F191" i="2"/>
  <c r="E191" i="2"/>
  <c r="K190" i="2"/>
  <c r="E190" i="2"/>
  <c r="K189" i="2"/>
  <c r="E189" i="2"/>
  <c r="E188" i="2" s="1"/>
  <c r="J188" i="2"/>
  <c r="I188" i="2"/>
  <c r="H188" i="2"/>
  <c r="G188" i="2"/>
  <c r="K188" i="2" s="1"/>
  <c r="F188" i="2"/>
  <c r="K187" i="2"/>
  <c r="E187" i="2"/>
  <c r="K186" i="2"/>
  <c r="E186" i="2"/>
  <c r="K185" i="2"/>
  <c r="E185" i="2"/>
  <c r="J184" i="2"/>
  <c r="I184" i="2"/>
  <c r="H184" i="2"/>
  <c r="G184" i="2"/>
  <c r="K184" i="2" s="1"/>
  <c r="F184" i="2"/>
  <c r="E184" i="2"/>
  <c r="K183" i="2"/>
  <c r="E183" i="2"/>
  <c r="K182" i="2"/>
  <c r="E182" i="2"/>
  <c r="E181" i="2" s="1"/>
  <c r="J181" i="2"/>
  <c r="I181" i="2"/>
  <c r="H181" i="2"/>
  <c r="G181" i="2"/>
  <c r="K181" i="2" s="1"/>
  <c r="F181" i="2"/>
  <c r="J179" i="2"/>
  <c r="I179" i="2"/>
  <c r="H179" i="2"/>
  <c r="G179" i="2"/>
  <c r="F179" i="2"/>
  <c r="E179" i="2"/>
  <c r="J177" i="2"/>
  <c r="I177" i="2"/>
  <c r="H177" i="2"/>
  <c r="G177" i="2"/>
  <c r="F177" i="2"/>
  <c r="E177" i="2"/>
  <c r="E160" i="2"/>
  <c r="E159" i="2"/>
  <c r="E158" i="2"/>
  <c r="H157" i="2"/>
  <c r="K157" i="2" s="1"/>
  <c r="K156" i="2"/>
  <c r="E156" i="2"/>
  <c r="J155" i="2"/>
  <c r="I155" i="2"/>
  <c r="G155" i="2"/>
  <c r="F155" i="2"/>
  <c r="K154" i="2"/>
  <c r="E154" i="2"/>
  <c r="E152" i="2" s="1"/>
  <c r="K153" i="2"/>
  <c r="E153" i="2"/>
  <c r="J152" i="2"/>
  <c r="I152" i="2"/>
  <c r="H152" i="2"/>
  <c r="G152" i="2"/>
  <c r="F152" i="2"/>
  <c r="K152" i="2" s="1"/>
  <c r="K151" i="2"/>
  <c r="E151" i="2"/>
  <c r="K150" i="2"/>
  <c r="E150" i="2"/>
  <c r="K149" i="2"/>
  <c r="E149" i="2"/>
  <c r="J148" i="2"/>
  <c r="I148" i="2"/>
  <c r="H148" i="2"/>
  <c r="G148" i="2"/>
  <c r="K148" i="2" s="1"/>
  <c r="F148" i="2"/>
  <c r="E148" i="2"/>
  <c r="K147" i="2"/>
  <c r="E147" i="2"/>
  <c r="K146" i="2"/>
  <c r="E146" i="2"/>
  <c r="E126" i="2" s="1"/>
  <c r="K145" i="2"/>
  <c r="E145" i="2"/>
  <c r="E125" i="2" s="1"/>
  <c r="E144" i="2"/>
  <c r="J143" i="2"/>
  <c r="I143" i="2"/>
  <c r="H143" i="2"/>
  <c r="G143" i="2"/>
  <c r="K143" i="2" s="1"/>
  <c r="F143" i="2"/>
  <c r="E143" i="2"/>
  <c r="K142" i="2"/>
  <c r="E142" i="2"/>
  <c r="K141" i="2"/>
  <c r="E141" i="2"/>
  <c r="E139" i="2" s="1"/>
  <c r="K140" i="2"/>
  <c r="E140" i="2"/>
  <c r="J139" i="2"/>
  <c r="I139" i="2"/>
  <c r="H139" i="2"/>
  <c r="G139" i="2"/>
  <c r="F139" i="2"/>
  <c r="K139" i="2" s="1"/>
  <c r="K138" i="2"/>
  <c r="E138" i="2"/>
  <c r="K137" i="2"/>
  <c r="E137" i="2"/>
  <c r="E135" i="2" s="1"/>
  <c r="K136" i="2"/>
  <c r="E136" i="2"/>
  <c r="J135" i="2"/>
  <c r="I135" i="2"/>
  <c r="H135" i="2"/>
  <c r="G135" i="2"/>
  <c r="K135" i="2" s="1"/>
  <c r="F135" i="2"/>
  <c r="K134" i="2"/>
  <c r="E134" i="2"/>
  <c r="E133" i="2"/>
  <c r="E131" i="2" s="1"/>
  <c r="K132" i="2"/>
  <c r="E132" i="2"/>
  <c r="J131" i="2"/>
  <c r="I131" i="2"/>
  <c r="H131" i="2"/>
  <c r="G131" i="2"/>
  <c r="K131" i="2" s="1"/>
  <c r="F131" i="2"/>
  <c r="J130" i="2"/>
  <c r="I130" i="2"/>
  <c r="I84" i="2" s="1"/>
  <c r="H130" i="2"/>
  <c r="G130" i="2"/>
  <c r="F130" i="2"/>
  <c r="E130" i="2"/>
  <c r="J129" i="2"/>
  <c r="I129" i="2"/>
  <c r="H129" i="2"/>
  <c r="G129" i="2"/>
  <c r="F129" i="2"/>
  <c r="J128" i="2"/>
  <c r="J82" i="2" s="1"/>
  <c r="I128" i="2"/>
  <c r="H128" i="2"/>
  <c r="G128" i="2"/>
  <c r="F128" i="2"/>
  <c r="K128" i="2" s="1"/>
  <c r="E128" i="2"/>
  <c r="J127" i="2"/>
  <c r="I127" i="2"/>
  <c r="I78" i="2" s="1"/>
  <c r="I13" i="2" s="1"/>
  <c r="H127" i="2"/>
  <c r="H78" i="2" s="1"/>
  <c r="H13" i="2" s="1"/>
  <c r="G127" i="2"/>
  <c r="K127" i="2" s="1"/>
  <c r="F127" i="2"/>
  <c r="E127" i="2"/>
  <c r="E78" i="2" s="1"/>
  <c r="J126" i="2"/>
  <c r="I126" i="2"/>
  <c r="H126" i="2"/>
  <c r="H77" i="2" s="1"/>
  <c r="G126" i="2"/>
  <c r="F126" i="2"/>
  <c r="J125" i="2"/>
  <c r="I125" i="2"/>
  <c r="H125" i="2"/>
  <c r="G125" i="2"/>
  <c r="F125" i="2"/>
  <c r="J124" i="2"/>
  <c r="I124" i="2"/>
  <c r="H124" i="2"/>
  <c r="G124" i="2"/>
  <c r="F124" i="2"/>
  <c r="E124" i="2"/>
  <c r="H123" i="2"/>
  <c r="K122" i="2"/>
  <c r="E122" i="2"/>
  <c r="K121" i="2"/>
  <c r="E121" i="2"/>
  <c r="K120" i="2"/>
  <c r="E120" i="2"/>
  <c r="K119" i="2"/>
  <c r="E119" i="2"/>
  <c r="K118" i="2"/>
  <c r="E118" i="2"/>
  <c r="K117" i="2"/>
  <c r="F117" i="2"/>
  <c r="E117" i="2"/>
  <c r="K116" i="2"/>
  <c r="F116" i="2"/>
  <c r="E116" i="2" s="1"/>
  <c r="E80" i="2" s="1"/>
  <c r="K115" i="2"/>
  <c r="F115" i="2"/>
  <c r="F77" i="2" s="1"/>
  <c r="J114" i="2"/>
  <c r="I114" i="2"/>
  <c r="H114" i="2"/>
  <c r="G114" i="2"/>
  <c r="F114" i="2"/>
  <c r="K114" i="2" s="1"/>
  <c r="K113" i="2"/>
  <c r="E113" i="2"/>
  <c r="K112" i="2"/>
  <c r="E112" i="2"/>
  <c r="K111" i="2"/>
  <c r="E111" i="2"/>
  <c r="K110" i="2"/>
  <c r="E110" i="2"/>
  <c r="K109" i="2"/>
  <c r="E109" i="2"/>
  <c r="K108" i="2"/>
  <c r="E108" i="2"/>
  <c r="K107" i="2"/>
  <c r="E107" i="2"/>
  <c r="K106" i="2"/>
  <c r="F106" i="2"/>
  <c r="E106" i="2" s="1"/>
  <c r="E105" i="2" s="1"/>
  <c r="J105" i="2"/>
  <c r="I105" i="2"/>
  <c r="H105" i="2"/>
  <c r="G105" i="2"/>
  <c r="F105" i="2"/>
  <c r="K105" i="2" s="1"/>
  <c r="K104" i="2"/>
  <c r="E104" i="2"/>
  <c r="K103" i="2"/>
  <c r="E103" i="2"/>
  <c r="J102" i="2"/>
  <c r="I102" i="2"/>
  <c r="H102" i="2"/>
  <c r="G102" i="2"/>
  <c r="K102" i="2" s="1"/>
  <c r="F102" i="2"/>
  <c r="E102" i="2"/>
  <c r="K101" i="2"/>
  <c r="E101" i="2"/>
  <c r="K100" i="2"/>
  <c r="E100" i="2"/>
  <c r="E99" i="2" s="1"/>
  <c r="J99" i="2"/>
  <c r="I99" i="2"/>
  <c r="H99" i="2"/>
  <c r="G99" i="2"/>
  <c r="F99" i="2"/>
  <c r="K98" i="2"/>
  <c r="E98" i="2"/>
  <c r="E86" i="2" s="1"/>
  <c r="K97" i="2"/>
  <c r="E97" i="2"/>
  <c r="K96" i="2"/>
  <c r="E96" i="2"/>
  <c r="K95" i="2"/>
  <c r="E95" i="2"/>
  <c r="K94" i="2"/>
  <c r="E94" i="2"/>
  <c r="K93" i="2"/>
  <c r="E93" i="2"/>
  <c r="E92" i="2"/>
  <c r="E76" i="2" s="1"/>
  <c r="E91" i="2"/>
  <c r="E75" i="2" s="1"/>
  <c r="J90" i="2"/>
  <c r="I90" i="2"/>
  <c r="H90" i="2"/>
  <c r="G90" i="2"/>
  <c r="F90" i="2"/>
  <c r="K90" i="2" s="1"/>
  <c r="K89" i="2"/>
  <c r="E89" i="2"/>
  <c r="K88" i="2"/>
  <c r="E88" i="2"/>
  <c r="J87" i="2"/>
  <c r="I87" i="2"/>
  <c r="H87" i="2"/>
  <c r="G87" i="2"/>
  <c r="F87" i="2"/>
  <c r="J86" i="2"/>
  <c r="I86" i="2"/>
  <c r="H86" i="2"/>
  <c r="G86" i="2"/>
  <c r="G21" i="2" s="1"/>
  <c r="F86" i="2"/>
  <c r="J85" i="2"/>
  <c r="I85" i="2"/>
  <c r="H85" i="2"/>
  <c r="G85" i="2"/>
  <c r="F85" i="2"/>
  <c r="E85" i="2"/>
  <c r="J84" i="2"/>
  <c r="H84" i="2"/>
  <c r="G84" i="2"/>
  <c r="F84" i="2"/>
  <c r="J83" i="2"/>
  <c r="I83" i="2"/>
  <c r="G83" i="2"/>
  <c r="F83" i="2"/>
  <c r="I82" i="2"/>
  <c r="H82" i="2"/>
  <c r="G82" i="2"/>
  <c r="J81" i="2"/>
  <c r="I81" i="2"/>
  <c r="H81" i="2"/>
  <c r="G81" i="2"/>
  <c r="F81" i="2"/>
  <c r="E81" i="2"/>
  <c r="J80" i="2"/>
  <c r="I80" i="2"/>
  <c r="H80" i="2"/>
  <c r="G80" i="2"/>
  <c r="K80" i="2" s="1"/>
  <c r="F80" i="2"/>
  <c r="K79" i="2"/>
  <c r="J79" i="2"/>
  <c r="I79" i="2"/>
  <c r="H79" i="2"/>
  <c r="G79" i="2"/>
  <c r="F79" i="2"/>
  <c r="E79" i="2"/>
  <c r="J78" i="2"/>
  <c r="G78" i="2"/>
  <c r="F78" i="2"/>
  <c r="J77" i="2"/>
  <c r="I77" i="2"/>
  <c r="I74" i="2" s="1"/>
  <c r="I76" i="2"/>
  <c r="H76" i="2"/>
  <c r="J75" i="2"/>
  <c r="I75" i="2"/>
  <c r="H75" i="2"/>
  <c r="G75" i="2"/>
  <c r="F75" i="2"/>
  <c r="K73" i="2"/>
  <c r="E73" i="2"/>
  <c r="K72" i="2"/>
  <c r="E72" i="2"/>
  <c r="K71" i="2"/>
  <c r="E71" i="2"/>
  <c r="E694" i="2" s="1"/>
  <c r="K70" i="2"/>
  <c r="E70" i="2"/>
  <c r="K69" i="2"/>
  <c r="E69" i="2"/>
  <c r="K68" i="2"/>
  <c r="E68" i="2"/>
  <c r="K67" i="2"/>
  <c r="E67" i="2"/>
  <c r="K66" i="2"/>
  <c r="E66" i="2"/>
  <c r="K65" i="2"/>
  <c r="E65" i="2"/>
  <c r="K64" i="2"/>
  <c r="E64" i="2"/>
  <c r="K63" i="2"/>
  <c r="E63" i="2"/>
  <c r="K62" i="2"/>
  <c r="E62" i="2"/>
  <c r="J61" i="2"/>
  <c r="I61" i="2"/>
  <c r="H61" i="2"/>
  <c r="G61" i="2"/>
  <c r="F61" i="2"/>
  <c r="K61" i="2" s="1"/>
  <c r="E61" i="2"/>
  <c r="K60" i="2"/>
  <c r="E60" i="2"/>
  <c r="K59" i="2"/>
  <c r="E59" i="2"/>
  <c r="K58" i="2"/>
  <c r="E58" i="2"/>
  <c r="K57" i="2"/>
  <c r="E57" i="2"/>
  <c r="K56" i="2"/>
  <c r="E56" i="2"/>
  <c r="K55" i="2"/>
  <c r="E55" i="2"/>
  <c r="K54" i="2"/>
  <c r="E54" i="2"/>
  <c r="K53" i="2"/>
  <c r="E53" i="2"/>
  <c r="K52" i="2"/>
  <c r="E52" i="2"/>
  <c r="K51" i="2"/>
  <c r="E51" i="2"/>
  <c r="K50" i="2"/>
  <c r="E50" i="2"/>
  <c r="K49" i="2"/>
  <c r="E49" i="2"/>
  <c r="E48" i="2" s="1"/>
  <c r="J48" i="2"/>
  <c r="I48" i="2"/>
  <c r="H48" i="2"/>
  <c r="G48" i="2"/>
  <c r="F48" i="2"/>
  <c r="K47" i="2"/>
  <c r="E47" i="2"/>
  <c r="K46" i="2"/>
  <c r="E46" i="2"/>
  <c r="K45" i="2"/>
  <c r="E45" i="2"/>
  <c r="E32" i="2" s="1"/>
  <c r="K44" i="2"/>
  <c r="E44" i="2"/>
  <c r="K43" i="2"/>
  <c r="E43" i="2"/>
  <c r="K42" i="2"/>
  <c r="E42" i="2"/>
  <c r="K41" i="2"/>
  <c r="E41" i="2"/>
  <c r="E28" i="2" s="1"/>
  <c r="K40" i="2"/>
  <c r="E40" i="2"/>
  <c r="K39" i="2"/>
  <c r="E39" i="2"/>
  <c r="K38" i="2"/>
  <c r="E38" i="2"/>
  <c r="K37" i="2"/>
  <c r="E37" i="2"/>
  <c r="E24" i="2" s="1"/>
  <c r="K36" i="2"/>
  <c r="E36" i="2"/>
  <c r="E35" i="2" s="1"/>
  <c r="J35" i="2"/>
  <c r="I35" i="2"/>
  <c r="H35" i="2"/>
  <c r="G35" i="2"/>
  <c r="K35" i="2" s="1"/>
  <c r="F35" i="2"/>
  <c r="J34" i="2"/>
  <c r="I34" i="2"/>
  <c r="H34" i="2"/>
  <c r="G34" i="2"/>
  <c r="F34" i="2"/>
  <c r="K34" i="2" s="1"/>
  <c r="E34" i="2"/>
  <c r="J33" i="2"/>
  <c r="I33" i="2"/>
  <c r="I20" i="2" s="1"/>
  <c r="H33" i="2"/>
  <c r="H20" i="2" s="1"/>
  <c r="G33" i="2"/>
  <c r="F33" i="2"/>
  <c r="E33" i="2"/>
  <c r="J32" i="2"/>
  <c r="I32" i="2"/>
  <c r="H32" i="2"/>
  <c r="H19" i="2" s="1"/>
  <c r="G32" i="2"/>
  <c r="F32" i="2"/>
  <c r="J31" i="2"/>
  <c r="I31" i="2"/>
  <c r="H31" i="2"/>
  <c r="G31" i="2"/>
  <c r="F31" i="2"/>
  <c r="J30" i="2"/>
  <c r="J17" i="2" s="1"/>
  <c r="I30" i="2"/>
  <c r="H30" i="2"/>
  <c r="G30" i="2"/>
  <c r="F30" i="2"/>
  <c r="K30" i="2" s="1"/>
  <c r="E30" i="2"/>
  <c r="J29" i="2"/>
  <c r="I29" i="2"/>
  <c r="H29" i="2"/>
  <c r="G29" i="2"/>
  <c r="F29" i="2"/>
  <c r="E29" i="2"/>
  <c r="J28" i="2"/>
  <c r="I28" i="2"/>
  <c r="H28" i="2"/>
  <c r="G28" i="2"/>
  <c r="F28" i="2"/>
  <c r="J27" i="2"/>
  <c r="I27" i="2"/>
  <c r="H27" i="2"/>
  <c r="G27" i="2"/>
  <c r="F27" i="2"/>
  <c r="J26" i="2"/>
  <c r="J22" i="2" s="1"/>
  <c r="I26" i="2"/>
  <c r="H26" i="2"/>
  <c r="G26" i="2"/>
  <c r="F26" i="2"/>
  <c r="K26" i="2" s="1"/>
  <c r="E26" i="2"/>
  <c r="J25" i="2"/>
  <c r="I25" i="2"/>
  <c r="H25" i="2"/>
  <c r="G25" i="2"/>
  <c r="F25" i="2"/>
  <c r="E25" i="2"/>
  <c r="J24" i="2"/>
  <c r="I24" i="2"/>
  <c r="H24" i="2"/>
  <c r="G24" i="2"/>
  <c r="F24" i="2"/>
  <c r="J23" i="2"/>
  <c r="I23" i="2"/>
  <c r="H23" i="2"/>
  <c r="H22" i="2" s="1"/>
  <c r="G23" i="2"/>
  <c r="F23" i="2"/>
  <c r="J21" i="2"/>
  <c r="I21" i="2"/>
  <c r="H21" i="2"/>
  <c r="J20" i="2"/>
  <c r="G20" i="2"/>
  <c r="J19" i="2"/>
  <c r="J14" i="2"/>
  <c r="D661" i="1"/>
  <c r="D660" i="1"/>
  <c r="D659" i="1"/>
  <c r="D658" i="1" s="1"/>
  <c r="I658" i="1"/>
  <c r="H658" i="1"/>
  <c r="G658" i="1"/>
  <c r="F658" i="1"/>
  <c r="E658" i="1"/>
  <c r="H657" i="1"/>
  <c r="D657" i="1"/>
  <c r="H656" i="1"/>
  <c r="D656" i="1" s="1"/>
  <c r="H655" i="1"/>
  <c r="H654" i="1" s="1"/>
  <c r="D655" i="1"/>
  <c r="I654" i="1"/>
  <c r="G654" i="1"/>
  <c r="F654" i="1"/>
  <c r="E654" i="1"/>
  <c r="D653" i="1"/>
  <c r="D652" i="1"/>
  <c r="D651" i="1"/>
  <c r="D650" i="1" s="1"/>
  <c r="I650" i="1"/>
  <c r="H650" i="1"/>
  <c r="G650" i="1"/>
  <c r="F650" i="1"/>
  <c r="E650" i="1"/>
  <c r="D649" i="1"/>
  <c r="D648" i="1"/>
  <c r="D647" i="1"/>
  <c r="I646" i="1"/>
  <c r="H646" i="1"/>
  <c r="G646" i="1"/>
  <c r="F646" i="1"/>
  <c r="E646" i="1"/>
  <c r="D646" i="1"/>
  <c r="D645" i="1"/>
  <c r="D644" i="1"/>
  <c r="D643" i="1"/>
  <c r="I642" i="1"/>
  <c r="H642" i="1"/>
  <c r="G642" i="1"/>
  <c r="F642" i="1"/>
  <c r="E642" i="1"/>
  <c r="D642" i="1"/>
  <c r="D641" i="1"/>
  <c r="D640" i="1"/>
  <c r="D639" i="1"/>
  <c r="D638" i="1" s="1"/>
  <c r="I638" i="1"/>
  <c r="H638" i="1"/>
  <c r="G638" i="1"/>
  <c r="F638" i="1"/>
  <c r="E638" i="1"/>
  <c r="D637" i="1"/>
  <c r="D636" i="1"/>
  <c r="D635" i="1"/>
  <c r="D634" i="1" s="1"/>
  <c r="I634" i="1"/>
  <c r="H634" i="1"/>
  <c r="G634" i="1"/>
  <c r="F634" i="1"/>
  <c r="E634" i="1"/>
  <c r="G633" i="1"/>
  <c r="D633" i="1" s="1"/>
  <c r="G632" i="1"/>
  <c r="D632" i="1"/>
  <c r="G631" i="1"/>
  <c r="D631" i="1" s="1"/>
  <c r="I630" i="1"/>
  <c r="H630" i="1"/>
  <c r="F630" i="1"/>
  <c r="E630" i="1"/>
  <c r="G629" i="1"/>
  <c r="G628" i="1"/>
  <c r="D628" i="1"/>
  <c r="G627" i="1"/>
  <c r="G626" i="1" s="1"/>
  <c r="I626" i="1"/>
  <c r="H626" i="1"/>
  <c r="F626" i="1"/>
  <c r="E626" i="1"/>
  <c r="I625" i="1"/>
  <c r="I561" i="1" s="1"/>
  <c r="I557" i="1" s="1"/>
  <c r="H625" i="1"/>
  <c r="F625" i="1"/>
  <c r="E625" i="1"/>
  <c r="I624" i="1"/>
  <c r="H624" i="1"/>
  <c r="G624" i="1"/>
  <c r="G560" i="1" s="1"/>
  <c r="G556" i="1" s="1"/>
  <c r="F624" i="1"/>
  <c r="E624" i="1"/>
  <c r="I623" i="1"/>
  <c r="H623" i="1"/>
  <c r="H622" i="1" s="1"/>
  <c r="F623" i="1"/>
  <c r="E623" i="1"/>
  <c r="F622" i="1"/>
  <c r="I620" i="1"/>
  <c r="D620" i="1"/>
  <c r="I619" i="1"/>
  <c r="H618" i="1"/>
  <c r="G618" i="1"/>
  <c r="F618" i="1"/>
  <c r="E618" i="1"/>
  <c r="G617" i="1"/>
  <c r="D617" i="1" s="1"/>
  <c r="G616" i="1"/>
  <c r="D616" i="1"/>
  <c r="G615" i="1"/>
  <c r="D615" i="1" s="1"/>
  <c r="D614" i="1" s="1"/>
  <c r="I614" i="1"/>
  <c r="H614" i="1"/>
  <c r="F614" i="1"/>
  <c r="E614" i="1"/>
  <c r="G613" i="1"/>
  <c r="D613" i="1" s="1"/>
  <c r="G612" i="1"/>
  <c r="D612" i="1"/>
  <c r="G611" i="1"/>
  <c r="D611" i="1" s="1"/>
  <c r="I610" i="1"/>
  <c r="H610" i="1"/>
  <c r="G610" i="1"/>
  <c r="F610" i="1"/>
  <c r="E610" i="1"/>
  <c r="G609" i="1"/>
  <c r="D609" i="1" s="1"/>
  <c r="G608" i="1"/>
  <c r="D608" i="1"/>
  <c r="G607" i="1"/>
  <c r="D607" i="1" s="1"/>
  <c r="I606" i="1"/>
  <c r="H606" i="1"/>
  <c r="F606" i="1"/>
  <c r="E606" i="1"/>
  <c r="G605" i="1"/>
  <c r="D605" i="1" s="1"/>
  <c r="G604" i="1"/>
  <c r="D604" i="1"/>
  <c r="G603" i="1"/>
  <c r="D603" i="1" s="1"/>
  <c r="I602" i="1"/>
  <c r="H602" i="1"/>
  <c r="F602" i="1"/>
  <c r="E602" i="1"/>
  <c r="E601" i="1"/>
  <c r="D601" i="1" s="1"/>
  <c r="E600" i="1"/>
  <c r="D600" i="1"/>
  <c r="E599" i="1"/>
  <c r="I598" i="1"/>
  <c r="H598" i="1"/>
  <c r="G598" i="1"/>
  <c r="F598" i="1"/>
  <c r="E597" i="1"/>
  <c r="D597" i="1" s="1"/>
  <c r="E596" i="1"/>
  <c r="D596" i="1"/>
  <c r="E595" i="1"/>
  <c r="I594" i="1"/>
  <c r="H594" i="1"/>
  <c r="G594" i="1"/>
  <c r="F594" i="1"/>
  <c r="D593" i="1"/>
  <c r="F592" i="1"/>
  <c r="F590" i="1" s="1"/>
  <c r="D591" i="1"/>
  <c r="I590" i="1"/>
  <c r="H590" i="1"/>
  <c r="G590" i="1"/>
  <c r="E590" i="1"/>
  <c r="E589" i="1"/>
  <c r="D589" i="1"/>
  <c r="E588" i="1"/>
  <c r="D588" i="1" s="1"/>
  <c r="D586" i="1" s="1"/>
  <c r="E587" i="1"/>
  <c r="D587" i="1"/>
  <c r="I586" i="1"/>
  <c r="H586" i="1"/>
  <c r="G586" i="1"/>
  <c r="F586" i="1"/>
  <c r="E585" i="1"/>
  <c r="D585" i="1" s="1"/>
  <c r="E584" i="1"/>
  <c r="D584" i="1" s="1"/>
  <c r="E583" i="1"/>
  <c r="D583" i="1" s="1"/>
  <c r="D582" i="1" s="1"/>
  <c r="I582" i="1"/>
  <c r="H582" i="1"/>
  <c r="G582" i="1"/>
  <c r="F582" i="1"/>
  <c r="D581" i="1"/>
  <c r="D580" i="1"/>
  <c r="E579" i="1"/>
  <c r="D579" i="1" s="1"/>
  <c r="D578" i="1" s="1"/>
  <c r="I578" i="1"/>
  <c r="H578" i="1"/>
  <c r="G578" i="1"/>
  <c r="F578" i="1"/>
  <c r="D577" i="1"/>
  <c r="E576" i="1"/>
  <c r="D576" i="1"/>
  <c r="D574" i="1" s="1"/>
  <c r="D575" i="1"/>
  <c r="I574" i="1"/>
  <c r="H574" i="1"/>
  <c r="G574" i="1"/>
  <c r="F574" i="1"/>
  <c r="E574" i="1"/>
  <c r="E573" i="1"/>
  <c r="D573" i="1" s="1"/>
  <c r="E572" i="1"/>
  <c r="D572" i="1" s="1"/>
  <c r="E571" i="1"/>
  <c r="D571" i="1" s="1"/>
  <c r="I570" i="1"/>
  <c r="H570" i="1"/>
  <c r="G570" i="1"/>
  <c r="F570" i="1"/>
  <c r="E569" i="1"/>
  <c r="D569" i="1" s="1"/>
  <c r="E568" i="1"/>
  <c r="D568" i="1" s="1"/>
  <c r="E567" i="1"/>
  <c r="D567" i="1" s="1"/>
  <c r="I566" i="1"/>
  <c r="H566" i="1"/>
  <c r="G566" i="1"/>
  <c r="F566" i="1"/>
  <c r="G565" i="1"/>
  <c r="E565" i="1"/>
  <c r="G564" i="1"/>
  <c r="F564" i="1"/>
  <c r="D564" i="1" s="1"/>
  <c r="E564" i="1"/>
  <c r="I563" i="1"/>
  <c r="G563" i="1"/>
  <c r="E563" i="1"/>
  <c r="I562" i="1"/>
  <c r="H562" i="1"/>
  <c r="H558" i="1" s="1"/>
  <c r="H554" i="1" s="1"/>
  <c r="F562" i="1"/>
  <c r="F558" i="1" s="1"/>
  <c r="F554" i="1" s="1"/>
  <c r="E562" i="1"/>
  <c r="H561" i="1"/>
  <c r="H557" i="1" s="1"/>
  <c r="F561" i="1"/>
  <c r="F557" i="1" s="1"/>
  <c r="I560" i="1"/>
  <c r="H560" i="1"/>
  <c r="H556" i="1" s="1"/>
  <c r="F560" i="1"/>
  <c r="F556" i="1" s="1"/>
  <c r="E560" i="1"/>
  <c r="H559" i="1"/>
  <c r="H555" i="1" s="1"/>
  <c r="F559" i="1"/>
  <c r="F555" i="1" s="1"/>
  <c r="I556" i="1"/>
  <c r="E556" i="1"/>
  <c r="I553" i="1"/>
  <c r="H553" i="1"/>
  <c r="G553" i="1" s="1"/>
  <c r="F553" i="1" s="1"/>
  <c r="E553" i="1"/>
  <c r="I552" i="1"/>
  <c r="H552" i="1"/>
  <c r="G552" i="1" s="1"/>
  <c r="F552" i="1"/>
  <c r="E552" i="1"/>
  <c r="D552" i="1"/>
  <c r="I551" i="1"/>
  <c r="H551" i="1"/>
  <c r="G551" i="1" s="1"/>
  <c r="F551" i="1"/>
  <c r="D551" i="1" s="1"/>
  <c r="E551" i="1"/>
  <c r="I550" i="1"/>
  <c r="E550" i="1"/>
  <c r="I549" i="1"/>
  <c r="H549" i="1"/>
  <c r="G549" i="1" s="1"/>
  <c r="F549" i="1" s="1"/>
  <c r="D549" i="1" s="1"/>
  <c r="E549" i="1"/>
  <c r="I548" i="1"/>
  <c r="H548" i="1" s="1"/>
  <c r="E548" i="1"/>
  <c r="I547" i="1"/>
  <c r="H547" i="1"/>
  <c r="G547" i="1"/>
  <c r="F547" i="1"/>
  <c r="D547" i="1" s="1"/>
  <c r="E547" i="1"/>
  <c r="E546" i="1"/>
  <c r="I545" i="1"/>
  <c r="H545" i="1"/>
  <c r="G545" i="1"/>
  <c r="F545" i="1"/>
  <c r="D545" i="1" s="1"/>
  <c r="E545" i="1"/>
  <c r="I544" i="1"/>
  <c r="H544" i="1"/>
  <c r="G544" i="1" s="1"/>
  <c r="F544" i="1" s="1"/>
  <c r="D544" i="1" s="1"/>
  <c r="E544" i="1"/>
  <c r="I543" i="1"/>
  <c r="H543" i="1"/>
  <c r="G543" i="1"/>
  <c r="G542" i="1" s="1"/>
  <c r="F543" i="1"/>
  <c r="D543" i="1" s="1"/>
  <c r="E543" i="1"/>
  <c r="I542" i="1"/>
  <c r="H542" i="1"/>
  <c r="E542" i="1"/>
  <c r="H541" i="1"/>
  <c r="G541" i="1"/>
  <c r="F541" i="1"/>
  <c r="E541" i="1"/>
  <c r="D541" i="1" s="1"/>
  <c r="H540" i="1"/>
  <c r="G540" i="1"/>
  <c r="F540" i="1"/>
  <c r="E540" i="1" s="1"/>
  <c r="I539" i="1"/>
  <c r="I538" i="1" s="1"/>
  <c r="D539" i="1"/>
  <c r="H538" i="1"/>
  <c r="G538" i="1"/>
  <c r="F538" i="1"/>
  <c r="E537" i="1"/>
  <c r="D537" i="1"/>
  <c r="E536" i="1"/>
  <c r="D536" i="1"/>
  <c r="E535" i="1"/>
  <c r="E534" i="1" s="1"/>
  <c r="D535" i="1"/>
  <c r="D534" i="1" s="1"/>
  <c r="I534" i="1"/>
  <c r="H534" i="1"/>
  <c r="G534" i="1"/>
  <c r="F534" i="1"/>
  <c r="I531" i="1"/>
  <c r="I530" i="1" s="1"/>
  <c r="E531" i="1"/>
  <c r="D531" i="1" s="1"/>
  <c r="H530" i="1"/>
  <c r="G530" i="1"/>
  <c r="F530" i="1"/>
  <c r="D529" i="1"/>
  <c r="D528" i="1"/>
  <c r="E527" i="1"/>
  <c r="D527" i="1"/>
  <c r="D526" i="1" s="1"/>
  <c r="I526" i="1"/>
  <c r="H526" i="1"/>
  <c r="G526" i="1"/>
  <c r="F526" i="1"/>
  <c r="E526" i="1"/>
  <c r="D525" i="1"/>
  <c r="D524" i="1"/>
  <c r="D523" i="1"/>
  <c r="D522" i="1" s="1"/>
  <c r="D521" i="1"/>
  <c r="D520" i="1"/>
  <c r="E519" i="1"/>
  <c r="D519" i="1" s="1"/>
  <c r="D518" i="1" s="1"/>
  <c r="I518" i="1"/>
  <c r="H518" i="1"/>
  <c r="G518" i="1"/>
  <c r="F518" i="1"/>
  <c r="I515" i="1"/>
  <c r="I511" i="1" s="1"/>
  <c r="I510" i="1" s="1"/>
  <c r="H514" i="1"/>
  <c r="G514" i="1"/>
  <c r="F514" i="1"/>
  <c r="I513" i="1"/>
  <c r="H513" i="1"/>
  <c r="G513" i="1"/>
  <c r="F513" i="1"/>
  <c r="I512" i="1"/>
  <c r="H512" i="1"/>
  <c r="G512" i="1"/>
  <c r="F512" i="1"/>
  <c r="H511" i="1"/>
  <c r="G511" i="1"/>
  <c r="F511" i="1"/>
  <c r="F510" i="1" s="1"/>
  <c r="H510" i="1"/>
  <c r="G510" i="1"/>
  <c r="D509" i="1"/>
  <c r="D508" i="1"/>
  <c r="E507" i="1"/>
  <c r="D507" i="1"/>
  <c r="D506" i="1" s="1"/>
  <c r="I506" i="1"/>
  <c r="H506" i="1"/>
  <c r="G506" i="1"/>
  <c r="F506" i="1"/>
  <c r="E506" i="1"/>
  <c r="E505" i="1"/>
  <c r="D505" i="1"/>
  <c r="E504" i="1"/>
  <c r="D504" i="1" s="1"/>
  <c r="E503" i="1"/>
  <c r="D503" i="1"/>
  <c r="I502" i="1"/>
  <c r="H502" i="1"/>
  <c r="G502" i="1"/>
  <c r="F502" i="1"/>
  <c r="E502" i="1"/>
  <c r="E501" i="1"/>
  <c r="D501" i="1"/>
  <c r="E500" i="1"/>
  <c r="D500" i="1" s="1"/>
  <c r="E499" i="1"/>
  <c r="D499" i="1"/>
  <c r="D498" i="1" s="1"/>
  <c r="I498" i="1"/>
  <c r="H498" i="1"/>
  <c r="G498" i="1"/>
  <c r="F498" i="1"/>
  <c r="E498" i="1"/>
  <c r="I497" i="1"/>
  <c r="H497" i="1"/>
  <c r="G497" i="1"/>
  <c r="F497" i="1"/>
  <c r="E497" i="1"/>
  <c r="D497" i="1"/>
  <c r="I496" i="1"/>
  <c r="H496" i="1"/>
  <c r="G496" i="1"/>
  <c r="F496" i="1"/>
  <c r="E496" i="1"/>
  <c r="I495" i="1"/>
  <c r="H495" i="1"/>
  <c r="G495" i="1"/>
  <c r="F495" i="1"/>
  <c r="E495" i="1"/>
  <c r="D495" i="1"/>
  <c r="I494" i="1"/>
  <c r="H494" i="1"/>
  <c r="G494" i="1"/>
  <c r="F494" i="1"/>
  <c r="E494" i="1"/>
  <c r="D473" i="1"/>
  <c r="D472" i="1"/>
  <c r="D471" i="1"/>
  <c r="D470" i="1" s="1"/>
  <c r="I470" i="1"/>
  <c r="H470" i="1"/>
  <c r="G470" i="1"/>
  <c r="F470" i="1"/>
  <c r="E470" i="1"/>
  <c r="D469" i="1"/>
  <c r="D468" i="1"/>
  <c r="D463" i="1" s="1"/>
  <c r="D467" i="1"/>
  <c r="D466" i="1"/>
  <c r="D465" i="1"/>
  <c r="D464" i="1"/>
  <c r="I463" i="1"/>
  <c r="H463" i="1"/>
  <c r="G463" i="1"/>
  <c r="F463" i="1"/>
  <c r="E463" i="1"/>
  <c r="D451" i="1"/>
  <c r="D415" i="1" s="1"/>
  <c r="D412" i="1" s="1"/>
  <c r="D450" i="1"/>
  <c r="D449" i="1"/>
  <c r="I448" i="1"/>
  <c r="H448" i="1"/>
  <c r="G448" i="1"/>
  <c r="F448" i="1"/>
  <c r="E448" i="1"/>
  <c r="D448" i="1"/>
  <c r="I415" i="1"/>
  <c r="H415" i="1"/>
  <c r="G415" i="1"/>
  <c r="F415" i="1"/>
  <c r="E415" i="1"/>
  <c r="I414" i="1"/>
  <c r="H414" i="1"/>
  <c r="G414" i="1"/>
  <c r="F414" i="1"/>
  <c r="E414" i="1"/>
  <c r="D414" i="1"/>
  <c r="I413" i="1"/>
  <c r="I412" i="1" s="1"/>
  <c r="H413" i="1"/>
  <c r="G413" i="1"/>
  <c r="F413" i="1"/>
  <c r="F412" i="1" s="1"/>
  <c r="E413" i="1"/>
  <c r="E412" i="1" s="1"/>
  <c r="D413" i="1"/>
  <c r="H412" i="1"/>
  <c r="G412" i="1"/>
  <c r="J411" i="1"/>
  <c r="D411" i="1"/>
  <c r="J410" i="1"/>
  <c r="D410" i="1"/>
  <c r="J409" i="1"/>
  <c r="D409" i="1"/>
  <c r="H408" i="1"/>
  <c r="G408" i="1"/>
  <c r="F408" i="1"/>
  <c r="E408" i="1"/>
  <c r="J408" i="1" s="1"/>
  <c r="D408" i="1"/>
  <c r="J407" i="1"/>
  <c r="D407" i="1"/>
  <c r="J406" i="1"/>
  <c r="D406" i="1"/>
  <c r="J405" i="1"/>
  <c r="D405" i="1"/>
  <c r="H404" i="1"/>
  <c r="G404" i="1"/>
  <c r="F404" i="1"/>
  <c r="E404" i="1"/>
  <c r="J404" i="1" s="1"/>
  <c r="D404" i="1"/>
  <c r="J403" i="1"/>
  <c r="D403" i="1"/>
  <c r="J402" i="1"/>
  <c r="D402" i="1"/>
  <c r="J401" i="1"/>
  <c r="D401" i="1"/>
  <c r="H400" i="1"/>
  <c r="G400" i="1"/>
  <c r="F400" i="1"/>
  <c r="E400" i="1"/>
  <c r="J400" i="1" s="1"/>
  <c r="D400" i="1"/>
  <c r="J399" i="1"/>
  <c r="D399" i="1"/>
  <c r="J398" i="1"/>
  <c r="D398" i="1"/>
  <c r="J397" i="1"/>
  <c r="D397" i="1"/>
  <c r="H396" i="1"/>
  <c r="G396" i="1"/>
  <c r="F396" i="1"/>
  <c r="E396" i="1"/>
  <c r="J396" i="1" s="1"/>
  <c r="D396" i="1"/>
  <c r="J395" i="1"/>
  <c r="D395" i="1"/>
  <c r="J394" i="1"/>
  <c r="D394" i="1"/>
  <c r="J393" i="1"/>
  <c r="D393" i="1"/>
  <c r="H392" i="1"/>
  <c r="G392" i="1"/>
  <c r="F392" i="1"/>
  <c r="F391" i="1" s="1"/>
  <c r="F390" i="1" s="1"/>
  <c r="E392" i="1"/>
  <c r="J392" i="1" s="1"/>
  <c r="D392" i="1"/>
  <c r="G391" i="1"/>
  <c r="G390" i="1" s="1"/>
  <c r="E391" i="1"/>
  <c r="J391" i="1" s="1"/>
  <c r="H388" i="1"/>
  <c r="H386" i="1"/>
  <c r="H385" i="1"/>
  <c r="H384" i="1" s="1"/>
  <c r="G383" i="1"/>
  <c r="D383" i="1" s="1"/>
  <c r="F383" i="1"/>
  <c r="G382" i="1"/>
  <c r="D382" i="1" s="1"/>
  <c r="F382" i="1"/>
  <c r="J381" i="1"/>
  <c r="D381" i="1"/>
  <c r="D380" i="1" s="1"/>
  <c r="I380" i="1"/>
  <c r="H380" i="1"/>
  <c r="G380" i="1"/>
  <c r="F380" i="1"/>
  <c r="E380" i="1"/>
  <c r="J380" i="1" s="1"/>
  <c r="J379" i="1"/>
  <c r="D379" i="1"/>
  <c r="J378" i="1"/>
  <c r="H377" i="1"/>
  <c r="H376" i="1" s="1"/>
  <c r="G377" i="1"/>
  <c r="E377" i="1"/>
  <c r="J377" i="1" s="1"/>
  <c r="I376" i="1"/>
  <c r="G376" i="1"/>
  <c r="F376" i="1"/>
  <c r="J375" i="1"/>
  <c r="D375" i="1"/>
  <c r="D371" i="1" s="1"/>
  <c r="D347" i="1" s="1"/>
  <c r="J374" i="1"/>
  <c r="D374" i="1"/>
  <c r="D370" i="1" s="1"/>
  <c r="D346" i="1" s="1"/>
  <c r="J373" i="1"/>
  <c r="D373" i="1"/>
  <c r="D372" i="1" s="1"/>
  <c r="I372" i="1"/>
  <c r="H372" i="1"/>
  <c r="G372" i="1"/>
  <c r="F372" i="1"/>
  <c r="E372" i="1"/>
  <c r="J372" i="1" s="1"/>
  <c r="I371" i="1"/>
  <c r="H371" i="1"/>
  <c r="F371" i="1"/>
  <c r="E371" i="1"/>
  <c r="I370" i="1"/>
  <c r="I368" i="1" s="1"/>
  <c r="H370" i="1"/>
  <c r="F370" i="1"/>
  <c r="E370" i="1"/>
  <c r="I369" i="1"/>
  <c r="H369" i="1"/>
  <c r="H368" i="1" s="1"/>
  <c r="G369" i="1"/>
  <c r="F369" i="1"/>
  <c r="F368" i="1" s="1"/>
  <c r="J367" i="1"/>
  <c r="D367" i="1"/>
  <c r="J366" i="1"/>
  <c r="D366" i="1"/>
  <c r="J365" i="1"/>
  <c r="D365" i="1"/>
  <c r="I364" i="1"/>
  <c r="H364" i="1"/>
  <c r="G364" i="1"/>
  <c r="F364" i="1"/>
  <c r="J364" i="1" s="1"/>
  <c r="E364" i="1"/>
  <c r="D364" i="1"/>
  <c r="J363" i="1"/>
  <c r="D363" i="1"/>
  <c r="J362" i="1"/>
  <c r="D362" i="1"/>
  <c r="J361" i="1"/>
  <c r="D361" i="1"/>
  <c r="D360" i="1" s="1"/>
  <c r="I360" i="1"/>
  <c r="H360" i="1"/>
  <c r="G360" i="1"/>
  <c r="F360" i="1"/>
  <c r="E360" i="1"/>
  <c r="J360" i="1" s="1"/>
  <c r="J359" i="1"/>
  <c r="D359" i="1"/>
  <c r="J358" i="1"/>
  <c r="D358" i="1"/>
  <c r="J357" i="1"/>
  <c r="D357" i="1"/>
  <c r="I356" i="1"/>
  <c r="H356" i="1"/>
  <c r="G356" i="1"/>
  <c r="F356" i="1"/>
  <c r="J356" i="1" s="1"/>
  <c r="E356" i="1"/>
  <c r="D356" i="1"/>
  <c r="J355" i="1"/>
  <c r="D355" i="1"/>
  <c r="J354" i="1"/>
  <c r="D354" i="1"/>
  <c r="J353" i="1"/>
  <c r="D353" i="1"/>
  <c r="D352" i="1" s="1"/>
  <c r="I352" i="1"/>
  <c r="H352" i="1"/>
  <c r="G352" i="1"/>
  <c r="F352" i="1"/>
  <c r="E352" i="1"/>
  <c r="J352" i="1" s="1"/>
  <c r="J351" i="1"/>
  <c r="D351" i="1"/>
  <c r="J350" i="1"/>
  <c r="D350" i="1"/>
  <c r="J349" i="1"/>
  <c r="D349" i="1"/>
  <c r="I348" i="1"/>
  <c r="H348" i="1"/>
  <c r="G348" i="1"/>
  <c r="F348" i="1"/>
  <c r="J348" i="1" s="1"/>
  <c r="E348" i="1"/>
  <c r="D348" i="1"/>
  <c r="I347" i="1"/>
  <c r="H347" i="1"/>
  <c r="H339" i="1" s="1"/>
  <c r="H13" i="1" s="1"/>
  <c r="E347" i="1"/>
  <c r="H346" i="1"/>
  <c r="F346" i="1"/>
  <c r="I345" i="1"/>
  <c r="I337" i="1" s="1"/>
  <c r="G345" i="1"/>
  <c r="F345" i="1"/>
  <c r="F337" i="1" s="1"/>
  <c r="J343" i="1"/>
  <c r="J342" i="1"/>
  <c r="J341" i="1"/>
  <c r="I340" i="1"/>
  <c r="H340" i="1"/>
  <c r="G340" i="1"/>
  <c r="F340" i="1"/>
  <c r="J340" i="1" s="1"/>
  <c r="E340" i="1"/>
  <c r="D340" i="1"/>
  <c r="I339" i="1"/>
  <c r="E339" i="1"/>
  <c r="H338" i="1"/>
  <c r="G337" i="1"/>
  <c r="J335" i="1"/>
  <c r="D335" i="1"/>
  <c r="J334" i="1"/>
  <c r="D334" i="1"/>
  <c r="J333" i="1"/>
  <c r="D333" i="1"/>
  <c r="D332" i="1" s="1"/>
  <c r="I332" i="1"/>
  <c r="H332" i="1"/>
  <c r="H331" i="1" s="1"/>
  <c r="H330" i="1" s="1"/>
  <c r="H329" i="1" s="1"/>
  <c r="H328" i="1" s="1"/>
  <c r="F332" i="1"/>
  <c r="F331" i="1" s="1"/>
  <c r="E332" i="1"/>
  <c r="J332" i="1" s="1"/>
  <c r="I331" i="1"/>
  <c r="I330" i="1" s="1"/>
  <c r="I329" i="1" s="1"/>
  <c r="I328" i="1" s="1"/>
  <c r="E331" i="1"/>
  <c r="J331" i="1" s="1"/>
  <c r="G328" i="1"/>
  <c r="J327" i="1"/>
  <c r="D327" i="1"/>
  <c r="J326" i="1"/>
  <c r="D326" i="1"/>
  <c r="J325" i="1"/>
  <c r="D325" i="1"/>
  <c r="I324" i="1"/>
  <c r="H324" i="1"/>
  <c r="G324" i="1"/>
  <c r="F324" i="1"/>
  <c r="J324" i="1" s="1"/>
  <c r="E324" i="1"/>
  <c r="D324" i="1"/>
  <c r="J323" i="1"/>
  <c r="D323" i="1"/>
  <c r="J322" i="1"/>
  <c r="D322" i="1"/>
  <c r="J321" i="1"/>
  <c r="D321" i="1"/>
  <c r="D320" i="1" s="1"/>
  <c r="I320" i="1"/>
  <c r="H320" i="1"/>
  <c r="G320" i="1"/>
  <c r="F320" i="1"/>
  <c r="E320" i="1"/>
  <c r="J320" i="1" s="1"/>
  <c r="J319" i="1"/>
  <c r="D319" i="1"/>
  <c r="J318" i="1"/>
  <c r="D318" i="1"/>
  <c r="J317" i="1"/>
  <c r="D317" i="1"/>
  <c r="I316" i="1"/>
  <c r="H316" i="1"/>
  <c r="G316" i="1"/>
  <c r="F316" i="1"/>
  <c r="J316" i="1" s="1"/>
  <c r="E316" i="1"/>
  <c r="D316" i="1"/>
  <c r="G315" i="1"/>
  <c r="J315" i="1" s="1"/>
  <c r="J314" i="1"/>
  <c r="G314" i="1"/>
  <c r="D314" i="1"/>
  <c r="G313" i="1"/>
  <c r="D313" i="1" s="1"/>
  <c r="I312" i="1"/>
  <c r="H312" i="1"/>
  <c r="F312" i="1"/>
  <c r="E312" i="1"/>
  <c r="J311" i="1"/>
  <c r="D311" i="1"/>
  <c r="J310" i="1"/>
  <c r="D310" i="1"/>
  <c r="J309" i="1"/>
  <c r="D309" i="1"/>
  <c r="J308" i="1"/>
  <c r="D308" i="1"/>
  <c r="J307" i="1"/>
  <c r="D307" i="1"/>
  <c r="J306" i="1"/>
  <c r="D306" i="1"/>
  <c r="G305" i="1"/>
  <c r="J305" i="1" s="1"/>
  <c r="I304" i="1"/>
  <c r="H304" i="1"/>
  <c r="F304" i="1"/>
  <c r="E304" i="1"/>
  <c r="J303" i="1"/>
  <c r="D303" i="1"/>
  <c r="J302" i="1"/>
  <c r="D302" i="1"/>
  <c r="G301" i="1"/>
  <c r="D301" i="1" s="1"/>
  <c r="D300" i="1" s="1"/>
  <c r="I300" i="1"/>
  <c r="H300" i="1"/>
  <c r="F300" i="1"/>
  <c r="E300" i="1"/>
  <c r="E299" i="1"/>
  <c r="E275" i="1" s="1"/>
  <c r="J298" i="1"/>
  <c r="E298" i="1"/>
  <c r="D298" i="1"/>
  <c r="E297" i="1"/>
  <c r="D297" i="1" s="1"/>
  <c r="I296" i="1"/>
  <c r="H296" i="1"/>
  <c r="G296" i="1"/>
  <c r="F296" i="1"/>
  <c r="J295" i="1"/>
  <c r="D295" i="1"/>
  <c r="J294" i="1"/>
  <c r="D294" i="1"/>
  <c r="G293" i="1"/>
  <c r="J293" i="1" s="1"/>
  <c r="I292" i="1"/>
  <c r="H292" i="1"/>
  <c r="F292" i="1"/>
  <c r="E292" i="1"/>
  <c r="G291" i="1"/>
  <c r="D291" i="1" s="1"/>
  <c r="J290" i="1"/>
  <c r="G290" i="1"/>
  <c r="D290" i="1"/>
  <c r="G289" i="1"/>
  <c r="J289" i="1" s="1"/>
  <c r="I288" i="1"/>
  <c r="H288" i="1"/>
  <c r="F288" i="1"/>
  <c r="E288" i="1"/>
  <c r="J287" i="1"/>
  <c r="D287" i="1"/>
  <c r="J286" i="1"/>
  <c r="D286" i="1"/>
  <c r="E285" i="1"/>
  <c r="D285" i="1" s="1"/>
  <c r="D284" i="1" s="1"/>
  <c r="I284" i="1"/>
  <c r="H284" i="1"/>
  <c r="G284" i="1"/>
  <c r="F284" i="1"/>
  <c r="J283" i="1"/>
  <c r="D283" i="1"/>
  <c r="J282" i="1"/>
  <c r="D282" i="1"/>
  <c r="G281" i="1"/>
  <c r="D281" i="1" s="1"/>
  <c r="D280" i="1" s="1"/>
  <c r="E281" i="1"/>
  <c r="I280" i="1"/>
  <c r="H280" i="1"/>
  <c r="F280" i="1"/>
  <c r="E280" i="1"/>
  <c r="J279" i="1"/>
  <c r="D279" i="1"/>
  <c r="J278" i="1"/>
  <c r="D278" i="1"/>
  <c r="G277" i="1"/>
  <c r="E277" i="1"/>
  <c r="J277" i="1" s="1"/>
  <c r="D277" i="1"/>
  <c r="D276" i="1" s="1"/>
  <c r="I276" i="1"/>
  <c r="H276" i="1"/>
  <c r="G276" i="1"/>
  <c r="F276" i="1"/>
  <c r="I275" i="1"/>
  <c r="H275" i="1"/>
  <c r="G275" i="1"/>
  <c r="F275" i="1"/>
  <c r="I274" i="1"/>
  <c r="H274" i="1"/>
  <c r="G274" i="1"/>
  <c r="F274" i="1"/>
  <c r="F272" i="1" s="1"/>
  <c r="E274" i="1"/>
  <c r="D274" i="1" s="1"/>
  <c r="I273" i="1"/>
  <c r="I272" i="1" s="1"/>
  <c r="H273" i="1"/>
  <c r="H272" i="1" s="1"/>
  <c r="F273" i="1"/>
  <c r="E273" i="1"/>
  <c r="D263" i="1"/>
  <c r="D260" i="1" s="1"/>
  <c r="D262" i="1"/>
  <c r="D261" i="1"/>
  <c r="I260" i="1"/>
  <c r="H260" i="1"/>
  <c r="G260" i="1"/>
  <c r="F260" i="1"/>
  <c r="E260" i="1"/>
  <c r="J260" i="1" s="1"/>
  <c r="J259" i="1"/>
  <c r="D259" i="1"/>
  <c r="J258" i="1"/>
  <c r="D258" i="1"/>
  <c r="J257" i="1"/>
  <c r="D257" i="1"/>
  <c r="D256" i="1" s="1"/>
  <c r="H256" i="1"/>
  <c r="G256" i="1"/>
  <c r="F256" i="1"/>
  <c r="E256" i="1"/>
  <c r="J256" i="1" s="1"/>
  <c r="I255" i="1"/>
  <c r="H255" i="1"/>
  <c r="G255" i="1"/>
  <c r="F255" i="1"/>
  <c r="E255" i="1"/>
  <c r="J255" i="1" s="1"/>
  <c r="D255" i="1"/>
  <c r="D247" i="1" s="1"/>
  <c r="I254" i="1"/>
  <c r="H254" i="1"/>
  <c r="H252" i="1" s="1"/>
  <c r="G254" i="1"/>
  <c r="D254" i="1" s="1"/>
  <c r="F254" i="1"/>
  <c r="J254" i="1" s="1"/>
  <c r="E254" i="1"/>
  <c r="I253" i="1"/>
  <c r="H253" i="1"/>
  <c r="G253" i="1"/>
  <c r="G252" i="1" s="1"/>
  <c r="F253" i="1"/>
  <c r="F252" i="1" s="1"/>
  <c r="E253" i="1"/>
  <c r="D253" i="1" s="1"/>
  <c r="I252" i="1"/>
  <c r="E252" i="1"/>
  <c r="J251" i="1"/>
  <c r="D251" i="1"/>
  <c r="J250" i="1"/>
  <c r="D250" i="1"/>
  <c r="J249" i="1"/>
  <c r="D249" i="1"/>
  <c r="J248" i="1"/>
  <c r="D248" i="1"/>
  <c r="J247" i="1"/>
  <c r="I246" i="1"/>
  <c r="I238" i="1" s="1"/>
  <c r="H246" i="1"/>
  <c r="G246" i="1"/>
  <c r="F246" i="1"/>
  <c r="F238" i="1" s="1"/>
  <c r="E246" i="1"/>
  <c r="D246" i="1" s="1"/>
  <c r="D234" i="1" s="1"/>
  <c r="I245" i="1"/>
  <c r="I237" i="1" s="1"/>
  <c r="H245" i="1"/>
  <c r="H237" i="1" s="1"/>
  <c r="G245" i="1"/>
  <c r="F245" i="1"/>
  <c r="F243" i="1" s="1"/>
  <c r="E245" i="1"/>
  <c r="D245" i="1" s="1"/>
  <c r="D233" i="1" s="1"/>
  <c r="H244" i="1"/>
  <c r="H236" i="1" s="1"/>
  <c r="G244" i="1"/>
  <c r="G236" i="1" s="1"/>
  <c r="F244" i="1"/>
  <c r="E244" i="1"/>
  <c r="G243" i="1"/>
  <c r="J242" i="1"/>
  <c r="D242" i="1"/>
  <c r="J241" i="1"/>
  <c r="D241" i="1"/>
  <c r="J240" i="1"/>
  <c r="D240" i="1"/>
  <c r="I239" i="1"/>
  <c r="H239" i="1"/>
  <c r="G239" i="1"/>
  <c r="F239" i="1"/>
  <c r="E239" i="1"/>
  <c r="J239" i="1" s="1"/>
  <c r="D239" i="1"/>
  <c r="H238" i="1"/>
  <c r="G238" i="1"/>
  <c r="G237" i="1"/>
  <c r="F237" i="1"/>
  <c r="F236" i="1"/>
  <c r="F235" i="1" s="1"/>
  <c r="E236" i="1"/>
  <c r="H234" i="1"/>
  <c r="G234" i="1"/>
  <c r="G233" i="1"/>
  <c r="F233" i="1"/>
  <c r="F232" i="1"/>
  <c r="E232" i="1"/>
  <c r="J230" i="1"/>
  <c r="D230" i="1"/>
  <c r="J229" i="1"/>
  <c r="D229" i="1"/>
  <c r="D227" i="1" s="1"/>
  <c r="J228" i="1"/>
  <c r="D228" i="1"/>
  <c r="I227" i="1"/>
  <c r="H227" i="1"/>
  <c r="G227" i="1"/>
  <c r="F227" i="1"/>
  <c r="E227" i="1"/>
  <c r="J227" i="1" s="1"/>
  <c r="J226" i="1"/>
  <c r="D226" i="1"/>
  <c r="J225" i="1"/>
  <c r="D225" i="1"/>
  <c r="J224" i="1"/>
  <c r="D224" i="1"/>
  <c r="D223" i="1" s="1"/>
  <c r="I223" i="1"/>
  <c r="H223" i="1"/>
  <c r="G223" i="1"/>
  <c r="F223" i="1"/>
  <c r="J223" i="1" s="1"/>
  <c r="E223" i="1"/>
  <c r="J222" i="1"/>
  <c r="D222" i="1"/>
  <c r="J221" i="1"/>
  <c r="D221" i="1"/>
  <c r="J220" i="1"/>
  <c r="D220" i="1"/>
  <c r="D219" i="1" s="1"/>
  <c r="I219" i="1"/>
  <c r="H219" i="1"/>
  <c r="G219" i="1"/>
  <c r="F219" i="1"/>
  <c r="J219" i="1" s="1"/>
  <c r="E219" i="1"/>
  <c r="J218" i="1"/>
  <c r="G218" i="1"/>
  <c r="E218" i="1"/>
  <c r="D218" i="1"/>
  <c r="J217" i="1"/>
  <c r="G217" i="1"/>
  <c r="E217" i="1"/>
  <c r="D217" i="1"/>
  <c r="J216" i="1"/>
  <c r="G216" i="1"/>
  <c r="E216" i="1"/>
  <c r="D216" i="1"/>
  <c r="D215" i="1" s="1"/>
  <c r="I215" i="1"/>
  <c r="H215" i="1"/>
  <c r="G215" i="1"/>
  <c r="E215" i="1"/>
  <c r="J215" i="1" s="1"/>
  <c r="E214" i="1"/>
  <c r="J214" i="1" s="1"/>
  <c r="D214" i="1"/>
  <c r="J213" i="1"/>
  <c r="E213" i="1"/>
  <c r="D213" i="1"/>
  <c r="J212" i="1"/>
  <c r="E212" i="1"/>
  <c r="D212" i="1" s="1"/>
  <c r="D211" i="1" s="1"/>
  <c r="I211" i="1"/>
  <c r="H211" i="1"/>
  <c r="G211" i="1"/>
  <c r="F211" i="1"/>
  <c r="E211" i="1"/>
  <c r="J211" i="1" s="1"/>
  <c r="E210" i="1"/>
  <c r="J210" i="1" s="1"/>
  <c r="D210" i="1"/>
  <c r="J209" i="1"/>
  <c r="E209" i="1"/>
  <c r="D209" i="1"/>
  <c r="J208" i="1"/>
  <c r="E208" i="1"/>
  <c r="D208" i="1" s="1"/>
  <c r="D207" i="1" s="1"/>
  <c r="I207" i="1"/>
  <c r="H207" i="1"/>
  <c r="G207" i="1"/>
  <c r="F207" i="1"/>
  <c r="E207" i="1"/>
  <c r="J207" i="1" s="1"/>
  <c r="E206" i="1"/>
  <c r="J206" i="1" s="1"/>
  <c r="D206" i="1"/>
  <c r="J205" i="1"/>
  <c r="E205" i="1"/>
  <c r="D205" i="1"/>
  <c r="J204" i="1"/>
  <c r="E204" i="1"/>
  <c r="D204" i="1" s="1"/>
  <c r="D203" i="1" s="1"/>
  <c r="I203" i="1"/>
  <c r="H203" i="1"/>
  <c r="G203" i="1"/>
  <c r="F203" i="1"/>
  <c r="E203" i="1"/>
  <c r="J203" i="1" s="1"/>
  <c r="E202" i="1"/>
  <c r="J202" i="1" s="1"/>
  <c r="D202" i="1"/>
  <c r="J201" i="1"/>
  <c r="E201" i="1"/>
  <c r="D201" i="1"/>
  <c r="J200" i="1"/>
  <c r="E200" i="1"/>
  <c r="D200" i="1" s="1"/>
  <c r="D199" i="1" s="1"/>
  <c r="I199" i="1"/>
  <c r="H199" i="1"/>
  <c r="G199" i="1"/>
  <c r="F199" i="1"/>
  <c r="E199" i="1"/>
  <c r="J199" i="1" s="1"/>
  <c r="E198" i="1"/>
  <c r="J198" i="1" s="1"/>
  <c r="D198" i="1"/>
  <c r="J197" i="1"/>
  <c r="E197" i="1"/>
  <c r="D197" i="1"/>
  <c r="J196" i="1"/>
  <c r="E196" i="1"/>
  <c r="D196" i="1" s="1"/>
  <c r="D195" i="1" s="1"/>
  <c r="I195" i="1"/>
  <c r="H195" i="1"/>
  <c r="G195" i="1"/>
  <c r="F195" i="1"/>
  <c r="E195" i="1"/>
  <c r="J195" i="1" s="1"/>
  <c r="J194" i="1"/>
  <c r="D194" i="1"/>
  <c r="J193" i="1"/>
  <c r="D193" i="1"/>
  <c r="E192" i="1"/>
  <c r="J192" i="1" s="1"/>
  <c r="D192" i="1"/>
  <c r="D191" i="1" s="1"/>
  <c r="I191" i="1"/>
  <c r="H191" i="1"/>
  <c r="G191" i="1"/>
  <c r="F191" i="1"/>
  <c r="E190" i="1"/>
  <c r="D190" i="1" s="1"/>
  <c r="E189" i="1"/>
  <c r="J189" i="1" s="1"/>
  <c r="D189" i="1"/>
  <c r="E188" i="1"/>
  <c r="J188" i="1" s="1"/>
  <c r="D188" i="1"/>
  <c r="D187" i="1" s="1"/>
  <c r="I187" i="1"/>
  <c r="H187" i="1"/>
  <c r="G187" i="1"/>
  <c r="F187" i="1"/>
  <c r="E186" i="1"/>
  <c r="D186" i="1" s="1"/>
  <c r="E185" i="1"/>
  <c r="J185" i="1" s="1"/>
  <c r="D185" i="1"/>
  <c r="E184" i="1"/>
  <c r="J184" i="1" s="1"/>
  <c r="D184" i="1"/>
  <c r="D183" i="1" s="1"/>
  <c r="I183" i="1"/>
  <c r="H183" i="1"/>
  <c r="G183" i="1"/>
  <c r="F183" i="1"/>
  <c r="I182" i="1"/>
  <c r="H182" i="1"/>
  <c r="G182" i="1"/>
  <c r="F182" i="1"/>
  <c r="E182" i="1"/>
  <c r="D182" i="1" s="1"/>
  <c r="I181" i="1"/>
  <c r="H181" i="1"/>
  <c r="G181" i="1"/>
  <c r="F181" i="1"/>
  <c r="E181" i="1"/>
  <c r="J181" i="1" s="1"/>
  <c r="D181" i="1"/>
  <c r="I180" i="1"/>
  <c r="I179" i="1" s="1"/>
  <c r="H180" i="1"/>
  <c r="H179" i="1" s="1"/>
  <c r="G180" i="1"/>
  <c r="D180" i="1" s="1"/>
  <c r="D179" i="1" s="1"/>
  <c r="F180" i="1"/>
  <c r="E180" i="1"/>
  <c r="J180" i="1" s="1"/>
  <c r="F179" i="1"/>
  <c r="E178" i="1"/>
  <c r="D178" i="1" s="1"/>
  <c r="E177" i="1"/>
  <c r="J177" i="1" s="1"/>
  <c r="D177" i="1"/>
  <c r="E176" i="1"/>
  <c r="J176" i="1" s="1"/>
  <c r="D176" i="1"/>
  <c r="D175" i="1" s="1"/>
  <c r="I175" i="1"/>
  <c r="H175" i="1"/>
  <c r="G175" i="1"/>
  <c r="F175" i="1"/>
  <c r="E174" i="1"/>
  <c r="D174" i="1" s="1"/>
  <c r="E173" i="1"/>
  <c r="J173" i="1" s="1"/>
  <c r="D173" i="1"/>
  <c r="E172" i="1"/>
  <c r="J172" i="1" s="1"/>
  <c r="D172" i="1"/>
  <c r="D171" i="1" s="1"/>
  <c r="I171" i="1"/>
  <c r="H171" i="1"/>
  <c r="G171" i="1"/>
  <c r="F171" i="1"/>
  <c r="E170" i="1"/>
  <c r="D170" i="1" s="1"/>
  <c r="E169" i="1"/>
  <c r="J169" i="1" s="1"/>
  <c r="D169" i="1"/>
  <c r="E168" i="1"/>
  <c r="J168" i="1" s="1"/>
  <c r="D168" i="1"/>
  <c r="D167" i="1" s="1"/>
  <c r="I167" i="1"/>
  <c r="H167" i="1"/>
  <c r="G167" i="1"/>
  <c r="F167" i="1"/>
  <c r="E166" i="1"/>
  <c r="D166" i="1" s="1"/>
  <c r="E165" i="1"/>
  <c r="J165" i="1" s="1"/>
  <c r="D165" i="1"/>
  <c r="E164" i="1"/>
  <c r="J164" i="1" s="1"/>
  <c r="D164" i="1"/>
  <c r="D163" i="1" s="1"/>
  <c r="I163" i="1"/>
  <c r="H163" i="1"/>
  <c r="G163" i="1"/>
  <c r="F163" i="1"/>
  <c r="E162" i="1"/>
  <c r="D162" i="1" s="1"/>
  <c r="E161" i="1"/>
  <c r="J161" i="1" s="1"/>
  <c r="D161" i="1"/>
  <c r="E160" i="1"/>
  <c r="J160" i="1" s="1"/>
  <c r="D160" i="1"/>
  <c r="D159" i="1" s="1"/>
  <c r="I159" i="1"/>
  <c r="H159" i="1"/>
  <c r="G159" i="1"/>
  <c r="F159" i="1"/>
  <c r="E158" i="1"/>
  <c r="D158" i="1" s="1"/>
  <c r="E157" i="1"/>
  <c r="J157" i="1" s="1"/>
  <c r="D157" i="1"/>
  <c r="E156" i="1"/>
  <c r="J156" i="1" s="1"/>
  <c r="D156" i="1"/>
  <c r="D155" i="1" s="1"/>
  <c r="I155" i="1"/>
  <c r="H155" i="1"/>
  <c r="G155" i="1"/>
  <c r="F155" i="1"/>
  <c r="E154" i="1"/>
  <c r="D154" i="1" s="1"/>
  <c r="E153" i="1"/>
  <c r="J153" i="1" s="1"/>
  <c r="D153" i="1"/>
  <c r="E152" i="1"/>
  <c r="J152" i="1" s="1"/>
  <c r="D152" i="1"/>
  <c r="D151" i="1" s="1"/>
  <c r="I151" i="1"/>
  <c r="H151" i="1"/>
  <c r="G151" i="1"/>
  <c r="F151" i="1"/>
  <c r="E150" i="1"/>
  <c r="D150" i="1" s="1"/>
  <c r="E149" i="1"/>
  <c r="J149" i="1" s="1"/>
  <c r="D149" i="1"/>
  <c r="E148" i="1"/>
  <c r="J148" i="1" s="1"/>
  <c r="D148" i="1"/>
  <c r="D147" i="1" s="1"/>
  <c r="I147" i="1"/>
  <c r="H147" i="1"/>
  <c r="G147" i="1"/>
  <c r="F147" i="1"/>
  <c r="E146" i="1"/>
  <c r="D146" i="1" s="1"/>
  <c r="E145" i="1"/>
  <c r="J145" i="1" s="1"/>
  <c r="D145" i="1"/>
  <c r="E144" i="1"/>
  <c r="J144" i="1" s="1"/>
  <c r="D144" i="1"/>
  <c r="D143" i="1" s="1"/>
  <c r="I143" i="1"/>
  <c r="H143" i="1"/>
  <c r="G143" i="1"/>
  <c r="F143" i="1"/>
  <c r="E142" i="1"/>
  <c r="D142" i="1" s="1"/>
  <c r="E141" i="1"/>
  <c r="J141" i="1" s="1"/>
  <c r="D141" i="1"/>
  <c r="E140" i="1"/>
  <c r="J140" i="1" s="1"/>
  <c r="D140" i="1"/>
  <c r="D139" i="1" s="1"/>
  <c r="I139" i="1"/>
  <c r="H139" i="1"/>
  <c r="G139" i="1"/>
  <c r="F139" i="1"/>
  <c r="J138" i="1"/>
  <c r="D138" i="1"/>
  <c r="J137" i="1"/>
  <c r="D137" i="1"/>
  <c r="J136" i="1"/>
  <c r="D136" i="1"/>
  <c r="D135" i="1" s="1"/>
  <c r="I135" i="1"/>
  <c r="H135" i="1"/>
  <c r="G135" i="1"/>
  <c r="F135" i="1"/>
  <c r="E135" i="1"/>
  <c r="J135" i="1" s="1"/>
  <c r="J134" i="1"/>
  <c r="E134" i="1"/>
  <c r="D134" i="1"/>
  <c r="E133" i="1"/>
  <c r="D133" i="1" s="1"/>
  <c r="E132" i="1"/>
  <c r="J132" i="1" s="1"/>
  <c r="D132" i="1"/>
  <c r="I131" i="1"/>
  <c r="H131" i="1"/>
  <c r="G131" i="1"/>
  <c r="F131" i="1"/>
  <c r="J130" i="1"/>
  <c r="E130" i="1"/>
  <c r="D130" i="1"/>
  <c r="E129" i="1"/>
  <c r="D129" i="1" s="1"/>
  <c r="E128" i="1"/>
  <c r="J128" i="1" s="1"/>
  <c r="D128" i="1"/>
  <c r="D127" i="1" s="1"/>
  <c r="I127" i="1"/>
  <c r="H127" i="1"/>
  <c r="G127" i="1"/>
  <c r="F127" i="1"/>
  <c r="J126" i="1"/>
  <c r="E126" i="1"/>
  <c r="D126" i="1"/>
  <c r="E125" i="1"/>
  <c r="D125" i="1" s="1"/>
  <c r="E124" i="1"/>
  <c r="E96" i="1" s="1"/>
  <c r="D124" i="1"/>
  <c r="I123" i="1"/>
  <c r="H123" i="1"/>
  <c r="G123" i="1"/>
  <c r="F123" i="1"/>
  <c r="J122" i="1"/>
  <c r="E122" i="1"/>
  <c r="D122" i="1"/>
  <c r="E121" i="1"/>
  <c r="D121" i="1" s="1"/>
  <c r="E120" i="1"/>
  <c r="J120" i="1" s="1"/>
  <c r="D120" i="1"/>
  <c r="D119" i="1" s="1"/>
  <c r="I119" i="1"/>
  <c r="I118" i="1" s="1"/>
  <c r="I117" i="1" s="1"/>
  <c r="I116" i="1" s="1"/>
  <c r="I115" i="1" s="1"/>
  <c r="H119" i="1"/>
  <c r="H118" i="1" s="1"/>
  <c r="G119" i="1"/>
  <c r="F119" i="1"/>
  <c r="E118" i="1"/>
  <c r="E117" i="1"/>
  <c r="E116" i="1"/>
  <c r="G115" i="1"/>
  <c r="F115" i="1"/>
  <c r="E115" i="1"/>
  <c r="G114" i="1"/>
  <c r="F114" i="1"/>
  <c r="J114" i="1" s="1"/>
  <c r="E114" i="1"/>
  <c r="G113" i="1"/>
  <c r="J113" i="1" s="1"/>
  <c r="F113" i="1"/>
  <c r="E113" i="1"/>
  <c r="J112" i="1"/>
  <c r="G112" i="1"/>
  <c r="F112" i="1"/>
  <c r="F111" i="1" s="1"/>
  <c r="E112" i="1"/>
  <c r="E111" i="1" s="1"/>
  <c r="J111" i="1" s="1"/>
  <c r="D112" i="1"/>
  <c r="I111" i="1"/>
  <c r="H111" i="1"/>
  <c r="G111" i="1"/>
  <c r="J110" i="1"/>
  <c r="E110" i="1"/>
  <c r="D110" i="1"/>
  <c r="E109" i="1"/>
  <c r="D109" i="1" s="1"/>
  <c r="E108" i="1"/>
  <c r="J108" i="1" s="1"/>
  <c r="D108" i="1"/>
  <c r="I107" i="1"/>
  <c r="H107" i="1"/>
  <c r="G107" i="1"/>
  <c r="F107" i="1"/>
  <c r="J106" i="1"/>
  <c r="E106" i="1"/>
  <c r="D106" i="1"/>
  <c r="E105" i="1"/>
  <c r="D105" i="1" s="1"/>
  <c r="E104" i="1"/>
  <c r="J104" i="1" s="1"/>
  <c r="D104" i="1"/>
  <c r="D103" i="1" s="1"/>
  <c r="I103" i="1"/>
  <c r="H103" i="1"/>
  <c r="G103" i="1"/>
  <c r="F103" i="1"/>
  <c r="J102" i="1"/>
  <c r="G102" i="1"/>
  <c r="F102" i="1"/>
  <c r="E102" i="1"/>
  <c r="D102" i="1"/>
  <c r="G101" i="1"/>
  <c r="F101" i="1"/>
  <c r="F97" i="1" s="1"/>
  <c r="F93" i="1" s="1"/>
  <c r="E101" i="1"/>
  <c r="J101" i="1" s="1"/>
  <c r="G100" i="1"/>
  <c r="G99" i="1" s="1"/>
  <c r="F100" i="1"/>
  <c r="J100" i="1" s="1"/>
  <c r="E100" i="1"/>
  <c r="I99" i="1"/>
  <c r="H99" i="1"/>
  <c r="E99" i="1"/>
  <c r="I98" i="1"/>
  <c r="H98" i="1"/>
  <c r="G98" i="1"/>
  <c r="F98" i="1"/>
  <c r="I97" i="1"/>
  <c r="H97" i="1"/>
  <c r="G97" i="1"/>
  <c r="I96" i="1"/>
  <c r="H96" i="1"/>
  <c r="H95" i="1" s="1"/>
  <c r="G96" i="1"/>
  <c r="G95" i="1" s="1"/>
  <c r="F96" i="1"/>
  <c r="F95" i="1" s="1"/>
  <c r="I95" i="1"/>
  <c r="I94" i="1"/>
  <c r="H94" i="1"/>
  <c r="G94" i="1"/>
  <c r="F94" i="1"/>
  <c r="I93" i="1"/>
  <c r="H93" i="1"/>
  <c r="G93" i="1"/>
  <c r="I92" i="1"/>
  <c r="H92" i="1"/>
  <c r="H91" i="1" s="1"/>
  <c r="G92" i="1"/>
  <c r="G91" i="1" s="1"/>
  <c r="F92" i="1"/>
  <c r="F91" i="1" s="1"/>
  <c r="I91" i="1"/>
  <c r="E90" i="1"/>
  <c r="J90" i="1" s="1"/>
  <c r="D90" i="1"/>
  <c r="E89" i="1"/>
  <c r="J89" i="1" s="1"/>
  <c r="D89" i="1"/>
  <c r="J88" i="1"/>
  <c r="E88" i="1"/>
  <c r="D88" i="1"/>
  <c r="D87" i="1" s="1"/>
  <c r="I87" i="1"/>
  <c r="H87" i="1"/>
  <c r="G87" i="1"/>
  <c r="F87" i="1"/>
  <c r="E87" i="1"/>
  <c r="J87" i="1" s="1"/>
  <c r="E86" i="1"/>
  <c r="J86" i="1" s="1"/>
  <c r="D86" i="1"/>
  <c r="E85" i="1"/>
  <c r="J85" i="1" s="1"/>
  <c r="D85" i="1"/>
  <c r="J84" i="1"/>
  <c r="E84" i="1"/>
  <c r="D84" i="1"/>
  <c r="D83" i="1" s="1"/>
  <c r="I83" i="1"/>
  <c r="H83" i="1"/>
  <c r="G83" i="1"/>
  <c r="F83" i="1"/>
  <c r="E83" i="1"/>
  <c r="J83" i="1" s="1"/>
  <c r="E82" i="1"/>
  <c r="J82" i="1" s="1"/>
  <c r="D82" i="1"/>
  <c r="E81" i="1"/>
  <c r="J81" i="1" s="1"/>
  <c r="D81" i="1"/>
  <c r="J80" i="1"/>
  <c r="E80" i="1"/>
  <c r="D80" i="1"/>
  <c r="D79" i="1" s="1"/>
  <c r="I79" i="1"/>
  <c r="H79" i="1"/>
  <c r="G79" i="1"/>
  <c r="F79" i="1"/>
  <c r="E79" i="1"/>
  <c r="J79" i="1" s="1"/>
  <c r="E78" i="1"/>
  <c r="J78" i="1" s="1"/>
  <c r="D78" i="1"/>
  <c r="E77" i="1"/>
  <c r="J77" i="1" s="1"/>
  <c r="D77" i="1"/>
  <c r="J76" i="1"/>
  <c r="E76" i="1"/>
  <c r="D76" i="1"/>
  <c r="D75" i="1" s="1"/>
  <c r="I75" i="1"/>
  <c r="H75" i="1"/>
  <c r="G75" i="1"/>
  <c r="F75" i="1"/>
  <c r="E75" i="1"/>
  <c r="J75" i="1" s="1"/>
  <c r="E74" i="1"/>
  <c r="J74" i="1" s="1"/>
  <c r="D74" i="1"/>
  <c r="E73" i="1"/>
  <c r="J73" i="1" s="1"/>
  <c r="D73" i="1"/>
  <c r="J72" i="1"/>
  <c r="E72" i="1"/>
  <c r="D72" i="1"/>
  <c r="D71" i="1" s="1"/>
  <c r="I71" i="1"/>
  <c r="H71" i="1"/>
  <c r="G71" i="1"/>
  <c r="F71" i="1"/>
  <c r="E71" i="1"/>
  <c r="J71" i="1" s="1"/>
  <c r="E70" i="1"/>
  <c r="J70" i="1" s="1"/>
  <c r="D70" i="1"/>
  <c r="E69" i="1"/>
  <c r="J69" i="1" s="1"/>
  <c r="D69" i="1"/>
  <c r="J68" i="1"/>
  <c r="E68" i="1"/>
  <c r="D68" i="1"/>
  <c r="D67" i="1" s="1"/>
  <c r="I67" i="1"/>
  <c r="H67" i="1"/>
  <c r="G67" i="1"/>
  <c r="F67" i="1"/>
  <c r="E67" i="1"/>
  <c r="J67" i="1" s="1"/>
  <c r="E66" i="1"/>
  <c r="J66" i="1" s="1"/>
  <c r="D66" i="1"/>
  <c r="E65" i="1"/>
  <c r="J65" i="1" s="1"/>
  <c r="D65" i="1"/>
  <c r="J64" i="1"/>
  <c r="E64" i="1"/>
  <c r="D64" i="1"/>
  <c r="D63" i="1" s="1"/>
  <c r="I63" i="1"/>
  <c r="I34" i="1" s="1"/>
  <c r="I33" i="1" s="1"/>
  <c r="I32" i="1" s="1"/>
  <c r="I31" i="1" s="1"/>
  <c r="H63" i="1"/>
  <c r="G63" i="1"/>
  <c r="F63" i="1"/>
  <c r="E63" i="1"/>
  <c r="J63" i="1" s="1"/>
  <c r="E62" i="1"/>
  <c r="J62" i="1" s="1"/>
  <c r="D62" i="1"/>
  <c r="E61" i="1"/>
  <c r="J61" i="1" s="1"/>
  <c r="D61" i="1"/>
  <c r="J60" i="1"/>
  <c r="E60" i="1"/>
  <c r="D60" i="1"/>
  <c r="D59" i="1" s="1"/>
  <c r="I59" i="1"/>
  <c r="H59" i="1"/>
  <c r="G59" i="1"/>
  <c r="F59" i="1"/>
  <c r="E59" i="1"/>
  <c r="J59" i="1" s="1"/>
  <c r="G58" i="1"/>
  <c r="J58" i="1" s="1"/>
  <c r="D58" i="1"/>
  <c r="G57" i="1"/>
  <c r="J57" i="1" s="1"/>
  <c r="D57" i="1"/>
  <c r="J56" i="1"/>
  <c r="G56" i="1"/>
  <c r="D56" i="1"/>
  <c r="D55" i="1" s="1"/>
  <c r="I55" i="1"/>
  <c r="H55" i="1"/>
  <c r="F55" i="1"/>
  <c r="E55" i="1"/>
  <c r="G54" i="1"/>
  <c r="E54" i="1"/>
  <c r="D54" i="1" s="1"/>
  <c r="G53" i="1"/>
  <c r="E53" i="1"/>
  <c r="D53" i="1" s="1"/>
  <c r="G52" i="1"/>
  <c r="G51" i="1" s="1"/>
  <c r="E52" i="1"/>
  <c r="D52" i="1" s="1"/>
  <c r="I51" i="1"/>
  <c r="H51" i="1"/>
  <c r="F51" i="1"/>
  <c r="E50" i="1"/>
  <c r="J50" i="1" s="1"/>
  <c r="D50" i="1"/>
  <c r="J49" i="1"/>
  <c r="E49" i="1"/>
  <c r="D49" i="1"/>
  <c r="E48" i="1"/>
  <c r="D48" i="1" s="1"/>
  <c r="D47" i="1" s="1"/>
  <c r="I47" i="1"/>
  <c r="H47" i="1"/>
  <c r="G47" i="1"/>
  <c r="F47" i="1"/>
  <c r="G46" i="1"/>
  <c r="E46" i="1"/>
  <c r="J46" i="1" s="1"/>
  <c r="D46" i="1"/>
  <c r="G45" i="1"/>
  <c r="E45" i="1"/>
  <c r="J45" i="1" s="1"/>
  <c r="D45" i="1"/>
  <c r="G44" i="1"/>
  <c r="E44" i="1"/>
  <c r="J44" i="1" s="1"/>
  <c r="D44" i="1"/>
  <c r="D43" i="1" s="1"/>
  <c r="I43" i="1"/>
  <c r="H43" i="1"/>
  <c r="G43" i="1"/>
  <c r="F43" i="1"/>
  <c r="J42" i="1"/>
  <c r="G42" i="1"/>
  <c r="E42" i="1"/>
  <c r="D42" i="1"/>
  <c r="J41" i="1"/>
  <c r="G41" i="1"/>
  <c r="E41" i="1"/>
  <c r="D41" i="1"/>
  <c r="J40" i="1"/>
  <c r="G40" i="1"/>
  <c r="E40" i="1"/>
  <c r="E39" i="1" s="1"/>
  <c r="J39" i="1" s="1"/>
  <c r="D40" i="1"/>
  <c r="D39" i="1" s="1"/>
  <c r="I39" i="1"/>
  <c r="H39" i="1"/>
  <c r="G39" i="1"/>
  <c r="F39" i="1"/>
  <c r="I38" i="1"/>
  <c r="D38" i="1" s="1"/>
  <c r="E38" i="1"/>
  <c r="E37" i="1"/>
  <c r="E36" i="1"/>
  <c r="H35" i="1"/>
  <c r="G35" i="1"/>
  <c r="F35" i="1"/>
  <c r="E35" i="1"/>
  <c r="E34" i="1"/>
  <c r="D34" i="1" s="1"/>
  <c r="E33" i="1"/>
  <c r="E32" i="1"/>
  <c r="D32" i="1" s="1"/>
  <c r="H31" i="1"/>
  <c r="G31" i="1"/>
  <c r="F31" i="1"/>
  <c r="H30" i="1"/>
  <c r="G30" i="1"/>
  <c r="E30" i="1"/>
  <c r="H29" i="1"/>
  <c r="H28" i="1" s="1"/>
  <c r="G29" i="1"/>
  <c r="E29" i="1"/>
  <c r="E25" i="1" s="1"/>
  <c r="G28" i="1"/>
  <c r="G27" i="1" s="1"/>
  <c r="E28" i="1"/>
  <c r="F27" i="1"/>
  <c r="E27" i="1"/>
  <c r="G26" i="1"/>
  <c r="G22" i="1" s="1"/>
  <c r="G18" i="1" s="1"/>
  <c r="G25" i="1"/>
  <c r="F24" i="1"/>
  <c r="F23" i="1" s="1"/>
  <c r="H22" i="1"/>
  <c r="F22" i="1"/>
  <c r="H21" i="1"/>
  <c r="G21" i="1"/>
  <c r="F21" i="1"/>
  <c r="F20" i="1"/>
  <c r="F19" i="1" s="1"/>
  <c r="H18" i="1"/>
  <c r="F18" i="1"/>
  <c r="H17" i="1"/>
  <c r="G17" i="1"/>
  <c r="F17" i="1"/>
  <c r="F16" i="1"/>
  <c r="F15" i="1" s="1"/>
  <c r="F77" i="3" l="1"/>
  <c r="L247" i="3"/>
  <c r="J22" i="3"/>
  <c r="I12" i="3"/>
  <c r="I22" i="3"/>
  <c r="E24" i="3"/>
  <c r="E26" i="3"/>
  <c r="E28" i="3"/>
  <c r="E30" i="3"/>
  <c r="E32" i="3"/>
  <c r="E34" i="3"/>
  <c r="E80" i="3"/>
  <c r="E27" i="3"/>
  <c r="F22" i="3"/>
  <c r="L28" i="3"/>
  <c r="E84" i="3"/>
  <c r="L26" i="3"/>
  <c r="G74" i="3"/>
  <c r="H22" i="3"/>
  <c r="L33" i="3"/>
  <c r="E23" i="3"/>
  <c r="E31" i="3"/>
  <c r="G131" i="3"/>
  <c r="H15" i="3"/>
  <c r="E323" i="3"/>
  <c r="J14" i="3"/>
  <c r="E48" i="3"/>
  <c r="E83" i="3"/>
  <c r="L164" i="3"/>
  <c r="E663" i="3"/>
  <c r="E627" i="3"/>
  <c r="G1154" i="3"/>
  <c r="G1151" i="3"/>
  <c r="G19" i="3" s="1"/>
  <c r="G22" i="3"/>
  <c r="L24" i="3"/>
  <c r="L31" i="3"/>
  <c r="L61" i="3"/>
  <c r="E61" i="3"/>
  <c r="K12" i="3"/>
  <c r="K9" i="3" s="1"/>
  <c r="J131" i="3"/>
  <c r="J19" i="3"/>
  <c r="L166" i="3"/>
  <c r="L183" i="3"/>
  <c r="L208" i="3"/>
  <c r="L291" i="3"/>
  <c r="L302" i="3"/>
  <c r="L305" i="3"/>
  <c r="G321" i="3"/>
  <c r="L356" i="3"/>
  <c r="L359" i="3"/>
  <c r="L387" i="3"/>
  <c r="L391" i="3"/>
  <c r="L395" i="3"/>
  <c r="L406" i="3"/>
  <c r="E519" i="3"/>
  <c r="L633" i="3"/>
  <c r="L647" i="3"/>
  <c r="E693" i="3"/>
  <c r="H1211" i="3"/>
  <c r="L25" i="3"/>
  <c r="I13" i="3"/>
  <c r="L27" i="3"/>
  <c r="L34" i="3"/>
  <c r="F80" i="3"/>
  <c r="H83" i="3"/>
  <c r="L85" i="3"/>
  <c r="E102" i="3"/>
  <c r="E127" i="3"/>
  <c r="E134" i="3"/>
  <c r="L143" i="3"/>
  <c r="E156" i="3"/>
  <c r="H164" i="3"/>
  <c r="L171" i="3"/>
  <c r="E192" i="3"/>
  <c r="E199" i="3"/>
  <c r="E219" i="3"/>
  <c r="L300" i="3"/>
  <c r="L303" i="3"/>
  <c r="E299" i="3"/>
  <c r="G325" i="3"/>
  <c r="L340" i="3"/>
  <c r="E327" i="3"/>
  <c r="L345" i="3"/>
  <c r="E361" i="3"/>
  <c r="E333" i="3"/>
  <c r="L379" i="3"/>
  <c r="L381" i="3"/>
  <c r="L383" i="3"/>
  <c r="L322" i="3" s="1"/>
  <c r="E329" i="3"/>
  <c r="L421" i="3"/>
  <c r="L442" i="3"/>
  <c r="L452" i="3"/>
  <c r="F466" i="3"/>
  <c r="E474" i="3"/>
  <c r="E499" i="3"/>
  <c r="E487" i="3"/>
  <c r="E486" i="3" s="1"/>
  <c r="J515" i="3"/>
  <c r="J12" i="3" s="1"/>
  <c r="E579" i="3"/>
  <c r="F582" i="3"/>
  <c r="J582" i="3"/>
  <c r="I693" i="3"/>
  <c r="J929" i="3"/>
  <c r="J15" i="3" s="1"/>
  <c r="L298" i="3"/>
  <c r="L420" i="3"/>
  <c r="F418" i="3"/>
  <c r="L418" i="3" s="1"/>
  <c r="E448" i="3"/>
  <c r="E419" i="3"/>
  <c r="E521" i="3"/>
  <c r="E534" i="3"/>
  <c r="L696" i="3"/>
  <c r="F695" i="3"/>
  <c r="L695" i="3" s="1"/>
  <c r="F694" i="3"/>
  <c r="F625" i="3" s="1"/>
  <c r="F858" i="3"/>
  <c r="F859" i="3" s="1"/>
  <c r="F860" i="3" s="1"/>
  <c r="L857" i="3"/>
  <c r="L29" i="3"/>
  <c r="I17" i="3"/>
  <c r="L75" i="3"/>
  <c r="L90" i="3"/>
  <c r="H131" i="3"/>
  <c r="L133" i="3"/>
  <c r="L76" i="3" s="1"/>
  <c r="L151" i="3"/>
  <c r="L190" i="3"/>
  <c r="L231" i="3"/>
  <c r="L259" i="3"/>
  <c r="L299" i="3"/>
  <c r="L323" i="3"/>
  <c r="E434" i="3"/>
  <c r="E421" i="3"/>
  <c r="E418" i="3" s="1"/>
  <c r="E517" i="3"/>
  <c r="E711" i="3"/>
  <c r="E712" i="3" s="1"/>
  <c r="E713" i="3"/>
  <c r="E896" i="3"/>
  <c r="E865" i="3"/>
  <c r="L1143" i="3"/>
  <c r="F1211" i="3"/>
  <c r="L1211" i="3" s="1"/>
  <c r="J1211" i="3"/>
  <c r="L23" i="3"/>
  <c r="I16" i="3"/>
  <c r="L30" i="3"/>
  <c r="L32" i="3"/>
  <c r="L35" i="3"/>
  <c r="E35" i="3"/>
  <c r="E29" i="3"/>
  <c r="E33" i="3"/>
  <c r="L137" i="3"/>
  <c r="E139" i="3"/>
  <c r="E147" i="3"/>
  <c r="E78" i="3"/>
  <c r="E183" i="3"/>
  <c r="E216" i="3"/>
  <c r="E228" i="3"/>
  <c r="E239" i="3"/>
  <c r="L253" i="3"/>
  <c r="L285" i="3"/>
  <c r="E293" i="3"/>
  <c r="L304" i="3"/>
  <c r="H321" i="3"/>
  <c r="E326" i="3"/>
  <c r="E342" i="3"/>
  <c r="L351" i="3"/>
  <c r="L360" i="3"/>
  <c r="L361" i="3"/>
  <c r="G367" i="3"/>
  <c r="L367" i="3" s="1"/>
  <c r="E370" i="3"/>
  <c r="E367" i="3" s="1"/>
  <c r="L402" i="3"/>
  <c r="E455" i="3"/>
  <c r="E423" i="3"/>
  <c r="F458" i="3"/>
  <c r="L458" i="3" s="1"/>
  <c r="J458" i="3"/>
  <c r="I458" i="3"/>
  <c r="F486" i="3"/>
  <c r="L486" i="3" s="1"/>
  <c r="G512" i="3"/>
  <c r="F512" i="3"/>
  <c r="F515" i="3"/>
  <c r="L569" i="3"/>
  <c r="L668" i="3"/>
  <c r="G667" i="3"/>
  <c r="L667" i="3" s="1"/>
  <c r="I625" i="3"/>
  <c r="E695" i="3"/>
  <c r="E694" i="3"/>
  <c r="E625" i="3" s="1"/>
  <c r="L750" i="3"/>
  <c r="E749" i="3"/>
  <c r="E836" i="3"/>
  <c r="E811" i="3"/>
  <c r="E857" i="3"/>
  <c r="H926" i="3"/>
  <c r="H12" i="3" s="1"/>
  <c r="G1174" i="3"/>
  <c r="G1150" i="3"/>
  <c r="G1141" i="3" s="1"/>
  <c r="E1147" i="3"/>
  <c r="H418" i="3"/>
  <c r="L422" i="3"/>
  <c r="L424" i="3"/>
  <c r="L426" i="3"/>
  <c r="L428" i="3"/>
  <c r="L434" i="3"/>
  <c r="L438" i="3"/>
  <c r="L440" i="3"/>
  <c r="E478" i="3"/>
  <c r="E523" i="3"/>
  <c r="E516" i="3" s="1"/>
  <c r="E545" i="3"/>
  <c r="L628" i="3"/>
  <c r="L630" i="3"/>
  <c r="L645" i="3"/>
  <c r="E629" i="3"/>
  <c r="L651" i="3"/>
  <c r="L655" i="3"/>
  <c r="E628" i="3"/>
  <c r="L659" i="3"/>
  <c r="L669" i="3"/>
  <c r="G694" i="3"/>
  <c r="G625" i="3" s="1"/>
  <c r="G703" i="3"/>
  <c r="L744" i="3"/>
  <c r="E804" i="3"/>
  <c r="L806" i="3"/>
  <c r="I862" i="3"/>
  <c r="L868" i="3"/>
  <c r="J935" i="3"/>
  <c r="J21" i="3" s="1"/>
  <c r="L955" i="3"/>
  <c r="L988" i="3"/>
  <c r="G925" i="3"/>
  <c r="J927" i="3"/>
  <c r="J13" i="3" s="1"/>
  <c r="H925" i="3"/>
  <c r="G928" i="3"/>
  <c r="G929" i="3"/>
  <c r="G15" i="3" s="1"/>
  <c r="H934" i="3"/>
  <c r="H20" i="3" s="1"/>
  <c r="G931" i="3"/>
  <c r="E1185" i="3"/>
  <c r="E1176" i="3"/>
  <c r="E1146" i="3"/>
  <c r="G1211" i="3"/>
  <c r="G1204" i="3"/>
  <c r="J1207" i="3"/>
  <c r="E1251" i="3"/>
  <c r="L1281" i="3"/>
  <c r="I418" i="3"/>
  <c r="L432" i="3"/>
  <c r="L455" i="3"/>
  <c r="L487" i="3"/>
  <c r="L489" i="3"/>
  <c r="L491" i="3"/>
  <c r="L493" i="3"/>
  <c r="L495" i="3"/>
  <c r="L497" i="3"/>
  <c r="L499" i="3"/>
  <c r="L534" i="3"/>
  <c r="E541" i="3"/>
  <c r="L545" i="3"/>
  <c r="L555" i="3"/>
  <c r="E513" i="3"/>
  <c r="E560" i="3"/>
  <c r="K623" i="3"/>
  <c r="L636" i="3"/>
  <c r="L629" i="3"/>
  <c r="H694" i="3"/>
  <c r="H625" i="3" s="1"/>
  <c r="H11" i="3" s="1"/>
  <c r="H703" i="3"/>
  <c r="L708" i="3"/>
  <c r="G707" i="3"/>
  <c r="L707" i="3" s="1"/>
  <c r="E709" i="3"/>
  <c r="L773" i="3"/>
  <c r="E867" i="3"/>
  <c r="I929" i="3"/>
  <c r="I15" i="3" s="1"/>
  <c r="G932" i="3"/>
  <c r="G930" i="3"/>
  <c r="J933" i="3"/>
  <c r="L1098" i="3"/>
  <c r="L1128" i="3"/>
  <c r="L1146" i="3"/>
  <c r="F1205" i="3"/>
  <c r="E1231" i="3"/>
  <c r="L1231" i="3"/>
  <c r="L1261" i="3"/>
  <c r="E1283" i="3"/>
  <c r="J693" i="3"/>
  <c r="L717" i="3"/>
  <c r="I749" i="3"/>
  <c r="L778" i="3"/>
  <c r="E851" i="3"/>
  <c r="L865" i="3"/>
  <c r="L871" i="3"/>
  <c r="L875" i="3"/>
  <c r="L880" i="3"/>
  <c r="L884" i="3"/>
  <c r="L900" i="3"/>
  <c r="L940" i="3"/>
  <c r="I930" i="3"/>
  <c r="L949" i="3"/>
  <c r="E949" i="3"/>
  <c r="E939" i="3"/>
  <c r="E926" i="3" s="1"/>
  <c r="L990" i="3"/>
  <c r="I928" i="3"/>
  <c r="I14" i="3" s="1"/>
  <c r="H933" i="3"/>
  <c r="H19" i="3" s="1"/>
  <c r="G934" i="3"/>
  <c r="G924" i="3"/>
  <c r="G927" i="3"/>
  <c r="G923" i="3" s="1"/>
  <c r="H930" i="3"/>
  <c r="H16" i="3" s="1"/>
  <c r="G933" i="3"/>
  <c r="L1041" i="3"/>
  <c r="L1043" i="3"/>
  <c r="L1096" i="3"/>
  <c r="L1144" i="3"/>
  <c r="L1148" i="3"/>
  <c r="F1149" i="3"/>
  <c r="E1169" i="3"/>
  <c r="F1174" i="3"/>
  <c r="J1174" i="3"/>
  <c r="J1151" i="3"/>
  <c r="E1197" i="3"/>
  <c r="F1204" i="3"/>
  <c r="L1204" i="3" s="1"/>
  <c r="J1226" i="3"/>
  <c r="L1241" i="3"/>
  <c r="G1249" i="3"/>
  <c r="I1249" i="3"/>
  <c r="L1259" i="3"/>
  <c r="J1249" i="3"/>
  <c r="L1262" i="3"/>
  <c r="G693" i="3"/>
  <c r="L711" i="3"/>
  <c r="L752" i="3"/>
  <c r="L755" i="3"/>
  <c r="L771" i="3"/>
  <c r="L783" i="3"/>
  <c r="E772" i="3"/>
  <c r="E774" i="3"/>
  <c r="L799" i="3"/>
  <c r="L802" i="3"/>
  <c r="L823" i="3"/>
  <c r="L836" i="3"/>
  <c r="J862" i="3"/>
  <c r="L867" i="3"/>
  <c r="L869" i="3"/>
  <c r="L872" i="3"/>
  <c r="E880" i="3"/>
  <c r="L906" i="3"/>
  <c r="E906" i="3"/>
  <c r="E914" i="3"/>
  <c r="L920" i="3"/>
  <c r="I933" i="3"/>
  <c r="I19" i="3" s="1"/>
  <c r="I934" i="3"/>
  <c r="I20" i="3" s="1"/>
  <c r="E955" i="3"/>
  <c r="J924" i="3"/>
  <c r="L999" i="3"/>
  <c r="F928" i="3"/>
  <c r="F14" i="3" s="1"/>
  <c r="J928" i="3"/>
  <c r="I932" i="3"/>
  <c r="L1023" i="3"/>
  <c r="I935" i="3"/>
  <c r="I21" i="3" s="1"/>
  <c r="L1038" i="3"/>
  <c r="L1049" i="3"/>
  <c r="L1051" i="3"/>
  <c r="L1067" i="3"/>
  <c r="L1075" i="3"/>
  <c r="L1097" i="3"/>
  <c r="E1097" i="3"/>
  <c r="E1101" i="3"/>
  <c r="L1145" i="3"/>
  <c r="L1156" i="3"/>
  <c r="E1148" i="3"/>
  <c r="G1226" i="3"/>
  <c r="I1207" i="3"/>
  <c r="E1254" i="3"/>
  <c r="E1256" i="3"/>
  <c r="L1257" i="3"/>
  <c r="I1277" i="3"/>
  <c r="L1289" i="3"/>
  <c r="E538" i="1"/>
  <c r="E532" i="1"/>
  <c r="D540" i="1"/>
  <c r="D538" i="1" s="1"/>
  <c r="D275" i="1"/>
  <c r="J275" i="1"/>
  <c r="H27" i="1"/>
  <c r="H24" i="1"/>
  <c r="D33" i="1"/>
  <c r="D31" i="1" s="1"/>
  <c r="D51" i="1"/>
  <c r="D252" i="1"/>
  <c r="F336" i="1"/>
  <c r="F389" i="1"/>
  <c r="F386" i="1"/>
  <c r="D546" i="1"/>
  <c r="E21" i="1"/>
  <c r="D312" i="1"/>
  <c r="D107" i="1"/>
  <c r="J118" i="1"/>
  <c r="D118" i="1"/>
  <c r="H117" i="1"/>
  <c r="H116" i="1" s="1"/>
  <c r="D123" i="1"/>
  <c r="D131" i="1"/>
  <c r="G235" i="1"/>
  <c r="G232" i="1"/>
  <c r="G231" i="1" s="1"/>
  <c r="G389" i="1"/>
  <c r="G386" i="1"/>
  <c r="D496" i="1"/>
  <c r="D502" i="1"/>
  <c r="D494" i="1" s="1"/>
  <c r="G548" i="1"/>
  <c r="F548" i="1" s="1"/>
  <c r="D548" i="1" s="1"/>
  <c r="H546" i="1"/>
  <c r="F550" i="1"/>
  <c r="D553" i="1"/>
  <c r="D550" i="1" s="1"/>
  <c r="D560" i="1"/>
  <c r="D556" i="1" s="1"/>
  <c r="D111" i="1"/>
  <c r="J96" i="1"/>
  <c r="E92" i="1"/>
  <c r="D96" i="1"/>
  <c r="H232" i="1"/>
  <c r="H235" i="1"/>
  <c r="J252" i="1"/>
  <c r="J288" i="1"/>
  <c r="J304" i="1"/>
  <c r="D331" i="1"/>
  <c r="F330" i="1"/>
  <c r="F329" i="1" s="1"/>
  <c r="F328" i="1" s="1"/>
  <c r="I336" i="1"/>
  <c r="J370" i="1"/>
  <c r="D542" i="1"/>
  <c r="E47" i="1"/>
  <c r="J47" i="1" s="1"/>
  <c r="J48" i="1"/>
  <c r="E51" i="1"/>
  <c r="J51" i="1" s="1"/>
  <c r="E98" i="1"/>
  <c r="F99" i="1"/>
  <c r="J99" i="1" s="1"/>
  <c r="J105" i="1"/>
  <c r="J109" i="1"/>
  <c r="D113" i="1"/>
  <c r="J121" i="1"/>
  <c r="J125" i="1"/>
  <c r="J129" i="1"/>
  <c r="J133" i="1"/>
  <c r="J142" i="1"/>
  <c r="J146" i="1"/>
  <c r="J150" i="1"/>
  <c r="J154" i="1"/>
  <c r="J158" i="1"/>
  <c r="J162" i="1"/>
  <c r="J166" i="1"/>
  <c r="J170" i="1"/>
  <c r="J174" i="1"/>
  <c r="J178" i="1"/>
  <c r="G179" i="1"/>
  <c r="J182" i="1"/>
  <c r="J186" i="1"/>
  <c r="J190" i="1"/>
  <c r="J246" i="1"/>
  <c r="J253" i="1"/>
  <c r="E284" i="1"/>
  <c r="J284" i="1" s="1"/>
  <c r="J285" i="1"/>
  <c r="G288" i="1"/>
  <c r="D289" i="1"/>
  <c r="D288" i="1" s="1"/>
  <c r="J291" i="1"/>
  <c r="G292" i="1"/>
  <c r="J292" i="1" s="1"/>
  <c r="D293" i="1"/>
  <c r="D292" i="1" s="1"/>
  <c r="E296" i="1"/>
  <c r="J296" i="1" s="1"/>
  <c r="J297" i="1"/>
  <c r="D299" i="1"/>
  <c r="D296" i="1" s="1"/>
  <c r="J301" i="1"/>
  <c r="G304" i="1"/>
  <c r="D305" i="1"/>
  <c r="D304" i="1" s="1"/>
  <c r="J313" i="1"/>
  <c r="D315" i="1"/>
  <c r="E330" i="1"/>
  <c r="H345" i="1"/>
  <c r="E346" i="1"/>
  <c r="I346" i="1"/>
  <c r="I338" i="1" s="1"/>
  <c r="F347" i="1"/>
  <c r="F339" i="1" s="1"/>
  <c r="J339" i="1" s="1"/>
  <c r="E376" i="1"/>
  <c r="J376" i="1" s="1"/>
  <c r="I514" i="1"/>
  <c r="E533" i="1"/>
  <c r="I546" i="1"/>
  <c r="H550" i="1"/>
  <c r="G562" i="1"/>
  <c r="G561" i="1"/>
  <c r="G557" i="1" s="1"/>
  <c r="D602" i="1"/>
  <c r="G614" i="1"/>
  <c r="I559" i="1"/>
  <c r="I555" i="1" s="1"/>
  <c r="I622" i="1"/>
  <c r="I558" i="1" s="1"/>
  <c r="I554" i="1" s="1"/>
  <c r="D630" i="1"/>
  <c r="F22" i="2"/>
  <c r="K33" i="2"/>
  <c r="E595" i="2"/>
  <c r="J556" i="2"/>
  <c r="J621" i="2"/>
  <c r="E625" i="2"/>
  <c r="E559" i="2" s="1"/>
  <c r="E13" i="2" s="1"/>
  <c r="E645" i="2"/>
  <c r="F825" i="2"/>
  <c r="K825" i="2" s="1"/>
  <c r="K838" i="2"/>
  <c r="I37" i="1"/>
  <c r="G24" i="1"/>
  <c r="E31" i="1"/>
  <c r="J31" i="1" s="1"/>
  <c r="J38" i="1"/>
  <c r="J32" i="1"/>
  <c r="J33" i="1"/>
  <c r="J34" i="1"/>
  <c r="E43" i="1"/>
  <c r="J43" i="1" s="1"/>
  <c r="J52" i="1"/>
  <c r="J53" i="1"/>
  <c r="J54" i="1"/>
  <c r="G55" i="1"/>
  <c r="J55" i="1" s="1"/>
  <c r="E97" i="1"/>
  <c r="D100" i="1"/>
  <c r="E103" i="1"/>
  <c r="J103" i="1" s="1"/>
  <c r="E107" i="1"/>
  <c r="J107" i="1" s="1"/>
  <c r="D114" i="1"/>
  <c r="E119" i="1"/>
  <c r="J119" i="1" s="1"/>
  <c r="E123" i="1"/>
  <c r="J123" i="1" s="1"/>
  <c r="J124" i="1"/>
  <c r="E127" i="1"/>
  <c r="J127" i="1" s="1"/>
  <c r="E131" i="1"/>
  <c r="J131" i="1" s="1"/>
  <c r="H243" i="1"/>
  <c r="I244" i="1"/>
  <c r="J245" i="1"/>
  <c r="J274" i="1"/>
  <c r="J312" i="1"/>
  <c r="E518" i="1"/>
  <c r="F542" i="1"/>
  <c r="F546" i="1"/>
  <c r="G550" i="1"/>
  <c r="E566" i="1"/>
  <c r="E570" i="1"/>
  <c r="G602" i="1"/>
  <c r="D606" i="1"/>
  <c r="E559" i="1"/>
  <c r="E555" i="1" s="1"/>
  <c r="E622" i="1"/>
  <c r="E558" i="1" s="1"/>
  <c r="E554" i="1" s="1"/>
  <c r="G630" i="1"/>
  <c r="I22" i="2"/>
  <c r="I12" i="2"/>
  <c r="K29" i="2"/>
  <c r="K31" i="2"/>
  <c r="E27" i="2"/>
  <c r="E31" i="2"/>
  <c r="K78" i="2"/>
  <c r="K81" i="2"/>
  <c r="K84" i="2"/>
  <c r="K87" i="2"/>
  <c r="E87" i="2"/>
  <c r="E82" i="2"/>
  <c r="E90" i="2"/>
  <c r="E84" i="2"/>
  <c r="I123" i="2"/>
  <c r="K126" i="2"/>
  <c r="K275" i="2"/>
  <c r="K317" i="2"/>
  <c r="E455" i="2"/>
  <c r="E461" i="2"/>
  <c r="K559" i="2"/>
  <c r="K560" i="2"/>
  <c r="K627" i="2"/>
  <c r="H621" i="2"/>
  <c r="H558" i="2"/>
  <c r="H12" i="2" s="1"/>
  <c r="J816" i="2"/>
  <c r="E24" i="1"/>
  <c r="E26" i="1"/>
  <c r="D101" i="1"/>
  <c r="D117" i="1"/>
  <c r="E139" i="1"/>
  <c r="J139" i="1" s="1"/>
  <c r="E143" i="1"/>
  <c r="J143" i="1" s="1"/>
  <c r="E147" i="1"/>
  <c r="J147" i="1" s="1"/>
  <c r="E151" i="1"/>
  <c r="J151" i="1" s="1"/>
  <c r="E155" i="1"/>
  <c r="J155" i="1" s="1"/>
  <c r="E159" i="1"/>
  <c r="J159" i="1" s="1"/>
  <c r="E163" i="1"/>
  <c r="J163" i="1" s="1"/>
  <c r="E167" i="1"/>
  <c r="J167" i="1" s="1"/>
  <c r="E171" i="1"/>
  <c r="J171" i="1" s="1"/>
  <c r="E175" i="1"/>
  <c r="J175" i="1" s="1"/>
  <c r="E179" i="1"/>
  <c r="J179" i="1" s="1"/>
  <c r="E183" i="1"/>
  <c r="J183" i="1" s="1"/>
  <c r="E187" i="1"/>
  <c r="J187" i="1" s="1"/>
  <c r="E191" i="1"/>
  <c r="J191" i="1" s="1"/>
  <c r="H233" i="1"/>
  <c r="H12" i="1" s="1"/>
  <c r="E234" i="1"/>
  <c r="J234" i="1" s="1"/>
  <c r="I234" i="1"/>
  <c r="E238" i="1"/>
  <c r="E243" i="1"/>
  <c r="E272" i="1"/>
  <c r="E276" i="1"/>
  <c r="J276" i="1" s="1"/>
  <c r="J281" i="1"/>
  <c r="J299" i="1"/>
  <c r="G300" i="1"/>
  <c r="J300" i="1" s="1"/>
  <c r="G312" i="1"/>
  <c r="I344" i="1"/>
  <c r="E369" i="1"/>
  <c r="G371" i="1"/>
  <c r="G347" i="1" s="1"/>
  <c r="G339" i="1" s="1"/>
  <c r="D377" i="1"/>
  <c r="J382" i="1"/>
  <c r="J383" i="1"/>
  <c r="E390" i="1"/>
  <c r="D391" i="1"/>
  <c r="D387" i="1" s="1"/>
  <c r="E515" i="1"/>
  <c r="D563" i="1"/>
  <c r="D565" i="1"/>
  <c r="D561" i="1" s="1"/>
  <c r="D557" i="1" s="1"/>
  <c r="D566" i="1"/>
  <c r="D570" i="1"/>
  <c r="E578" i="1"/>
  <c r="E582" i="1"/>
  <c r="E586" i="1"/>
  <c r="G606" i="1"/>
  <c r="D610" i="1"/>
  <c r="I621" i="1"/>
  <c r="D621" i="1" s="1"/>
  <c r="D624" i="1"/>
  <c r="E561" i="1"/>
  <c r="E557" i="1" s="1"/>
  <c r="D625" i="1"/>
  <c r="D629" i="1"/>
  <c r="G625" i="1"/>
  <c r="D654" i="1"/>
  <c r="K25" i="2"/>
  <c r="K27" i="2"/>
  <c r="K48" i="2"/>
  <c r="F82" i="2"/>
  <c r="K99" i="2"/>
  <c r="K77" i="2"/>
  <c r="F123" i="2"/>
  <c r="K123" i="2" s="1"/>
  <c r="J123" i="2"/>
  <c r="E275" i="2"/>
  <c r="I453" i="2"/>
  <c r="K563" i="2"/>
  <c r="E233" i="1"/>
  <c r="J233" i="1" s="1"/>
  <c r="I233" i="1"/>
  <c r="F234" i="1"/>
  <c r="F231" i="1" s="1"/>
  <c r="E237" i="1"/>
  <c r="G273" i="1"/>
  <c r="G280" i="1"/>
  <c r="J280" i="1" s="1"/>
  <c r="F338" i="1"/>
  <c r="F12" i="1" s="1"/>
  <c r="G370" i="1"/>
  <c r="D595" i="1"/>
  <c r="D594" i="1" s="1"/>
  <c r="E594" i="1"/>
  <c r="D599" i="1"/>
  <c r="D598" i="1" s="1"/>
  <c r="E598" i="1"/>
  <c r="D619" i="1"/>
  <c r="D627" i="1"/>
  <c r="G623" i="1"/>
  <c r="G622" i="1" s="1"/>
  <c r="G22" i="2"/>
  <c r="K23" i="2"/>
  <c r="K75" i="2"/>
  <c r="K86" i="2"/>
  <c r="G123" i="2"/>
  <c r="G76" i="2"/>
  <c r="G11" i="2" s="1"/>
  <c r="K125" i="2"/>
  <c r="F453" i="2"/>
  <c r="H555" i="2"/>
  <c r="I14" i="2"/>
  <c r="D592" i="1"/>
  <c r="D590" i="1" s="1"/>
  <c r="E23" i="2"/>
  <c r="F76" i="2"/>
  <c r="J76" i="2"/>
  <c r="G77" i="2"/>
  <c r="G12" i="2" s="1"/>
  <c r="E115" i="2"/>
  <c r="E129" i="2"/>
  <c r="E83" i="2" s="1"/>
  <c r="I255" i="2"/>
  <c r="E354" i="2"/>
  <c r="G358" i="2"/>
  <c r="G400" i="2"/>
  <c r="E429" i="2"/>
  <c r="G455" i="2"/>
  <c r="G459" i="2"/>
  <c r="K459" i="2" s="1"/>
  <c r="I461" i="2"/>
  <c r="K463" i="2"/>
  <c r="K467" i="2"/>
  <c r="F509" i="2"/>
  <c r="K509" i="2" s="1"/>
  <c r="G513" i="2"/>
  <c r="E556" i="2"/>
  <c r="I556" i="2"/>
  <c r="F557" i="2"/>
  <c r="F561" i="2"/>
  <c r="F595" i="2"/>
  <c r="K595" i="2" s="1"/>
  <c r="K596" i="2"/>
  <c r="G622" i="2"/>
  <c r="I630" i="2"/>
  <c r="G635" i="2"/>
  <c r="K637" i="2"/>
  <c r="K641" i="2"/>
  <c r="J645" i="2"/>
  <c r="K652" i="2"/>
  <c r="K747" i="2"/>
  <c r="F719" i="2"/>
  <c r="F750" i="2"/>
  <c r="E749" i="2"/>
  <c r="K756" i="2"/>
  <c r="E770" i="2"/>
  <c r="E757" i="2"/>
  <c r="E755" i="2" s="1"/>
  <c r="K834" i="2"/>
  <c r="K837" i="2"/>
  <c r="E842" i="2"/>
  <c r="E830" i="2"/>
  <c r="K865" i="2"/>
  <c r="K881" i="2"/>
  <c r="K883" i="2"/>
  <c r="K931" i="2"/>
  <c r="K942" i="2"/>
  <c r="K966" i="2"/>
  <c r="K990" i="2"/>
  <c r="E1041" i="2"/>
  <c r="E1046" i="2"/>
  <c r="F1042" i="2"/>
  <c r="F1046" i="2"/>
  <c r="K1046" i="2" s="1"/>
  <c r="K1048" i="2"/>
  <c r="J1042" i="2"/>
  <c r="J18" i="2" s="1"/>
  <c r="J1046" i="2"/>
  <c r="K1061" i="2"/>
  <c r="F1063" i="2"/>
  <c r="G1066" i="2"/>
  <c r="K1066" i="2" s="1"/>
  <c r="G1041" i="2"/>
  <c r="G17" i="2" s="1"/>
  <c r="K1067" i="2"/>
  <c r="K1069" i="2"/>
  <c r="K1070" i="2"/>
  <c r="I1109" i="2"/>
  <c r="I1108" i="2" s="1"/>
  <c r="K1115" i="2"/>
  <c r="E298" i="3"/>
  <c r="K24" i="2"/>
  <c r="K28" i="2"/>
  <c r="K32" i="2"/>
  <c r="E157" i="2"/>
  <c r="E155" i="2" s="1"/>
  <c r="F255" i="2"/>
  <c r="E363" i="2"/>
  <c r="E358" i="2" s="1"/>
  <c r="E409" i="2"/>
  <c r="K411" i="2"/>
  <c r="E413" i="2"/>
  <c r="E405" i="2" s="1"/>
  <c r="K415" i="2"/>
  <c r="H455" i="2"/>
  <c r="H11" i="2" s="1"/>
  <c r="F457" i="2"/>
  <c r="J457" i="2"/>
  <c r="J13" i="2" s="1"/>
  <c r="G458" i="2"/>
  <c r="K458" i="2" s="1"/>
  <c r="F461" i="2"/>
  <c r="K461" i="2" s="1"/>
  <c r="E563" i="2"/>
  <c r="E623" i="2"/>
  <c r="E557" i="2" s="1"/>
  <c r="F624" i="2"/>
  <c r="F628" i="2"/>
  <c r="H635" i="2"/>
  <c r="H640" i="2"/>
  <c r="K640" i="2" s="1"/>
  <c r="F645" i="2"/>
  <c r="K664" i="2"/>
  <c r="G692" i="2"/>
  <c r="K692" i="2" s="1"/>
  <c r="E715" i="2"/>
  <c r="E720" i="2"/>
  <c r="E15" i="2" s="1"/>
  <c r="K721" i="2"/>
  <c r="K740" i="2"/>
  <c r="E748" i="2"/>
  <c r="K749" i="2"/>
  <c r="K820" i="2"/>
  <c r="G829" i="2"/>
  <c r="K831" i="2"/>
  <c r="H821" i="2"/>
  <c r="K821" i="2" s="1"/>
  <c r="K836" i="2"/>
  <c r="F823" i="2"/>
  <c r="K823" i="2" s="1"/>
  <c r="K885" i="2"/>
  <c r="K888" i="2"/>
  <c r="K891" i="2"/>
  <c r="F904" i="2"/>
  <c r="K904" i="2" s="1"/>
  <c r="K935" i="2"/>
  <c r="K959" i="2"/>
  <c r="I982" i="2"/>
  <c r="K987" i="2"/>
  <c r="K995" i="2"/>
  <c r="H1064" i="2"/>
  <c r="H1065" i="2" s="1"/>
  <c r="J1066" i="2"/>
  <c r="K1068" i="2"/>
  <c r="K1077" i="2"/>
  <c r="E1037" i="2"/>
  <c r="K1117" i="2"/>
  <c r="I1118" i="2"/>
  <c r="K1122" i="2"/>
  <c r="G1118" i="2"/>
  <c r="E1122" i="2"/>
  <c r="E1113" i="2" s="1"/>
  <c r="G1113" i="2"/>
  <c r="K1113" i="2" s="1"/>
  <c r="K1135" i="2"/>
  <c r="E131" i="3"/>
  <c r="K276" i="2"/>
  <c r="K650" i="2"/>
  <c r="K687" i="2"/>
  <c r="E695" i="2"/>
  <c r="K755" i="2"/>
  <c r="E761" i="2"/>
  <c r="K762" i="2"/>
  <c r="G816" i="2"/>
  <c r="K824" i="2"/>
  <c r="I829" i="2"/>
  <c r="K833" i="2"/>
  <c r="F862" i="2"/>
  <c r="E861" i="2"/>
  <c r="E838" i="2" s="1"/>
  <c r="E825" i="2" s="1"/>
  <c r="K861" i="2"/>
  <c r="K917" i="2"/>
  <c r="K1034" i="2"/>
  <c r="I1062" i="2"/>
  <c r="E1077" i="2"/>
  <c r="E1068" i="2"/>
  <c r="E1081" i="2"/>
  <c r="H74" i="3"/>
  <c r="H17" i="3"/>
  <c r="H83" i="2"/>
  <c r="K83" i="2" s="1"/>
  <c r="H155" i="2"/>
  <c r="K155" i="2" s="1"/>
  <c r="E277" i="2"/>
  <c r="E11" i="2" s="1"/>
  <c r="E281" i="2"/>
  <c r="F358" i="2"/>
  <c r="K358" i="2" s="1"/>
  <c r="E365" i="2"/>
  <c r="E16" i="2" s="1"/>
  <c r="F400" i="2"/>
  <c r="F408" i="2"/>
  <c r="K408" i="2" s="1"/>
  <c r="F427" i="2"/>
  <c r="K427" i="2" s="1"/>
  <c r="E454" i="2"/>
  <c r="E453" i="2" s="1"/>
  <c r="F513" i="2"/>
  <c r="F622" i="2"/>
  <c r="G623" i="2"/>
  <c r="G557" i="2" s="1"/>
  <c r="K631" i="2"/>
  <c r="F630" i="2"/>
  <c r="J630" i="2"/>
  <c r="F635" i="2"/>
  <c r="G645" i="2"/>
  <c r="K649" i="2"/>
  <c r="K682" i="2"/>
  <c r="H692" i="2"/>
  <c r="K695" i="2"/>
  <c r="E708" i="2"/>
  <c r="E693" i="2"/>
  <c r="E747" i="2"/>
  <c r="E758" i="2"/>
  <c r="K759" i="2"/>
  <c r="E777" i="2"/>
  <c r="F822" i="2"/>
  <c r="K822" i="2" s="1"/>
  <c r="H829" i="2"/>
  <c r="H817" i="2"/>
  <c r="I818" i="2"/>
  <c r="K818" i="2" s="1"/>
  <c r="K832" i="2"/>
  <c r="F819" i="2"/>
  <c r="J819" i="2"/>
  <c r="J12" i="2" s="1"/>
  <c r="K879" i="2"/>
  <c r="E879" i="2"/>
  <c r="K886" i="2"/>
  <c r="K890" i="2"/>
  <c r="K930" i="2"/>
  <c r="K969" i="2"/>
  <c r="F982" i="2"/>
  <c r="K984" i="2"/>
  <c r="K1041" i="2"/>
  <c r="G1046" i="2"/>
  <c r="G1043" i="2"/>
  <c r="G19" i="2" s="1"/>
  <c r="K1049" i="2"/>
  <c r="J1053" i="2"/>
  <c r="L84" i="3"/>
  <c r="I1035" i="2"/>
  <c r="F1036" i="2"/>
  <c r="G1037" i="2"/>
  <c r="K1037" i="2" s="1"/>
  <c r="I1043" i="2"/>
  <c r="I19" i="2" s="1"/>
  <c r="G1062" i="2"/>
  <c r="K1062" i="2" s="1"/>
  <c r="G1081" i="2"/>
  <c r="K1081" i="2" s="1"/>
  <c r="E1083" i="2"/>
  <c r="E1036" i="2" s="1"/>
  <c r="K1085" i="2"/>
  <c r="H1110" i="2"/>
  <c r="H1109" i="2" s="1"/>
  <c r="H1108" i="2" s="1"/>
  <c r="I1111" i="2"/>
  <c r="F1112" i="2"/>
  <c r="K1112" i="2" s="1"/>
  <c r="F1116" i="2"/>
  <c r="K1116" i="2" s="1"/>
  <c r="G1117" i="2"/>
  <c r="E1119" i="2"/>
  <c r="K1121" i="2"/>
  <c r="E1123" i="2"/>
  <c r="E1114" i="2" s="1"/>
  <c r="K1125" i="2"/>
  <c r="K1137" i="2"/>
  <c r="K1141" i="2"/>
  <c r="E1143" i="2"/>
  <c r="E1135" i="2" s="1"/>
  <c r="E1155" i="2"/>
  <c r="K1157" i="2"/>
  <c r="E1159" i="2"/>
  <c r="E1152" i="2" s="1"/>
  <c r="K1161" i="2"/>
  <c r="E1163" i="2"/>
  <c r="E1178" i="2"/>
  <c r="K1183" i="2"/>
  <c r="E1185" i="2"/>
  <c r="K1187" i="2"/>
  <c r="E1201" i="2"/>
  <c r="F1202" i="2"/>
  <c r="J76" i="3"/>
  <c r="L77" i="3"/>
  <c r="L79" i="3"/>
  <c r="L80" i="3"/>
  <c r="E87" i="3"/>
  <c r="E115" i="3"/>
  <c r="E77" i="3" s="1"/>
  <c r="L117" i="3"/>
  <c r="E123" i="3"/>
  <c r="I131" i="3"/>
  <c r="L132" i="3"/>
  <c r="L136" i="3"/>
  <c r="E143" i="3"/>
  <c r="L186" i="3"/>
  <c r="L192" i="3"/>
  <c r="L202" i="3"/>
  <c r="L213" i="3"/>
  <c r="L222" i="3"/>
  <c r="L234" i="3"/>
  <c r="L239" i="3"/>
  <c r="L256" i="3"/>
  <c r="L262" i="3"/>
  <c r="L293" i="3"/>
  <c r="L329" i="3"/>
  <c r="L333" i="3"/>
  <c r="L336" i="3"/>
  <c r="E514" i="3"/>
  <c r="E667" i="3"/>
  <c r="E624" i="3"/>
  <c r="G692" i="3"/>
  <c r="G624" i="3"/>
  <c r="G623" i="3" s="1"/>
  <c r="K943" i="2"/>
  <c r="K983" i="2"/>
  <c r="H1081" i="2"/>
  <c r="F1111" i="2"/>
  <c r="K1111" i="2" s="1"/>
  <c r="K1120" i="2"/>
  <c r="K1124" i="2"/>
  <c r="E1126" i="2"/>
  <c r="E1117" i="2" s="1"/>
  <c r="K1136" i="2"/>
  <c r="G1152" i="2"/>
  <c r="K1152" i="2" s="1"/>
  <c r="E1154" i="2"/>
  <c r="E1158" i="2"/>
  <c r="E1162" i="2"/>
  <c r="E1184" i="2"/>
  <c r="E25" i="3"/>
  <c r="L83" i="3"/>
  <c r="E86" i="3"/>
  <c r="L87" i="3"/>
  <c r="L99" i="3"/>
  <c r="E105" i="3"/>
  <c r="L123" i="3"/>
  <c r="F131" i="3"/>
  <c r="L135" i="3"/>
  <c r="L139" i="3"/>
  <c r="L161" i="3"/>
  <c r="L195" i="3"/>
  <c r="L205" i="3"/>
  <c r="L216" i="3"/>
  <c r="L219" i="3"/>
  <c r="L225" i="3"/>
  <c r="L237" i="3"/>
  <c r="L243" i="3"/>
  <c r="L265" i="3"/>
  <c r="L277" i="3"/>
  <c r="L287" i="3"/>
  <c r="L313" i="3"/>
  <c r="F321" i="3"/>
  <c r="L325" i="3"/>
  <c r="L326" i="3"/>
  <c r="L330" i="3"/>
  <c r="L338" i="3"/>
  <c r="E984" i="2"/>
  <c r="E982" i="2" s="1"/>
  <c r="G1035" i="2"/>
  <c r="F1038" i="2"/>
  <c r="I1041" i="2"/>
  <c r="I17" i="2" s="1"/>
  <c r="E1070" i="2"/>
  <c r="F1110" i="2"/>
  <c r="J1110" i="2"/>
  <c r="J1108" i="2" s="1"/>
  <c r="F1114" i="2"/>
  <c r="K1114" i="2" s="1"/>
  <c r="F1118" i="2"/>
  <c r="K1118" i="2" s="1"/>
  <c r="G14" i="3"/>
  <c r="G16" i="3"/>
  <c r="G17" i="3"/>
  <c r="G18" i="3"/>
  <c r="G20" i="3"/>
  <c r="G21" i="3"/>
  <c r="L78" i="3"/>
  <c r="F82" i="3"/>
  <c r="F74" i="3" s="1"/>
  <c r="L86" i="3"/>
  <c r="L102" i="3"/>
  <c r="F105" i="3"/>
  <c r="L106" i="3"/>
  <c r="F114" i="3"/>
  <c r="L115" i="3"/>
  <c r="E117" i="3"/>
  <c r="E82" i="3" s="1"/>
  <c r="L127" i="3"/>
  <c r="L134" i="3"/>
  <c r="L138" i="3"/>
  <c r="L156" i="3"/>
  <c r="L179" i="3"/>
  <c r="E247" i="3"/>
  <c r="L274" i="3"/>
  <c r="L327" i="3"/>
  <c r="L331" i="3"/>
  <c r="L334" i="3"/>
  <c r="E340" i="3"/>
  <c r="L347" i="3"/>
  <c r="L349" i="3"/>
  <c r="J321" i="3"/>
  <c r="L625" i="3"/>
  <c r="E90" i="3"/>
  <c r="E76" i="3"/>
  <c r="I74" i="3"/>
  <c r="L328" i="3"/>
  <c r="L332" i="3"/>
  <c r="L342" i="3"/>
  <c r="L694" i="3"/>
  <c r="J624" i="3"/>
  <c r="J692" i="3"/>
  <c r="E467" i="3"/>
  <c r="E468" i="3"/>
  <c r="E460" i="3" s="1"/>
  <c r="E469" i="3"/>
  <c r="E461" i="3" s="1"/>
  <c r="E470" i="3"/>
  <c r="E462" i="3" s="1"/>
  <c r="E471" i="3"/>
  <c r="E463" i="3" s="1"/>
  <c r="E472" i="3"/>
  <c r="E464" i="3" s="1"/>
  <c r="E473" i="3"/>
  <c r="E465" i="3" s="1"/>
  <c r="F576" i="3"/>
  <c r="H693" i="3"/>
  <c r="L734" i="3"/>
  <c r="F749" i="3"/>
  <c r="L769" i="3"/>
  <c r="E884" i="3"/>
  <c r="E866" i="3"/>
  <c r="H936" i="3"/>
  <c r="H924" i="3"/>
  <c r="L1094" i="3"/>
  <c r="E1103" i="3"/>
  <c r="E1096" i="3"/>
  <c r="L1210" i="3"/>
  <c r="L450" i="3"/>
  <c r="L513" i="3"/>
  <c r="L514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41" i="3"/>
  <c r="L560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608" i="3"/>
  <c r="L609" i="3"/>
  <c r="L610" i="3"/>
  <c r="L611" i="3"/>
  <c r="L612" i="3"/>
  <c r="L613" i="3"/>
  <c r="L614" i="3"/>
  <c r="L615" i="3"/>
  <c r="L627" i="3"/>
  <c r="L631" i="3"/>
  <c r="L643" i="3"/>
  <c r="L704" i="3"/>
  <c r="L703" i="3" s="1"/>
  <c r="L725" i="3"/>
  <c r="G749" i="3"/>
  <c r="L753" i="3"/>
  <c r="L811" i="3"/>
  <c r="E858" i="3"/>
  <c r="L863" i="3"/>
  <c r="F862" i="3"/>
  <c r="L870" i="3"/>
  <c r="E872" i="3"/>
  <c r="E864" i="3"/>
  <c r="L898" i="3"/>
  <c r="L969" i="3"/>
  <c r="F945" i="3"/>
  <c r="E969" i="3"/>
  <c r="E945" i="3" s="1"/>
  <c r="E932" i="3" s="1"/>
  <c r="L1071" i="3"/>
  <c r="G1090" i="3"/>
  <c r="L1099" i="3"/>
  <c r="L1103" i="3"/>
  <c r="L397" i="3"/>
  <c r="L412" i="3"/>
  <c r="L419" i="3"/>
  <c r="L430" i="3"/>
  <c r="L444" i="3"/>
  <c r="L44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8" i="3"/>
  <c r="L552" i="3"/>
  <c r="L558" i="3"/>
  <c r="E562" i="3"/>
  <c r="L578" i="3"/>
  <c r="L579" i="3"/>
  <c r="L580" i="3"/>
  <c r="L641" i="3"/>
  <c r="L649" i="3"/>
  <c r="L653" i="3"/>
  <c r="L657" i="3"/>
  <c r="L665" i="3"/>
  <c r="F693" i="3"/>
  <c r="L699" i="3"/>
  <c r="L700" i="3"/>
  <c r="F712" i="3"/>
  <c r="L732" i="3"/>
  <c r="L788" i="3"/>
  <c r="E771" i="3"/>
  <c r="E794" i="3"/>
  <c r="L812" i="3"/>
  <c r="E812" i="3"/>
  <c r="E814" i="3"/>
  <c r="L814" i="3"/>
  <c r="L816" i="3"/>
  <c r="E816" i="3"/>
  <c r="E818" i="3"/>
  <c r="L818" i="3"/>
  <c r="L859" i="3"/>
  <c r="E859" i="3"/>
  <c r="L864" i="3"/>
  <c r="L866" i="3"/>
  <c r="E917" i="3"/>
  <c r="E929" i="3"/>
  <c r="F931" i="3"/>
  <c r="L944" i="3"/>
  <c r="F924" i="3"/>
  <c r="E987" i="3"/>
  <c r="L987" i="3"/>
  <c r="L997" i="3"/>
  <c r="L1015" i="3"/>
  <c r="F926" i="3"/>
  <c r="F1012" i="3"/>
  <c r="L1012" i="3" s="1"/>
  <c r="L1017" i="3"/>
  <c r="F1090" i="3"/>
  <c r="L1092" i="3"/>
  <c r="J1090" i="3"/>
  <c r="J1171" i="3"/>
  <c r="J1172" i="3" s="1"/>
  <c r="J1173" i="3" s="1"/>
  <c r="J1161" i="3"/>
  <c r="J1150" i="3"/>
  <c r="J18" i="3" s="1"/>
  <c r="L1208" i="3"/>
  <c r="E522" i="3"/>
  <c r="E515" i="3" s="1"/>
  <c r="E584" i="3"/>
  <c r="E582" i="3" s="1"/>
  <c r="L751" i="3"/>
  <c r="E753" i="3"/>
  <c r="E755" i="3"/>
  <c r="L759" i="3"/>
  <c r="L770" i="3"/>
  <c r="L772" i="3"/>
  <c r="L774" i="3"/>
  <c r="L804" i="3"/>
  <c r="E806" i="3"/>
  <c r="E844" i="3"/>
  <c r="L844" i="3"/>
  <c r="L846" i="3"/>
  <c r="F847" i="3"/>
  <c r="E846" i="3"/>
  <c r="L894" i="3"/>
  <c r="E938" i="3"/>
  <c r="E925" i="3" s="1"/>
  <c r="I936" i="3"/>
  <c r="I925" i="3"/>
  <c r="I11" i="3" s="1"/>
  <c r="H928" i="3"/>
  <c r="L970" i="3"/>
  <c r="F946" i="3"/>
  <c r="E970" i="3"/>
  <c r="E946" i="3" s="1"/>
  <c r="E933" i="3" s="1"/>
  <c r="F971" i="3"/>
  <c r="L993" i="3"/>
  <c r="L1013" i="3"/>
  <c r="L1101" i="3"/>
  <c r="L1255" i="3"/>
  <c r="L1260" i="3"/>
  <c r="E1260" i="3"/>
  <c r="G1277" i="3"/>
  <c r="L1298" i="3"/>
  <c r="F1299" i="3"/>
  <c r="L851" i="3"/>
  <c r="E868" i="3"/>
  <c r="L902" i="3"/>
  <c r="L904" i="3"/>
  <c r="E937" i="3"/>
  <c r="L939" i="3"/>
  <c r="G936" i="3"/>
  <c r="J934" i="3"/>
  <c r="J20" i="3" s="1"/>
  <c r="L989" i="3"/>
  <c r="L992" i="3"/>
  <c r="F929" i="3"/>
  <c r="L994" i="3"/>
  <c r="L998" i="3"/>
  <c r="F927" i="3"/>
  <c r="L1040" i="3"/>
  <c r="L1069" i="3"/>
  <c r="L1077" i="3"/>
  <c r="F1064" i="3"/>
  <c r="L1064" i="3" s="1"/>
  <c r="E1128" i="3"/>
  <c r="E1093" i="3"/>
  <c r="L1142" i="3"/>
  <c r="J1149" i="3"/>
  <c r="J17" i="3" s="1"/>
  <c r="H1154" i="3"/>
  <c r="F1170" i="3"/>
  <c r="L1176" i="3"/>
  <c r="L1178" i="3"/>
  <c r="L1181" i="3"/>
  <c r="E1212" i="3"/>
  <c r="L1212" i="3"/>
  <c r="G1207" i="3"/>
  <c r="G13" i="3" s="1"/>
  <c r="L1215" i="3"/>
  <c r="L1207" i="3" s="1"/>
  <c r="E1217" i="3"/>
  <c r="E1209" i="3" s="1"/>
  <c r="L1217" i="3"/>
  <c r="L1229" i="3"/>
  <c r="E1232" i="3"/>
  <c r="E1226" i="3" s="1"/>
  <c r="L1232" i="3"/>
  <c r="H1249" i="3"/>
  <c r="L1249" i="3" s="1"/>
  <c r="L1253" i="3"/>
  <c r="E1279" i="3"/>
  <c r="L1279" i="3"/>
  <c r="L1282" i="3"/>
  <c r="E1282" i="3"/>
  <c r="L1284" i="3"/>
  <c r="F15" i="5"/>
  <c r="L15" i="5" s="1"/>
  <c r="L938" i="3"/>
  <c r="L942" i="3"/>
  <c r="L973" i="3"/>
  <c r="L1018" i="3"/>
  <c r="L1020" i="3"/>
  <c r="L1024" i="3"/>
  <c r="L1044" i="3"/>
  <c r="L1046" i="3"/>
  <c r="E1051" i="3"/>
  <c r="E1038" i="3" s="1"/>
  <c r="E1039" i="3"/>
  <c r="L1072" i="3"/>
  <c r="L1091" i="3"/>
  <c r="L1116" i="3"/>
  <c r="L1157" i="3"/>
  <c r="E1154" i="3"/>
  <c r="G1161" i="3"/>
  <c r="I1170" i="3"/>
  <c r="I1171" i="3" s="1"/>
  <c r="I1172" i="3" s="1"/>
  <c r="I1173" i="3" s="1"/>
  <c r="E1175" i="3"/>
  <c r="L1185" i="3"/>
  <c r="E1187" i="3"/>
  <c r="H1203" i="3"/>
  <c r="G1206" i="3"/>
  <c r="G12" i="3" s="1"/>
  <c r="L1214" i="3"/>
  <c r="F1226" i="3"/>
  <c r="L1230" i="3"/>
  <c r="F1207" i="3"/>
  <c r="L1251" i="3"/>
  <c r="L1252" i="3"/>
  <c r="E1252" i="3"/>
  <c r="L1254" i="3"/>
  <c r="L1258" i="3"/>
  <c r="H1277" i="3"/>
  <c r="I17" i="5"/>
  <c r="I74" i="5"/>
  <c r="G862" i="3"/>
  <c r="L937" i="3"/>
  <c r="L941" i="3"/>
  <c r="L943" i="3"/>
  <c r="F930" i="3"/>
  <c r="F16" i="3" s="1"/>
  <c r="J936" i="3"/>
  <c r="J930" i="3"/>
  <c r="J16" i="3" s="1"/>
  <c r="F986" i="3"/>
  <c r="L986" i="3" s="1"/>
  <c r="L996" i="3"/>
  <c r="L1014" i="3"/>
  <c r="L1021" i="3"/>
  <c r="L1025" i="3"/>
  <c r="L1045" i="3"/>
  <c r="L1048" i="3"/>
  <c r="L1065" i="3"/>
  <c r="L1073" i="3"/>
  <c r="L1093" i="3"/>
  <c r="L1100" i="3"/>
  <c r="L1102" i="3"/>
  <c r="E1116" i="3"/>
  <c r="E1144" i="3"/>
  <c r="L1169" i="3"/>
  <c r="L1175" i="3"/>
  <c r="L1177" i="3"/>
  <c r="L1179" i="3"/>
  <c r="L1187" i="3"/>
  <c r="E1189" i="3"/>
  <c r="L1209" i="3"/>
  <c r="I1203" i="3"/>
  <c r="E1213" i="3"/>
  <c r="E1205" i="3" s="1"/>
  <c r="G1205" i="3"/>
  <c r="L1213" i="3"/>
  <c r="E1216" i="3"/>
  <c r="E1208" i="3" s="1"/>
  <c r="L1216" i="3"/>
  <c r="E1218" i="3"/>
  <c r="E1210" i="3" s="1"/>
  <c r="L1218" i="3"/>
  <c r="L1227" i="3"/>
  <c r="E1257" i="3"/>
  <c r="L1280" i="3"/>
  <c r="E1298" i="3"/>
  <c r="H13" i="5"/>
  <c r="F12" i="5"/>
  <c r="H1170" i="3"/>
  <c r="H1171" i="3" s="1"/>
  <c r="H1172" i="3" s="1"/>
  <c r="H1173" i="3" s="1"/>
  <c r="L1250" i="3"/>
  <c r="L1278" i="3"/>
  <c r="J1277" i="3"/>
  <c r="G16" i="5"/>
  <c r="J22" i="5"/>
  <c r="L25" i="5"/>
  <c r="L30" i="5"/>
  <c r="L33" i="5"/>
  <c r="E24" i="5"/>
  <c r="E28" i="5"/>
  <c r="E32" i="5"/>
  <c r="E48" i="5"/>
  <c r="L87" i="5"/>
  <c r="L99" i="5"/>
  <c r="L105" i="5"/>
  <c r="L123" i="5"/>
  <c r="E123" i="5"/>
  <c r="F131" i="5"/>
  <c r="L131" i="5" s="1"/>
  <c r="E139" i="5"/>
  <c r="E147" i="5"/>
  <c r="E163" i="5"/>
  <c r="F22" i="5"/>
  <c r="E23" i="5"/>
  <c r="I10" i="5"/>
  <c r="L24" i="5"/>
  <c r="L32" i="5"/>
  <c r="H76" i="5"/>
  <c r="H74" i="5" s="1"/>
  <c r="G82" i="5"/>
  <c r="G84" i="5"/>
  <c r="G19" i="5" s="1"/>
  <c r="E99" i="5"/>
  <c r="L181" i="5"/>
  <c r="G74" i="5"/>
  <c r="L75" i="5"/>
  <c r="L86" i="5"/>
  <c r="L116" i="5"/>
  <c r="L80" i="5" s="1"/>
  <c r="E116" i="5"/>
  <c r="E80" i="5" s="1"/>
  <c r="E74" i="5" s="1"/>
  <c r="G299" i="5"/>
  <c r="L299" i="5" s="1"/>
  <c r="E968" i="3"/>
  <c r="E944" i="3" s="1"/>
  <c r="E931" i="3" s="1"/>
  <c r="E1241" i="3"/>
  <c r="L1256" i="3"/>
  <c r="E1258" i="3"/>
  <c r="E1262" i="3"/>
  <c r="L1275" i="3"/>
  <c r="E1280" i="3"/>
  <c r="E1303" i="3"/>
  <c r="I12" i="5"/>
  <c r="G22" i="5"/>
  <c r="E35" i="5"/>
  <c r="F76" i="5"/>
  <c r="L81" i="5"/>
  <c r="L85" i="5"/>
  <c r="E114" i="5"/>
  <c r="G131" i="5"/>
  <c r="I131" i="5"/>
  <c r="L135" i="5"/>
  <c r="F78" i="5"/>
  <c r="L78" i="5" s="1"/>
  <c r="E131" i="5"/>
  <c r="L163" i="5"/>
  <c r="L492" i="5"/>
  <c r="L432" i="5"/>
  <c r="L497" i="5"/>
  <c r="I555" i="5"/>
  <c r="L563" i="5"/>
  <c r="L565" i="5"/>
  <c r="L568" i="5"/>
  <c r="L584" i="5"/>
  <c r="E588" i="5"/>
  <c r="E581" i="5" s="1"/>
  <c r="E582" i="5"/>
  <c r="E736" i="5"/>
  <c r="F827" i="5"/>
  <c r="E826" i="5"/>
  <c r="L826" i="5"/>
  <c r="F276" i="5"/>
  <c r="L276" i="5" s="1"/>
  <c r="G301" i="5"/>
  <c r="E303" i="5"/>
  <c r="E307" i="5"/>
  <c r="E337" i="5"/>
  <c r="E301" i="5" s="1"/>
  <c r="E299" i="5" s="1"/>
  <c r="E396" i="5"/>
  <c r="L436" i="5"/>
  <c r="L461" i="5"/>
  <c r="F460" i="5"/>
  <c r="L460" i="5" s="1"/>
  <c r="J460" i="5"/>
  <c r="L464" i="5"/>
  <c r="L472" i="5"/>
  <c r="L487" i="5"/>
  <c r="F486" i="5"/>
  <c r="J486" i="5"/>
  <c r="L491" i="5"/>
  <c r="I494" i="5"/>
  <c r="L515" i="5"/>
  <c r="L551" i="5"/>
  <c r="F549" i="5"/>
  <c r="H555" i="5"/>
  <c r="E568" i="5"/>
  <c r="E556" i="5"/>
  <c r="E555" i="5" s="1"/>
  <c r="E639" i="5"/>
  <c r="L671" i="5"/>
  <c r="E671" i="5"/>
  <c r="E665" i="5"/>
  <c r="G344" i="5"/>
  <c r="L344" i="5" s="1"/>
  <c r="L422" i="5"/>
  <c r="G432" i="5"/>
  <c r="L433" i="5"/>
  <c r="E495" i="5"/>
  <c r="G494" i="5"/>
  <c r="L496" i="5"/>
  <c r="E497" i="5"/>
  <c r="E490" i="5" s="1"/>
  <c r="L519" i="5"/>
  <c r="L558" i="5"/>
  <c r="F555" i="5"/>
  <c r="G664" i="5"/>
  <c r="E666" i="5"/>
  <c r="E597" i="5" s="1"/>
  <c r="E674" i="5"/>
  <c r="G303" i="5"/>
  <c r="G13" i="5" s="1"/>
  <c r="E305" i="5"/>
  <c r="E347" i="5"/>
  <c r="E344" i="5" s="1"/>
  <c r="F390" i="5"/>
  <c r="L390" i="5" s="1"/>
  <c r="E394" i="5"/>
  <c r="E390" i="5" s="1"/>
  <c r="E398" i="5"/>
  <c r="E434" i="5"/>
  <c r="E432" i="5" s="1"/>
  <c r="L448" i="5"/>
  <c r="G460" i="5"/>
  <c r="L468" i="5"/>
  <c r="G486" i="5"/>
  <c r="L495" i="5"/>
  <c r="F494" i="5"/>
  <c r="J494" i="5"/>
  <c r="L490" i="5"/>
  <c r="L500" i="5"/>
  <c r="L543" i="5"/>
  <c r="E553" i="5"/>
  <c r="E551" i="5" s="1"/>
  <c r="E549" i="5" s="1"/>
  <c r="E552" i="5"/>
  <c r="L560" i="5"/>
  <c r="L581" i="5"/>
  <c r="L716" i="5"/>
  <c r="L498" i="5"/>
  <c r="G596" i="5"/>
  <c r="G595" i="5" s="1"/>
  <c r="F639" i="5"/>
  <c r="L639" i="5" s="1"/>
  <c r="F666" i="5"/>
  <c r="J666" i="5"/>
  <c r="E717" i="5"/>
  <c r="E716" i="5" s="1"/>
  <c r="E738" i="5"/>
  <c r="E750" i="5"/>
  <c r="E771" i="5"/>
  <c r="E775" i="5"/>
  <c r="E778" i="5"/>
  <c r="F783" i="5"/>
  <c r="F829" i="5"/>
  <c r="L829" i="5" s="1"/>
  <c r="L830" i="5"/>
  <c r="E832" i="5"/>
  <c r="G893" i="5"/>
  <c r="G890" i="5" s="1"/>
  <c r="L908" i="5"/>
  <c r="E916" i="5"/>
  <c r="E904" i="5"/>
  <c r="F936" i="5"/>
  <c r="E935" i="5"/>
  <c r="E911" i="5" s="1"/>
  <c r="E898" i="5" s="1"/>
  <c r="L955" i="5"/>
  <c r="L964" i="5"/>
  <c r="I1138" i="5"/>
  <c r="I1139" i="5" s="1"/>
  <c r="I1140" i="5" s="1"/>
  <c r="L553" i="5"/>
  <c r="L588" i="5"/>
  <c r="G666" i="5"/>
  <c r="G597" i="5" s="1"/>
  <c r="E720" i="5"/>
  <c r="E769" i="5"/>
  <c r="E781" i="5"/>
  <c r="E13" i="5" s="1"/>
  <c r="F782" i="5"/>
  <c r="E812" i="5"/>
  <c r="F813" i="5"/>
  <c r="L825" i="5"/>
  <c r="E831" i="5"/>
  <c r="E829" i="5" s="1"/>
  <c r="F891" i="5"/>
  <c r="L894" i="5"/>
  <c r="G903" i="5"/>
  <c r="L910" i="5"/>
  <c r="F897" i="5"/>
  <c r="L897" i="5" s="1"/>
  <c r="L935" i="5"/>
  <c r="L954" i="5"/>
  <c r="L957" i="5"/>
  <c r="L962" i="5"/>
  <c r="L965" i="5"/>
  <c r="L991" i="5"/>
  <c r="I1170" i="5"/>
  <c r="L665" i="5"/>
  <c r="L672" i="5"/>
  <c r="L675" i="5"/>
  <c r="L674" i="5" s="1"/>
  <c r="L678" i="5"/>
  <c r="L717" i="5"/>
  <c r="L778" i="5"/>
  <c r="L907" i="5"/>
  <c r="F667" i="5"/>
  <c r="L667" i="5" s="1"/>
  <c r="F736" i="5"/>
  <c r="L736" i="5" s="1"/>
  <c r="F784" i="5"/>
  <c r="F16" i="5" s="1"/>
  <c r="L16" i="5" s="1"/>
  <c r="E825" i="5"/>
  <c r="J903" i="5"/>
  <c r="H903" i="5"/>
  <c r="H891" i="5"/>
  <c r="I892" i="5"/>
  <c r="L906" i="5"/>
  <c r="F893" i="5"/>
  <c r="F911" i="5"/>
  <c r="H899" i="5"/>
  <c r="H18" i="5" s="1"/>
  <c r="L953" i="5"/>
  <c r="L981" i="5"/>
  <c r="L985" i="5"/>
  <c r="L988" i="5"/>
  <c r="L966" i="5"/>
  <c r="L987" i="5"/>
  <c r="L1039" i="5"/>
  <c r="G1057" i="5"/>
  <c r="L1059" i="5"/>
  <c r="E1070" i="5"/>
  <c r="E1058" i="5"/>
  <c r="E1057" i="5" s="1"/>
  <c r="E1121" i="5"/>
  <c r="L1171" i="5"/>
  <c r="L1183" i="5"/>
  <c r="L1197" i="5"/>
  <c r="H1174" i="5"/>
  <c r="L1217" i="5"/>
  <c r="F1216" i="5"/>
  <c r="L1216" i="5" s="1"/>
  <c r="L1222" i="5"/>
  <c r="L1225" i="5"/>
  <c r="E1225" i="5"/>
  <c r="E1249" i="5"/>
  <c r="L1249" i="5"/>
  <c r="E1116" i="5"/>
  <c r="J1128" i="5"/>
  <c r="L1144" i="5"/>
  <c r="L1145" i="5"/>
  <c r="H1170" i="5"/>
  <c r="E1180" i="5"/>
  <c r="E1172" i="5" s="1"/>
  <c r="L1180" i="5"/>
  <c r="L1181" i="5"/>
  <c r="L1199" i="5"/>
  <c r="E1199" i="5"/>
  <c r="E1219" i="5"/>
  <c r="L1219" i="5"/>
  <c r="E1227" i="5"/>
  <c r="L1227" i="5"/>
  <c r="L1248" i="5"/>
  <c r="L1251" i="5"/>
  <c r="E1251" i="5"/>
  <c r="L1018" i="5"/>
  <c r="L1036" i="5"/>
  <c r="L1044" i="5"/>
  <c r="F1031" i="5"/>
  <c r="L1031" i="5" s="1"/>
  <c r="L1068" i="5"/>
  <c r="L1112" i="5"/>
  <c r="L1116" i="5"/>
  <c r="F1117" i="5"/>
  <c r="F1121" i="5"/>
  <c r="J1121" i="5"/>
  <c r="J1118" i="5"/>
  <c r="J19" i="5" s="1"/>
  <c r="H1141" i="5"/>
  <c r="H1117" i="5"/>
  <c r="H1108" i="5" s="1"/>
  <c r="E1144" i="5"/>
  <c r="L1173" i="5"/>
  <c r="L1177" i="5"/>
  <c r="G1178" i="5"/>
  <c r="E1179" i="5"/>
  <c r="L1179" i="5"/>
  <c r="I1178" i="5"/>
  <c r="L1182" i="5"/>
  <c r="L1174" i="5" s="1"/>
  <c r="E1182" i="5"/>
  <c r="E1174" i="5" s="1"/>
  <c r="H1193" i="5"/>
  <c r="L1195" i="5"/>
  <c r="F1172" i="5"/>
  <c r="E1218" i="5"/>
  <c r="G1216" i="5"/>
  <c r="L1218" i="5"/>
  <c r="L1221" i="5"/>
  <c r="E1221" i="5"/>
  <c r="L1226" i="5"/>
  <c r="H1244" i="5"/>
  <c r="L1245" i="5"/>
  <c r="J1244" i="5"/>
  <c r="L1007" i="5"/>
  <c r="F1057" i="5"/>
  <c r="L1057" i="5" s="1"/>
  <c r="E1066" i="5"/>
  <c r="I1117" i="5"/>
  <c r="I18" i="5" s="1"/>
  <c r="I1121" i="5"/>
  <c r="L1124" i="5"/>
  <c r="H1137" i="5"/>
  <c r="L1136" i="5"/>
  <c r="F1138" i="5"/>
  <c r="G1139" i="5"/>
  <c r="G1140" i="5" s="1"/>
  <c r="I1141" i="5"/>
  <c r="G1141" i="5"/>
  <c r="L1141" i="5" s="1"/>
  <c r="G1116" i="5"/>
  <c r="G1108" i="5" s="1"/>
  <c r="F1174" i="5"/>
  <c r="G1175" i="5"/>
  <c r="G1170" i="5" s="1"/>
  <c r="F1178" i="5"/>
  <c r="H1178" i="5"/>
  <c r="E1184" i="5"/>
  <c r="E1176" i="5" s="1"/>
  <c r="L1184" i="5"/>
  <c r="L1185" i="5"/>
  <c r="E1193" i="5"/>
  <c r="G1193" i="5"/>
  <c r="I1216" i="5"/>
  <c r="H1216" i="5"/>
  <c r="E1223" i="5"/>
  <c r="L1223" i="5"/>
  <c r="E1242" i="5"/>
  <c r="E1217" i="5"/>
  <c r="L1247" i="5"/>
  <c r="E1247" i="5"/>
  <c r="E1143" i="5"/>
  <c r="E1141" i="5" s="1"/>
  <c r="F1193" i="5"/>
  <c r="F1252" i="5"/>
  <c r="E1266" i="5"/>
  <c r="F1267" i="5"/>
  <c r="L22" i="3" l="1"/>
  <c r="I1150" i="3"/>
  <c r="L925" i="3"/>
  <c r="L512" i="3"/>
  <c r="I692" i="3"/>
  <c r="I624" i="3"/>
  <c r="I10" i="3" s="1"/>
  <c r="E1249" i="3"/>
  <c r="E1090" i="3"/>
  <c r="E512" i="3"/>
  <c r="L1174" i="3"/>
  <c r="L858" i="3"/>
  <c r="E15" i="3"/>
  <c r="I623" i="3"/>
  <c r="E325" i="3"/>
  <c r="E13" i="3" s="1"/>
  <c r="F11" i="3"/>
  <c r="J512" i="3"/>
  <c r="E623" i="3"/>
  <c r="G11" i="3"/>
  <c r="I923" i="3"/>
  <c r="L1226" i="3"/>
  <c r="E1174" i="3"/>
  <c r="E769" i="3"/>
  <c r="L515" i="3"/>
  <c r="E14" i="3"/>
  <c r="E692" i="3"/>
  <c r="J1107" i="2"/>
  <c r="J1040" i="2"/>
  <c r="J16" i="2" s="1"/>
  <c r="F1170" i="5"/>
  <c r="L1170" i="5" s="1"/>
  <c r="L1172" i="5"/>
  <c r="I1108" i="5"/>
  <c r="E22" i="5"/>
  <c r="J623" i="3"/>
  <c r="J10" i="3"/>
  <c r="L16" i="3"/>
  <c r="F1064" i="2"/>
  <c r="F1043" i="2"/>
  <c r="K1043" i="2" s="1"/>
  <c r="E1252" i="5"/>
  <c r="L1252" i="5"/>
  <c r="F1139" i="5"/>
  <c r="F1118" i="5"/>
  <c r="L1118" i="5" s="1"/>
  <c r="I890" i="5"/>
  <c r="I11" i="5"/>
  <c r="L813" i="5"/>
  <c r="F785" i="5"/>
  <c r="F814" i="5"/>
  <c r="E813" i="5"/>
  <c r="J597" i="5"/>
  <c r="J664" i="5"/>
  <c r="L494" i="5"/>
  <c r="E488" i="5"/>
  <c r="E486" i="5" s="1"/>
  <c r="E494" i="5"/>
  <c r="L596" i="5"/>
  <c r="L303" i="5"/>
  <c r="L22" i="5"/>
  <c r="E924" i="3"/>
  <c r="H11" i="5"/>
  <c r="L321" i="3"/>
  <c r="J74" i="3"/>
  <c r="L74" i="3" s="1"/>
  <c r="J11" i="3"/>
  <c r="F1203" i="2"/>
  <c r="E1202" i="2"/>
  <c r="F1188" i="2"/>
  <c r="K1202" i="2"/>
  <c r="K1035" i="2"/>
  <c r="K635" i="2"/>
  <c r="I1063" i="2"/>
  <c r="I1042" i="2"/>
  <c r="I18" i="2" s="1"/>
  <c r="H1053" i="2"/>
  <c r="E817" i="2"/>
  <c r="K750" i="2"/>
  <c r="E750" i="2"/>
  <c r="F722" i="2"/>
  <c r="F751" i="2"/>
  <c r="K561" i="2"/>
  <c r="F15" i="2"/>
  <c r="G13" i="2"/>
  <c r="J390" i="1"/>
  <c r="D390" i="1"/>
  <c r="D386" i="1" s="1"/>
  <c r="E389" i="1"/>
  <c r="E386" i="1"/>
  <c r="J386" i="1" s="1"/>
  <c r="I243" i="1"/>
  <c r="D244" i="1"/>
  <c r="D243" i="1" s="1"/>
  <c r="I236" i="1"/>
  <c r="G23" i="1"/>
  <c r="G20" i="1"/>
  <c r="D92" i="1"/>
  <c r="J347" i="1"/>
  <c r="H115" i="1"/>
  <c r="J115" i="1" s="1"/>
  <c r="J116" i="1"/>
  <c r="D116" i="1"/>
  <c r="D115" i="1" s="1"/>
  <c r="J244" i="1"/>
  <c r="E1216" i="5"/>
  <c r="L1121" i="5"/>
  <c r="F898" i="5"/>
  <c r="L898" i="5" s="1"/>
  <c r="L911" i="5"/>
  <c r="H890" i="5"/>
  <c r="H10" i="5"/>
  <c r="L891" i="5"/>
  <c r="F10" i="5"/>
  <c r="L936" i="5"/>
  <c r="E936" i="5"/>
  <c r="E912" i="5" s="1"/>
  <c r="E899" i="5" s="1"/>
  <c r="F937" i="5"/>
  <c r="F912" i="5"/>
  <c r="E783" i="5"/>
  <c r="E15" i="5" s="1"/>
  <c r="L783" i="5"/>
  <c r="F597" i="5"/>
  <c r="F664" i="5"/>
  <c r="L666" i="5"/>
  <c r="L892" i="5"/>
  <c r="E664" i="5"/>
  <c r="E596" i="5"/>
  <c r="E595" i="5" s="1"/>
  <c r="G17" i="5"/>
  <c r="L82" i="5"/>
  <c r="E11" i="5"/>
  <c r="G12" i="5"/>
  <c r="L12" i="5" s="1"/>
  <c r="E12" i="5"/>
  <c r="L930" i="3"/>
  <c r="L84" i="5"/>
  <c r="G1203" i="3"/>
  <c r="H1161" i="3"/>
  <c r="F1300" i="3"/>
  <c r="E1299" i="3"/>
  <c r="F1285" i="3"/>
  <c r="L1299" i="3"/>
  <c r="L1149" i="3"/>
  <c r="F933" i="3"/>
  <c r="L946" i="3"/>
  <c r="F819" i="3"/>
  <c r="F848" i="3"/>
  <c r="L847" i="3"/>
  <c r="E847" i="3"/>
  <c r="E1149" i="3"/>
  <c r="E17" i="3" s="1"/>
  <c r="L1090" i="3"/>
  <c r="J923" i="3"/>
  <c r="L693" i="3"/>
  <c r="F624" i="3"/>
  <c r="F692" i="3"/>
  <c r="F932" i="3"/>
  <c r="L945" i="3"/>
  <c r="E466" i="3"/>
  <c r="E459" i="3"/>
  <c r="L131" i="3"/>
  <c r="E22" i="3"/>
  <c r="E114" i="3"/>
  <c r="E1118" i="2"/>
  <c r="E1110" i="2"/>
  <c r="E1109" i="2" s="1"/>
  <c r="E16" i="3"/>
  <c r="G1109" i="2"/>
  <c r="G1108" i="2" s="1"/>
  <c r="H816" i="2"/>
  <c r="E692" i="2"/>
  <c r="F556" i="2"/>
  <c r="K622" i="2"/>
  <c r="F621" i="2"/>
  <c r="K255" i="2"/>
  <c r="E719" i="2"/>
  <c r="K719" i="2"/>
  <c r="F14" i="2"/>
  <c r="G556" i="2"/>
  <c r="G621" i="2"/>
  <c r="K557" i="2"/>
  <c r="E114" i="2"/>
  <c r="E77" i="2"/>
  <c r="E22" i="2"/>
  <c r="E10" i="2"/>
  <c r="K817" i="2"/>
  <c r="H453" i="2"/>
  <c r="H14" i="2"/>
  <c r="G346" i="1"/>
  <c r="G368" i="1"/>
  <c r="D237" i="1"/>
  <c r="J237" i="1"/>
  <c r="I816" i="2"/>
  <c r="H18" i="2"/>
  <c r="D562" i="1"/>
  <c r="J369" i="1"/>
  <c r="E368" i="1"/>
  <c r="J368" i="1" s="1"/>
  <c r="E345" i="1"/>
  <c r="J243" i="1"/>
  <c r="E621" i="2"/>
  <c r="E123" i="2"/>
  <c r="D99" i="1"/>
  <c r="D37" i="1"/>
  <c r="J37" i="1"/>
  <c r="I36" i="1"/>
  <c r="K623" i="2"/>
  <c r="H74" i="2"/>
  <c r="D339" i="1"/>
  <c r="J92" i="1"/>
  <c r="L927" i="3"/>
  <c r="F13" i="3"/>
  <c r="L1154" i="3"/>
  <c r="F972" i="3"/>
  <c r="F960" i="3" s="1"/>
  <c r="L960" i="3" s="1"/>
  <c r="E971" i="3"/>
  <c r="E947" i="3" s="1"/>
  <c r="E934" i="3" s="1"/>
  <c r="L971" i="3"/>
  <c r="F947" i="3"/>
  <c r="F861" i="3"/>
  <c r="E860" i="3"/>
  <c r="L860" i="3"/>
  <c r="L862" i="3"/>
  <c r="F839" i="2"/>
  <c r="E862" i="2"/>
  <c r="F863" i="2"/>
  <c r="K862" i="2"/>
  <c r="K645" i="2"/>
  <c r="F558" i="2"/>
  <c r="K624" i="2"/>
  <c r="E408" i="2"/>
  <c r="E401" i="2"/>
  <c r="E400" i="2" s="1"/>
  <c r="E555" i="2"/>
  <c r="H1138" i="5"/>
  <c r="H1139" i="5" s="1"/>
  <c r="H1140" i="5" s="1"/>
  <c r="E1137" i="5"/>
  <c r="L1170" i="3"/>
  <c r="F1150" i="3"/>
  <c r="F1171" i="3"/>
  <c r="E1170" i="3"/>
  <c r="L928" i="3"/>
  <c r="H14" i="3"/>
  <c r="L14" i="3" s="1"/>
  <c r="L924" i="3"/>
  <c r="E862" i="3"/>
  <c r="L749" i="3"/>
  <c r="L105" i="3"/>
  <c r="I1107" i="2"/>
  <c r="I1040" i="2"/>
  <c r="I16" i="2" s="1"/>
  <c r="K76" i="2"/>
  <c r="F11" i="2"/>
  <c r="F74" i="2"/>
  <c r="K74" i="2" s="1"/>
  <c r="D618" i="1"/>
  <c r="D273" i="1"/>
  <c r="D272" i="1" s="1"/>
  <c r="G272" i="1"/>
  <c r="J272" i="1" s="1"/>
  <c r="E231" i="1"/>
  <c r="H337" i="1"/>
  <c r="H336" i="1" s="1"/>
  <c r="H344" i="1"/>
  <c r="L1193" i="5"/>
  <c r="L1178" i="5"/>
  <c r="L1137" i="5"/>
  <c r="L1267" i="5"/>
  <c r="F1268" i="5"/>
  <c r="E1267" i="5"/>
  <c r="F1253" i="5"/>
  <c r="L1175" i="5"/>
  <c r="G14" i="5"/>
  <c r="E1178" i="5"/>
  <c r="E1171" i="5"/>
  <c r="E1170" i="5" s="1"/>
  <c r="L1117" i="5"/>
  <c r="G1128" i="5"/>
  <c r="L893" i="5"/>
  <c r="E784" i="5"/>
  <c r="E16" i="5" s="1"/>
  <c r="L784" i="5"/>
  <c r="J1108" i="5"/>
  <c r="L782" i="5"/>
  <c r="E782" i="5"/>
  <c r="E14" i="5" s="1"/>
  <c r="I1128" i="5"/>
  <c r="E891" i="5"/>
  <c r="L555" i="5"/>
  <c r="L486" i="5"/>
  <c r="G11" i="5"/>
  <c r="L827" i="5"/>
  <c r="F828" i="5"/>
  <c r="E827" i="5"/>
  <c r="F74" i="5"/>
  <c r="L74" i="5" s="1"/>
  <c r="G10" i="5"/>
  <c r="L301" i="5"/>
  <c r="I9" i="5"/>
  <c r="F14" i="5"/>
  <c r="L14" i="5" s="1"/>
  <c r="F13" i="5"/>
  <c r="L13" i="5" s="1"/>
  <c r="L1205" i="3"/>
  <c r="F1203" i="3"/>
  <c r="L1206" i="3"/>
  <c r="I1161" i="3"/>
  <c r="E1204" i="3"/>
  <c r="E1203" i="3" s="1"/>
  <c r="E1211" i="3"/>
  <c r="L929" i="3"/>
  <c r="F15" i="3"/>
  <c r="H1150" i="3"/>
  <c r="J1141" i="3"/>
  <c r="L926" i="3"/>
  <c r="L931" i="3"/>
  <c r="H923" i="3"/>
  <c r="H624" i="3"/>
  <c r="H692" i="3"/>
  <c r="E11" i="3"/>
  <c r="L114" i="3"/>
  <c r="E74" i="3"/>
  <c r="L82" i="3"/>
  <c r="F17" i="3"/>
  <c r="K1110" i="2"/>
  <c r="F1109" i="2"/>
  <c r="K1109" i="2" s="1"/>
  <c r="G10" i="3"/>
  <c r="E520" i="3"/>
  <c r="F12" i="3"/>
  <c r="H1040" i="2"/>
  <c r="H16" i="2" s="1"/>
  <c r="H1107" i="2"/>
  <c r="G1063" i="2"/>
  <c r="K1063" i="2" s="1"/>
  <c r="G1042" i="2"/>
  <c r="G18" i="2" s="1"/>
  <c r="K1036" i="2"/>
  <c r="K982" i="2"/>
  <c r="K819" i="2"/>
  <c r="K630" i="2"/>
  <c r="K513" i="2"/>
  <c r="K400" i="2"/>
  <c r="E1066" i="2"/>
  <c r="F562" i="2"/>
  <c r="K628" i="2"/>
  <c r="K457" i="2"/>
  <c r="F13" i="2"/>
  <c r="K13" i="2" s="1"/>
  <c r="L13" i="2" s="1"/>
  <c r="E1062" i="2"/>
  <c r="I555" i="2"/>
  <c r="I10" i="2"/>
  <c r="G453" i="2"/>
  <c r="K453" i="2" s="1"/>
  <c r="H10" i="2"/>
  <c r="J453" i="2"/>
  <c r="I11" i="2"/>
  <c r="G74" i="2"/>
  <c r="D626" i="1"/>
  <c r="E511" i="1"/>
  <c r="D515" i="1"/>
  <c r="J238" i="1"/>
  <c r="D238" i="1"/>
  <c r="E22" i="1"/>
  <c r="D623" i="1"/>
  <c r="D622" i="1" s="1"/>
  <c r="J97" i="1"/>
  <c r="E93" i="1"/>
  <c r="J93" i="1" s="1"/>
  <c r="D97" i="1"/>
  <c r="D93" i="1" s="1"/>
  <c r="G559" i="1"/>
  <c r="G555" i="1" s="1"/>
  <c r="D533" i="1"/>
  <c r="E517" i="1"/>
  <c r="D330" i="1"/>
  <c r="E329" i="1"/>
  <c r="J330" i="1"/>
  <c r="J98" i="1"/>
  <c r="D98" i="1"/>
  <c r="D94" i="1" s="1"/>
  <c r="E94" i="1"/>
  <c r="J94" i="1" s="1"/>
  <c r="H231" i="1"/>
  <c r="E95" i="1"/>
  <c r="J95" i="1" s="1"/>
  <c r="G546" i="1"/>
  <c r="J371" i="1"/>
  <c r="E17" i="1"/>
  <c r="F385" i="1"/>
  <c r="F388" i="1"/>
  <c r="F387" i="1" s="1"/>
  <c r="F13" i="1" s="1"/>
  <c r="H23" i="1"/>
  <c r="H20" i="1"/>
  <c r="D532" i="1"/>
  <c r="D530" i="1" s="1"/>
  <c r="E516" i="1"/>
  <c r="J74" i="2"/>
  <c r="J11" i="2"/>
  <c r="K455" i="2"/>
  <c r="I618" i="1"/>
  <c r="K82" i="2"/>
  <c r="F17" i="2"/>
  <c r="K17" i="2" s="1"/>
  <c r="G14" i="2"/>
  <c r="D376" i="1"/>
  <c r="D369" i="1"/>
  <c r="E20" i="1"/>
  <c r="E23" i="1"/>
  <c r="E14" i="2"/>
  <c r="E530" i="1"/>
  <c r="E514" i="1" s="1"/>
  <c r="E235" i="1"/>
  <c r="J555" i="2"/>
  <c r="J10" i="2"/>
  <c r="G558" i="1"/>
  <c r="G554" i="1" s="1"/>
  <c r="E338" i="1"/>
  <c r="J346" i="1"/>
  <c r="J273" i="1"/>
  <c r="G388" i="1"/>
  <c r="G387" i="1" s="1"/>
  <c r="G13" i="1" s="1"/>
  <c r="G385" i="1"/>
  <c r="J117" i="1"/>
  <c r="F344" i="1"/>
  <c r="E321" i="3" l="1"/>
  <c r="G9" i="3"/>
  <c r="I18" i="3"/>
  <c r="I9" i="3" s="1"/>
  <c r="I1141" i="3"/>
  <c r="L1171" i="3"/>
  <c r="F1151" i="3"/>
  <c r="F1172" i="3"/>
  <c r="E1171" i="3"/>
  <c r="E1151" i="3" s="1"/>
  <c r="D558" i="1"/>
  <c r="D554" i="1" s="1"/>
  <c r="G1107" i="2"/>
  <c r="K1108" i="2"/>
  <c r="G1040" i="2"/>
  <c r="G19" i="1"/>
  <c r="G16" i="1"/>
  <c r="D516" i="1"/>
  <c r="D512" i="1" s="1"/>
  <c r="E512" i="1"/>
  <c r="D511" i="1"/>
  <c r="K562" i="2"/>
  <c r="F16" i="2"/>
  <c r="H1106" i="2"/>
  <c r="H1039" i="2"/>
  <c r="H15" i="2" s="1"/>
  <c r="L1203" i="3"/>
  <c r="G9" i="5"/>
  <c r="E1150" i="3"/>
  <c r="E1117" i="5"/>
  <c r="L861" i="3"/>
  <c r="E861" i="3"/>
  <c r="G338" i="1"/>
  <c r="G344" i="1"/>
  <c r="K621" i="2"/>
  <c r="L692" i="3"/>
  <c r="E1285" i="3"/>
  <c r="L1285" i="3"/>
  <c r="D95" i="1"/>
  <c r="E388" i="1"/>
  <c r="E385" i="1"/>
  <c r="J389" i="1"/>
  <c r="D389" i="1"/>
  <c r="E722" i="2"/>
  <c r="E17" i="2" s="1"/>
  <c r="L17" i="2" s="1"/>
  <c r="K722" i="2"/>
  <c r="F1204" i="2"/>
  <c r="E1203" i="2"/>
  <c r="F1189" i="2"/>
  <c r="K1203" i="2"/>
  <c r="F815" i="5"/>
  <c r="E814" i="5"/>
  <c r="L814" i="5"/>
  <c r="F786" i="5"/>
  <c r="E1138" i="5"/>
  <c r="E1118" i="5" s="1"/>
  <c r="F1065" i="2"/>
  <c r="F1044" i="2"/>
  <c r="J9" i="3"/>
  <c r="E10" i="5"/>
  <c r="L11" i="3"/>
  <c r="E1253" i="5"/>
  <c r="L1253" i="5"/>
  <c r="I1106" i="2"/>
  <c r="I1039" i="2"/>
  <c r="I15" i="2" s="1"/>
  <c r="F623" i="3"/>
  <c r="L624" i="3"/>
  <c r="F10" i="3"/>
  <c r="H1128" i="5"/>
  <c r="K11" i="2"/>
  <c r="L11" i="2" s="1"/>
  <c r="E1042" i="2"/>
  <c r="L1150" i="3"/>
  <c r="K558" i="2"/>
  <c r="F12" i="2"/>
  <c r="K12" i="2" s="1"/>
  <c r="E839" i="2"/>
  <c r="L947" i="3"/>
  <c r="F934" i="3"/>
  <c r="E91" i="1"/>
  <c r="J91" i="1" s="1"/>
  <c r="E337" i="1"/>
  <c r="J345" i="1"/>
  <c r="E344" i="1"/>
  <c r="J344" i="1" s="1"/>
  <c r="D559" i="1"/>
  <c r="D555" i="1" s="1"/>
  <c r="E74" i="2"/>
  <c r="E12" i="2"/>
  <c r="L12" i="2" s="1"/>
  <c r="G555" i="2"/>
  <c r="G10" i="2"/>
  <c r="K556" i="2"/>
  <c r="F555" i="2"/>
  <c r="F10" i="2"/>
  <c r="L932" i="3"/>
  <c r="F849" i="3"/>
  <c r="E848" i="3"/>
  <c r="L848" i="3"/>
  <c r="F820" i="3"/>
  <c r="L1300" i="3"/>
  <c r="F1301" i="3"/>
  <c r="F1286" i="3"/>
  <c r="E1300" i="3"/>
  <c r="L664" i="5"/>
  <c r="F899" i="5"/>
  <c r="L912" i="5"/>
  <c r="J595" i="5"/>
  <c r="J11" i="5"/>
  <c r="J9" i="5" s="1"/>
  <c r="L1138" i="5"/>
  <c r="F384" i="1"/>
  <c r="F11" i="1"/>
  <c r="F10" i="1" s="1"/>
  <c r="E328" i="1"/>
  <c r="J328" i="1" s="1"/>
  <c r="J329" i="1"/>
  <c r="D329" i="1"/>
  <c r="D328" i="1" s="1"/>
  <c r="I9" i="2"/>
  <c r="K863" i="2"/>
  <c r="F864" i="2"/>
  <c r="E863" i="2"/>
  <c r="E840" i="2" s="1"/>
  <c r="E827" i="2" s="1"/>
  <c r="F840" i="2"/>
  <c r="E972" i="3"/>
  <c r="L972" i="3"/>
  <c r="F948" i="3"/>
  <c r="L933" i="3"/>
  <c r="I1064" i="2"/>
  <c r="I1065" i="2" s="1"/>
  <c r="K1188" i="2"/>
  <c r="E1188" i="2"/>
  <c r="L785" i="5"/>
  <c r="E785" i="5"/>
  <c r="E17" i="5" s="1"/>
  <c r="F17" i="5"/>
  <c r="L17" i="5" s="1"/>
  <c r="F1140" i="5"/>
  <c r="E1139" i="5"/>
  <c r="E1119" i="5" s="1"/>
  <c r="L1139" i="5"/>
  <c r="F1119" i="5"/>
  <c r="E16" i="1"/>
  <c r="E19" i="1"/>
  <c r="H19" i="1"/>
  <c r="H16" i="1"/>
  <c r="L12" i="3"/>
  <c r="H18" i="3"/>
  <c r="H1141" i="3"/>
  <c r="G384" i="1"/>
  <c r="D368" i="1"/>
  <c r="D345" i="1"/>
  <c r="D344" i="1" s="1"/>
  <c r="E12" i="1"/>
  <c r="D517" i="1"/>
  <c r="D513" i="1" s="1"/>
  <c r="E513" i="1"/>
  <c r="E510" i="1" s="1"/>
  <c r="E18" i="1"/>
  <c r="H9" i="2"/>
  <c r="K1042" i="2"/>
  <c r="G1064" i="2"/>
  <c r="G1065" i="2" s="1"/>
  <c r="L17" i="3"/>
  <c r="H623" i="3"/>
  <c r="H10" i="3"/>
  <c r="L15" i="3"/>
  <c r="L828" i="5"/>
  <c r="E828" i="5"/>
  <c r="F1269" i="5"/>
  <c r="E1268" i="5"/>
  <c r="F1254" i="5"/>
  <c r="L1268" i="5"/>
  <c r="K839" i="2"/>
  <c r="F826" i="2"/>
  <c r="L13" i="3"/>
  <c r="I35" i="1"/>
  <c r="D36" i="1"/>
  <c r="D35" i="1" s="1"/>
  <c r="J36" i="1"/>
  <c r="K14" i="2"/>
  <c r="L14" i="2" s="1"/>
  <c r="E12" i="3"/>
  <c r="E458" i="3"/>
  <c r="E10" i="3"/>
  <c r="E819" i="3"/>
  <c r="L819" i="3"/>
  <c r="F18" i="3"/>
  <c r="F595" i="5"/>
  <c r="L597" i="5"/>
  <c r="F11" i="5"/>
  <c r="L11" i="5" s="1"/>
  <c r="L937" i="5"/>
  <c r="F913" i="5"/>
  <c r="F938" i="5"/>
  <c r="E937" i="5"/>
  <c r="L10" i="5"/>
  <c r="H9" i="5"/>
  <c r="D91" i="1"/>
  <c r="I235" i="1"/>
  <c r="J235" i="1" s="1"/>
  <c r="I232" i="1"/>
  <c r="D236" i="1"/>
  <c r="J236" i="1"/>
  <c r="K751" i="2"/>
  <c r="F723" i="2"/>
  <c r="F752" i="2"/>
  <c r="E751" i="2"/>
  <c r="E1063" i="2"/>
  <c r="E1043" i="2" s="1"/>
  <c r="J1039" i="2"/>
  <c r="J15" i="2" s="1"/>
  <c r="J9" i="2" s="1"/>
  <c r="J1106" i="2"/>
  <c r="H9" i="3" l="1"/>
  <c r="L1140" i="5"/>
  <c r="E1140" i="5"/>
  <c r="F1120" i="5"/>
  <c r="E1120" i="5" s="1"/>
  <c r="F935" i="3"/>
  <c r="L948" i="3"/>
  <c r="K10" i="2"/>
  <c r="F936" i="3"/>
  <c r="E826" i="2"/>
  <c r="L623" i="3"/>
  <c r="K1065" i="2"/>
  <c r="E1065" i="2"/>
  <c r="F1045" i="2"/>
  <c r="E1045" i="2" s="1"/>
  <c r="F1053" i="2"/>
  <c r="J385" i="1"/>
  <c r="G12" i="1"/>
  <c r="G336" i="1"/>
  <c r="E1108" i="5"/>
  <c r="H1105" i="2"/>
  <c r="H1038" i="2"/>
  <c r="H1033" i="2" s="1"/>
  <c r="D510" i="1"/>
  <c r="J1105" i="2"/>
  <c r="J1038" i="2"/>
  <c r="J1033" i="2" s="1"/>
  <c r="F724" i="2"/>
  <c r="E752" i="2"/>
  <c r="F753" i="2"/>
  <c r="K752" i="2"/>
  <c r="D232" i="1"/>
  <c r="D231" i="1" s="1"/>
  <c r="D235" i="1"/>
  <c r="E913" i="5"/>
  <c r="G1053" i="2"/>
  <c r="H15" i="1"/>
  <c r="H11" i="1"/>
  <c r="H10" i="1" s="1"/>
  <c r="L1119" i="5"/>
  <c r="F1108" i="5"/>
  <c r="L1108" i="5" s="1"/>
  <c r="K864" i="2"/>
  <c r="E864" i="2"/>
  <c r="E841" i="2" s="1"/>
  <c r="E828" i="2" s="1"/>
  <c r="F841" i="2"/>
  <c r="F821" i="3"/>
  <c r="E849" i="3"/>
  <c r="F850" i="3"/>
  <c r="L849" i="3"/>
  <c r="K555" i="2"/>
  <c r="L934" i="3"/>
  <c r="K1064" i="2"/>
  <c r="K1189" i="2"/>
  <c r="E1189" i="2"/>
  <c r="J388" i="1"/>
  <c r="E387" i="1"/>
  <c r="J387" i="1" s="1"/>
  <c r="D514" i="1"/>
  <c r="D338" i="1"/>
  <c r="K1040" i="2"/>
  <c r="G16" i="2"/>
  <c r="K16" i="2" s="1"/>
  <c r="L16" i="2" s="1"/>
  <c r="F852" i="2"/>
  <c r="K852" i="2" s="1"/>
  <c r="E948" i="3"/>
  <c r="E960" i="3"/>
  <c r="L899" i="5"/>
  <c r="L1286" i="3"/>
  <c r="E1286" i="3"/>
  <c r="L820" i="3"/>
  <c r="E820" i="3"/>
  <c r="F19" i="3"/>
  <c r="D337" i="1"/>
  <c r="J337" i="1"/>
  <c r="E336" i="1"/>
  <c r="J336" i="1" s="1"/>
  <c r="L10" i="3"/>
  <c r="K1044" i="2"/>
  <c r="F816" i="5"/>
  <c r="E815" i="5"/>
  <c r="L815" i="5"/>
  <c r="F787" i="5"/>
  <c r="D388" i="1"/>
  <c r="D385" i="1"/>
  <c r="D384" i="1" s="1"/>
  <c r="J338" i="1"/>
  <c r="L1172" i="3"/>
  <c r="F1152" i="3"/>
  <c r="F1173" i="3"/>
  <c r="E1172" i="3"/>
  <c r="L18" i="3"/>
  <c r="E1269" i="5"/>
  <c r="E1258" i="5" s="1"/>
  <c r="L1269" i="5"/>
  <c r="F1255" i="5"/>
  <c r="F1244" i="5" s="1"/>
  <c r="L1244" i="5" s="1"/>
  <c r="F1258" i="5"/>
  <c r="L1258" i="5" s="1"/>
  <c r="K723" i="2"/>
  <c r="E723" i="2"/>
  <c r="F18" i="2"/>
  <c r="K18" i="2" s="1"/>
  <c r="I231" i="1"/>
  <c r="J231" i="1" s="1"/>
  <c r="J232" i="1"/>
  <c r="E938" i="5"/>
  <c r="E914" i="5" s="1"/>
  <c r="E901" i="5" s="1"/>
  <c r="F914" i="5"/>
  <c r="F939" i="5"/>
  <c r="L938" i="5"/>
  <c r="I30" i="1"/>
  <c r="J35" i="1"/>
  <c r="K826" i="2"/>
  <c r="L1254" i="5"/>
  <c r="E1254" i="5"/>
  <c r="E11" i="1"/>
  <c r="E15" i="1"/>
  <c r="F1128" i="5"/>
  <c r="L1128" i="5" s="1"/>
  <c r="L913" i="5"/>
  <c r="F900" i="5"/>
  <c r="L900" i="5" s="1"/>
  <c r="L595" i="5"/>
  <c r="E18" i="3"/>
  <c r="I1053" i="2"/>
  <c r="K840" i="2"/>
  <c r="F827" i="2"/>
  <c r="K827" i="2" s="1"/>
  <c r="L1301" i="3"/>
  <c r="F1302" i="3"/>
  <c r="E1301" i="3"/>
  <c r="F1287" i="3"/>
  <c r="E852" i="2"/>
  <c r="I1105" i="2"/>
  <c r="I1038" i="2"/>
  <c r="I1033" i="2" s="1"/>
  <c r="E1064" i="2"/>
  <c r="E1044" i="2" s="1"/>
  <c r="E1033" i="2" s="1"/>
  <c r="L786" i="5"/>
  <c r="E786" i="5"/>
  <c r="E18" i="5" s="1"/>
  <c r="F18" i="5"/>
  <c r="L18" i="5" s="1"/>
  <c r="K1204" i="2"/>
  <c r="F1205" i="2"/>
  <c r="E1204" i="2"/>
  <c r="F1190" i="2"/>
  <c r="E1128" i="5"/>
  <c r="E1053" i="2"/>
  <c r="G15" i="1"/>
  <c r="G11" i="1"/>
  <c r="G10" i="1" s="1"/>
  <c r="K1107" i="2"/>
  <c r="G1039" i="2"/>
  <c r="G1106" i="2"/>
  <c r="L1151" i="3"/>
  <c r="E19" i="3" l="1"/>
  <c r="F1191" i="2"/>
  <c r="K1205" i="2"/>
  <c r="E1205" i="2"/>
  <c r="E939" i="5"/>
  <c r="L939" i="5"/>
  <c r="F915" i="5"/>
  <c r="F927" i="5"/>
  <c r="L927" i="5" s="1"/>
  <c r="L1173" i="3"/>
  <c r="F1153" i="3"/>
  <c r="E1173" i="3"/>
  <c r="E1161" i="3" s="1"/>
  <c r="F1161" i="3"/>
  <c r="L935" i="3"/>
  <c r="F923" i="3"/>
  <c r="L923" i="3" s="1"/>
  <c r="G15" i="2"/>
  <c r="K1039" i="2"/>
  <c r="F1194" i="2"/>
  <c r="K1194" i="2" s="1"/>
  <c r="L1302" i="3"/>
  <c r="F1288" i="3"/>
  <c r="E1302" i="3"/>
  <c r="E1291" i="3" s="1"/>
  <c r="F1291" i="3"/>
  <c r="L1291" i="3" s="1"/>
  <c r="L914" i="5"/>
  <c r="F901" i="5"/>
  <c r="L901" i="5" s="1"/>
  <c r="L1152" i="3"/>
  <c r="F1141" i="3"/>
  <c r="L816" i="5"/>
  <c r="F788" i="5"/>
  <c r="F817" i="5"/>
  <c r="E816" i="5"/>
  <c r="F828" i="2"/>
  <c r="K828" i="2" s="1"/>
  <c r="K841" i="2"/>
  <c r="F829" i="2"/>
  <c r="K829" i="2" s="1"/>
  <c r="E13" i="1"/>
  <c r="E900" i="5"/>
  <c r="F754" i="2"/>
  <c r="E753" i="2"/>
  <c r="K753" i="2"/>
  <c r="F725" i="2"/>
  <c r="E384" i="1"/>
  <c r="J384" i="1" s="1"/>
  <c r="L821" i="3"/>
  <c r="E821" i="3"/>
  <c r="F20" i="3"/>
  <c r="L936" i="3"/>
  <c r="E1190" i="2"/>
  <c r="K1190" i="2"/>
  <c r="F1180" i="2"/>
  <c r="K1180" i="2" s="1"/>
  <c r="I29" i="1"/>
  <c r="I26" i="1"/>
  <c r="J30" i="1"/>
  <c r="D30" i="1"/>
  <c r="L1255" i="5"/>
  <c r="E1255" i="5"/>
  <c r="E1244" i="5" s="1"/>
  <c r="E787" i="5"/>
  <c r="E19" i="5" s="1"/>
  <c r="L787" i="5"/>
  <c r="F19" i="5"/>
  <c r="L19" i="5" s="1"/>
  <c r="F1033" i="2"/>
  <c r="D336" i="1"/>
  <c r="L850" i="3"/>
  <c r="E850" i="3"/>
  <c r="E839" i="3" s="1"/>
  <c r="F822" i="3"/>
  <c r="F839" i="3"/>
  <c r="L839" i="3" s="1"/>
  <c r="E829" i="2"/>
  <c r="L10" i="2"/>
  <c r="G1105" i="2"/>
  <c r="K1105" i="2" s="1"/>
  <c r="K1106" i="2"/>
  <c r="G1038" i="2"/>
  <c r="E1194" i="2"/>
  <c r="E1287" i="3"/>
  <c r="L1287" i="3"/>
  <c r="E10" i="1"/>
  <c r="F816" i="2"/>
  <c r="K816" i="2" s="1"/>
  <c r="E18" i="2"/>
  <c r="E1152" i="3"/>
  <c r="L19" i="3"/>
  <c r="E935" i="3"/>
  <c r="E936" i="3"/>
  <c r="K724" i="2"/>
  <c r="E724" i="2"/>
  <c r="E19" i="2" s="1"/>
  <c r="F19" i="2"/>
  <c r="K19" i="2" s="1"/>
  <c r="K1053" i="2"/>
  <c r="E816" i="2"/>
  <c r="K725" i="2" l="1"/>
  <c r="E725" i="2"/>
  <c r="E20" i="2" s="1"/>
  <c r="L20" i="2" s="1"/>
  <c r="F20" i="2"/>
  <c r="K20" i="2" s="1"/>
  <c r="L19" i="2"/>
  <c r="G1033" i="2"/>
  <c r="K1033" i="2" s="1"/>
  <c r="K1038" i="2"/>
  <c r="D29" i="1"/>
  <c r="I28" i="1"/>
  <c r="J29" i="1"/>
  <c r="E1288" i="3"/>
  <c r="E1277" i="3" s="1"/>
  <c r="L1288" i="3"/>
  <c r="F1277" i="3"/>
  <c r="L1277" i="3" s="1"/>
  <c r="K15" i="2"/>
  <c r="G9" i="2"/>
  <c r="E1153" i="3"/>
  <c r="E1141" i="3" s="1"/>
  <c r="F902" i="5"/>
  <c r="L915" i="5"/>
  <c r="F903" i="5"/>
  <c r="L903" i="5" s="1"/>
  <c r="E923" i="3"/>
  <c r="E822" i="3"/>
  <c r="E810" i="3" s="1"/>
  <c r="L822" i="3"/>
  <c r="I22" i="1"/>
  <c r="J26" i="1"/>
  <c r="D26" i="1"/>
  <c r="E20" i="3"/>
  <c r="E788" i="5"/>
  <c r="E20" i="5" s="1"/>
  <c r="L788" i="5"/>
  <c r="F20" i="5"/>
  <c r="L18" i="2"/>
  <c r="F810" i="3"/>
  <c r="L810" i="3" s="1"/>
  <c r="L1141" i="3"/>
  <c r="F890" i="5"/>
  <c r="L890" i="5" s="1"/>
  <c r="E1191" i="2"/>
  <c r="E1180" i="2" s="1"/>
  <c r="K1191" i="2"/>
  <c r="L20" i="3"/>
  <c r="E754" i="2"/>
  <c r="E743" i="2" s="1"/>
  <c r="F726" i="2"/>
  <c r="F714" i="2" s="1"/>
  <c r="K714" i="2" s="1"/>
  <c r="K754" i="2"/>
  <c r="F743" i="2"/>
  <c r="K743" i="2" s="1"/>
  <c r="L817" i="5"/>
  <c r="F789" i="5"/>
  <c r="F777" i="5" s="1"/>
  <c r="L777" i="5" s="1"/>
  <c r="E817" i="5"/>
  <c r="E806" i="5" s="1"/>
  <c r="F806" i="5"/>
  <c r="L806" i="5" s="1"/>
  <c r="F21" i="3"/>
  <c r="L1161" i="3"/>
  <c r="E915" i="5"/>
  <c r="E927" i="5"/>
  <c r="L21" i="3" l="1"/>
  <c r="I24" i="1"/>
  <c r="I27" i="1"/>
  <c r="J28" i="1"/>
  <c r="D28" i="1"/>
  <c r="D27" i="1" s="1"/>
  <c r="E902" i="5"/>
  <c r="E903" i="5"/>
  <c r="I18" i="1"/>
  <c r="J22" i="1"/>
  <c r="D22" i="1"/>
  <c r="D18" i="1" s="1"/>
  <c r="D13" i="1" s="1"/>
  <c r="L902" i="5"/>
  <c r="F21" i="5"/>
  <c r="L21" i="5" s="1"/>
  <c r="L15" i="2"/>
  <c r="L789" i="5"/>
  <c r="E789" i="5"/>
  <c r="E777" i="5" s="1"/>
  <c r="E726" i="2"/>
  <c r="K726" i="2"/>
  <c r="F21" i="2"/>
  <c r="L20" i="5"/>
  <c r="F9" i="5"/>
  <c r="L9" i="5" s="1"/>
  <c r="E21" i="3"/>
  <c r="E9" i="3" s="1"/>
  <c r="F9" i="3"/>
  <c r="E21" i="2" l="1"/>
  <c r="E714" i="2"/>
  <c r="I20" i="1"/>
  <c r="J24" i="1"/>
  <c r="D24" i="1"/>
  <c r="K21" i="2"/>
  <c r="K22" i="2" s="1"/>
  <c r="F9" i="2"/>
  <c r="K9" i="2" s="1"/>
  <c r="I13" i="1"/>
  <c r="J13" i="1" s="1"/>
  <c r="J18" i="1"/>
  <c r="E21" i="5"/>
  <c r="E9" i="5" s="1"/>
  <c r="E890" i="5"/>
  <c r="L9" i="3"/>
  <c r="J27" i="1"/>
  <c r="I25" i="1"/>
  <c r="I21" i="1" l="1"/>
  <c r="J25" i="1"/>
  <c r="D25" i="1"/>
  <c r="D23" i="1" s="1"/>
  <c r="I16" i="1"/>
  <c r="I19" i="1"/>
  <c r="J19" i="1" s="1"/>
  <c r="D20" i="1"/>
  <c r="J20" i="1"/>
  <c r="I23" i="1"/>
  <c r="J23" i="1" s="1"/>
  <c r="L21" i="2"/>
  <c r="E9" i="2"/>
  <c r="L9" i="2" s="1"/>
  <c r="D16" i="1" l="1"/>
  <c r="I11" i="1"/>
  <c r="I15" i="1"/>
  <c r="J15" i="1" s="1"/>
  <c r="J16" i="1"/>
  <c r="I17" i="1"/>
  <c r="D21" i="1"/>
  <c r="D17" i="1" s="1"/>
  <c r="D12" i="1" s="1"/>
  <c r="J21" i="1"/>
  <c r="J11" i="1" l="1"/>
  <c r="I12" i="1"/>
  <c r="J12" i="1" s="1"/>
  <c r="J17" i="1"/>
  <c r="D15" i="1"/>
  <c r="D11" i="1"/>
  <c r="D10" i="1" s="1"/>
  <c r="D19" i="1"/>
  <c r="I10" i="1" l="1"/>
  <c r="J10" i="1" s="1"/>
</calcChain>
</file>

<file path=xl/comments1.xml><?xml version="1.0" encoding="utf-8"?>
<comments xmlns="http://schemas.openxmlformats.org/spreadsheetml/2006/main">
  <authors>
    <author>Мельник Н.А.</author>
  </authors>
  <commentList>
    <comment ref="H268" authorId="0">
      <text>
        <r>
          <rPr>
            <b/>
            <sz val="9"/>
            <rFont val="Tahoma"/>
            <charset val="204"/>
          </rPr>
          <t>Мельник Н.А.:
8026 млн.руб.</t>
        </r>
      </text>
    </comment>
    <comment ref="B654" authorId="0">
      <text>
        <r>
          <rPr>
            <b/>
            <sz val="9"/>
            <rFont val="Tahoma"/>
            <charset val="204"/>
          </rPr>
          <t>Мельник Н.А.:
доп. Проведение специальной оценки условий труда рабочих мест - 141383 руб. без учета изм. бюджета</t>
        </r>
      </text>
    </comment>
  </commentList>
</comments>
</file>

<file path=xl/comments2.xml><?xml version="1.0" encoding="utf-8"?>
<comments xmlns="http://schemas.openxmlformats.org/spreadsheetml/2006/main">
  <authors>
    <author>Мельник Н.А.</author>
    <author>Серебро</author>
  </authors>
  <commentList>
    <comment ref="E146" authorId="0">
      <text>
        <r>
          <rPr>
            <b/>
            <sz val="9"/>
            <rFont val="Tahoma"/>
            <charset val="204"/>
          </rPr>
          <t>Мельник Н.А.:
нет в бюджете</t>
        </r>
      </text>
    </comment>
    <comment ref="B167" authorId="1">
      <text>
        <r>
          <rPr>
            <b/>
            <sz val="9"/>
            <rFont val="Tahoma"/>
            <charset val="204"/>
          </rPr>
          <t>Серебро:
по ЧС</t>
        </r>
      </text>
    </comment>
    <comment ref="D190" authorId="0">
      <text>
        <r>
          <rPr>
            <b/>
            <sz val="9"/>
            <rFont val="Tahoma"/>
            <charset val="204"/>
          </rPr>
          <t>Мельник Н.А.:
по программме</t>
        </r>
      </text>
    </comment>
    <comment ref="E308" authorId="0">
      <text>
        <r>
          <rPr>
            <b/>
            <sz val="9"/>
            <rFont val="Tahoma"/>
            <charset val="204"/>
          </rPr>
          <t xml:space="preserve">Мельник Н.А.:
в бюджете -0, в программе </t>
        </r>
      </text>
    </comment>
    <comment ref="B378" authorId="0">
      <text>
        <r>
          <rPr>
            <b/>
            <sz val="9"/>
            <rFont val="Tahoma"/>
            <charset val="204"/>
          </rPr>
          <t>Мельник Н.А.:
квл. куми</t>
        </r>
      </text>
    </comment>
    <comment ref="E390" authorId="0">
      <text>
        <r>
          <rPr>
            <b/>
            <sz val="9"/>
            <rFont val="Tahoma"/>
            <charset val="204"/>
          </rPr>
          <t>Мельник Н.А.:
нет смет, в бюджете не предусмотрены</t>
        </r>
      </text>
    </comment>
    <comment ref="J999" authorId="0">
      <text>
        <r>
          <rPr>
            <b/>
            <sz val="9"/>
            <rFont val="Tahoma"/>
            <charset val="204"/>
          </rPr>
          <t xml:space="preserve">Мельник Н.А.:
В БЮДЖЕТЕ НЕТ
</t>
        </r>
      </text>
    </comment>
    <comment ref="D1080" authorId="0">
      <text>
        <r>
          <rPr>
            <b/>
            <sz val="9"/>
            <rFont val="Tahoma"/>
            <charset val="204"/>
          </rPr>
          <t>Мельник Н.А.:
в программе 2021, в бюджет не включили</t>
        </r>
      </text>
    </comment>
  </commentList>
</comments>
</file>

<file path=xl/comments3.xml><?xml version="1.0" encoding="utf-8"?>
<comments xmlns="http://schemas.openxmlformats.org/spreadsheetml/2006/main">
  <authors>
    <author>Мельник Н.А.</author>
    <author>Серебро</author>
  </authors>
  <commentList>
    <comment ref="E154" authorId="0">
      <text>
        <r>
          <rPr>
            <b/>
            <sz val="9"/>
            <rFont val="Tahoma"/>
            <charset val="204"/>
          </rPr>
          <t>Мельник Н.А.:
нет в бюджете</t>
        </r>
      </text>
    </comment>
    <comment ref="B159" authorId="0">
      <text>
        <r>
          <rPr>
            <b/>
            <sz val="9"/>
            <rFont val="Tahoma"/>
            <charset val="204"/>
          </rPr>
          <t>Мельник Н.А.:
по соглашению</t>
        </r>
      </text>
    </comment>
    <comment ref="B179" authorId="1">
      <text>
        <r>
          <rPr>
            <b/>
            <sz val="9"/>
            <rFont val="Tahoma"/>
            <charset val="204"/>
          </rPr>
          <t>Серебро:
по ЧС</t>
        </r>
      </text>
    </comment>
    <comment ref="D201" authorId="0">
      <text>
        <r>
          <rPr>
            <b/>
            <sz val="9"/>
            <rFont val="Tahoma"/>
            <charset val="204"/>
          </rPr>
          <t>Мельник Н.А.:
по программме</t>
        </r>
      </text>
    </comment>
    <comment ref="E357" authorId="0">
      <text>
        <r>
          <rPr>
            <b/>
            <sz val="9"/>
            <rFont val="Tahoma"/>
            <charset val="204"/>
          </rPr>
          <t xml:space="preserve">Мельник Н.А.:
в бюджете -0, в программе </t>
        </r>
      </text>
    </comment>
    <comment ref="E456" authorId="0">
      <text>
        <r>
          <rPr>
            <b/>
            <sz val="9"/>
            <rFont val="Tahoma"/>
            <charset val="204"/>
          </rPr>
          <t>Мельник Н.А.:
нет смет, в бюджете не предусмотрены</t>
        </r>
      </text>
    </comment>
    <comment ref="E559" authorId="0">
      <text>
        <r>
          <rPr>
            <b/>
            <sz val="9"/>
            <rFont val="Tahoma"/>
            <charset val="204"/>
          </rPr>
          <t>Мельник Н.А.:
данные дорож.службы</t>
        </r>
      </text>
    </comment>
    <comment ref="E754" authorId="0">
      <text>
        <r>
          <rPr>
            <b/>
            <sz val="9"/>
            <rFont val="Tahoma"/>
            <charset val="204"/>
          </rPr>
          <t>Мельник Н.А.:
народные инициативы</t>
        </r>
      </text>
    </comment>
    <comment ref="J762" authorId="0">
      <text>
        <r>
          <rPr>
            <b/>
            <sz val="9"/>
            <rFont val="Tahoma"/>
            <charset val="204"/>
          </rPr>
          <t>Мельник Н.А.:
к софинансированию дополнительно включено 6 тыс. на работы</t>
        </r>
      </text>
    </comment>
    <comment ref="J1107" authorId="0">
      <text>
        <r>
          <rPr>
            <b/>
            <sz val="9"/>
            <rFont val="Tahoma"/>
            <charset val="204"/>
          </rPr>
          <t xml:space="preserve">Мельник Н.А.:
В БЮДЖЕТЕ НЕТ
</t>
        </r>
      </text>
    </comment>
  </commentList>
</comments>
</file>

<file path=xl/comments4.xml><?xml version="1.0" encoding="utf-8"?>
<comments xmlns="http://schemas.openxmlformats.org/spreadsheetml/2006/main">
  <authors>
    <author>Мельник Н.А.</author>
    <author>Серебро</author>
  </authors>
  <commentList>
    <comment ref="E154" authorId="0">
      <text>
        <r>
          <rPr>
            <b/>
            <sz val="9"/>
            <rFont val="Tahoma"/>
            <charset val="204"/>
          </rPr>
          <t>Мельник Н.А.:
нет в бюджете</t>
        </r>
      </text>
    </comment>
    <comment ref="B156" authorId="0">
      <text>
        <r>
          <rPr>
            <b/>
            <sz val="9"/>
            <rFont val="Tahoma"/>
            <charset val="204"/>
          </rPr>
          <t>Мельник Н.А.:
по соглашению</t>
        </r>
      </text>
    </comment>
    <comment ref="B174" authorId="1">
      <text>
        <r>
          <rPr>
            <b/>
            <sz val="9"/>
            <rFont val="Tahoma"/>
            <charset val="204"/>
          </rPr>
          <t>Серебро:
по ЧС</t>
        </r>
      </text>
    </comment>
    <comment ref="D196" authorId="0">
      <text>
        <r>
          <rPr>
            <b/>
            <sz val="9"/>
            <rFont val="Tahoma"/>
            <charset val="204"/>
          </rPr>
          <t>Мельник Н.А.:
по программме</t>
        </r>
      </text>
    </comment>
    <comment ref="E334" authorId="0">
      <text>
        <r>
          <rPr>
            <b/>
            <sz val="9"/>
            <rFont val="Tahoma"/>
            <charset val="204"/>
          </rPr>
          <t xml:space="preserve">Мельник Н.А.:
в бюджете -0, в программе </t>
        </r>
      </text>
    </comment>
    <comment ref="E428" authorId="0">
      <text>
        <r>
          <rPr>
            <b/>
            <sz val="9"/>
            <rFont val="Tahoma"/>
            <charset val="204"/>
          </rPr>
          <t>Мельник Н.А.:
нет смет, в бюджете не предусмотрены</t>
        </r>
      </text>
    </comment>
    <comment ref="E533" authorId="0">
      <text>
        <r>
          <rPr>
            <b/>
            <sz val="9"/>
            <rFont val="Tahoma"/>
            <charset val="204"/>
          </rPr>
          <t>Мельник Н.А.:
данные дорож.службы</t>
        </r>
      </text>
    </comment>
    <comment ref="E721" authorId="0">
      <text>
        <r>
          <rPr>
            <b/>
            <sz val="9"/>
            <rFont val="Tahoma"/>
            <charset val="204"/>
          </rPr>
          <t>Мельник Н.А.:
народные инициативы</t>
        </r>
      </text>
    </comment>
    <comment ref="J729" authorId="0">
      <text>
        <r>
          <rPr>
            <b/>
            <sz val="9"/>
            <rFont val="Tahoma"/>
            <charset val="204"/>
          </rPr>
          <t>Мельник Н.А.:
к софинансированию дополнительно включено 6 тыс. на работы</t>
        </r>
      </text>
    </comment>
    <comment ref="J1074" authorId="0">
      <text>
        <r>
          <rPr>
            <b/>
            <sz val="9"/>
            <rFont val="Tahoma"/>
            <charset val="204"/>
          </rPr>
          <t xml:space="preserve">Мельник Н.А.:
В БЮДЖЕТЕ НЕТ
</t>
        </r>
      </text>
    </comment>
  </commentList>
</comments>
</file>

<file path=xl/sharedStrings.xml><?xml version="1.0" encoding="utf-8"?>
<sst xmlns="http://schemas.openxmlformats.org/spreadsheetml/2006/main" count="4403" uniqueCount="1443">
  <si>
    <t>Приложение 3</t>
  </si>
  <si>
    <t>к программе социально-экономического развития МО "Тайшетский район" на 2007-2017 гг., утвержденной решением Думы Тайшетского района №231 от 26.06.2007г.</t>
  </si>
  <si>
    <t>План мероприятий  перспективного развития муниципального образования "Тайшетский район" на 2015-2017 г.г</t>
  </si>
  <si>
    <t xml:space="preserve"> (млн. рублей)</t>
  </si>
  <si>
    <t>№</t>
  </si>
  <si>
    <t>Наименование мероприятия</t>
  </si>
  <si>
    <t>Сроки реализации</t>
  </si>
  <si>
    <t>Общий объем финансирования</t>
  </si>
  <si>
    <t>в том числе</t>
  </si>
  <si>
    <t>местный бюджет</t>
  </si>
  <si>
    <t>планируемое привлечение средств из:</t>
  </si>
  <si>
    <t>федерального бюджета</t>
  </si>
  <si>
    <t>бюджета субъекта РФ</t>
  </si>
  <si>
    <t>внебюджетных источников</t>
  </si>
  <si>
    <t>бюджеты поселений</t>
  </si>
  <si>
    <t xml:space="preserve">ВСЕГО ПО ПРОЕКТАМ И ПРОГРАММАМ, ПРЕДЛАГАЕМЫМ ДЛЯ ФИНАНСИРОВАНИЯ </t>
  </si>
  <si>
    <t>Всего</t>
  </si>
  <si>
    <t>1</t>
  </si>
  <si>
    <t>Образование</t>
  </si>
  <si>
    <t>1.1.</t>
  </si>
  <si>
    <t>Муниципальная программа муниципального образования "Тайшетский район" "Развитие муниципальной системы образования" на 2015-2017 годы</t>
  </si>
  <si>
    <t>1.1.1.</t>
  </si>
  <si>
    <t>Подпрограмма "Развитие системы дошкольного образования" на 2015-2017 годы</t>
  </si>
  <si>
    <t>1.1.1.1.</t>
  </si>
  <si>
    <t xml:space="preserve"> Мероприятие: Обеспечение функционирования деятельности муниципальных образовательных организаций, реализующих программы дошкольного образования</t>
  </si>
  <si>
    <t>1.1.1.2.</t>
  </si>
  <si>
    <t xml:space="preserve"> Мероприятие: мероприятия по предотвращению распространения туберкулеза в образовательных организациях муниципального образования "Тайшетский район"</t>
  </si>
  <si>
    <t>1.1.1.3.</t>
  </si>
  <si>
    <t xml:space="preserve">Мероприятие: обеспечение пожарной безопасности в муниципальных образовательных организациях, реализующих программы дошкольного образования </t>
  </si>
  <si>
    <t>1.2.</t>
  </si>
  <si>
    <t>1.1.2.</t>
  </si>
  <si>
    <t>Подпрограмма "Развитие системы общего образования" на 2015-2017 годы</t>
  </si>
  <si>
    <t>1.1.2.1.</t>
  </si>
  <si>
    <t>Мероприятие: Обеспечение функционирования деятельности муниципальных образовательных организаций, реализующих программы начального общего, основного общего и среднего общего образования</t>
  </si>
  <si>
    <t>1.1.2.2.</t>
  </si>
  <si>
    <t>Мероприятие: Организация временного трудоустройства учащихся общеобразовательных организаций Тайшетского района в возрасте от 14 до 18 лет в свободное от учебы время</t>
  </si>
  <si>
    <t>1.1.2.3.</t>
  </si>
  <si>
    <t>Мероприятие: Организация отдыха и оздоровления детей в образовательных организациях муниципального образования "Тайшетский район" в каникулярное время</t>
  </si>
  <si>
    <t>1.1.2.4.</t>
  </si>
  <si>
    <t>Мероприятие: Осуществление отдельных областных государственных полномочий по предоставлению мер социальной поддержки многодетным и малоимущим семьям</t>
  </si>
  <si>
    <t>1.1.2.5.</t>
  </si>
  <si>
    <t xml:space="preserve"> Мероприятие: Обеспечение пожарной безопасности в муниципальных образовательных организациях,  реализующих программы начального общего, основного общего и среднего общего образования</t>
  </si>
  <si>
    <t>1.1.3.</t>
  </si>
  <si>
    <t>Подпрограмма "Развитие дополнительного образования" на 2015-2017 годы</t>
  </si>
  <si>
    <t>1.1.3.1.</t>
  </si>
  <si>
    <t xml:space="preserve"> Мероприятие: Обеспечение функционирования деятельности учреждений дополнительного образования</t>
  </si>
  <si>
    <t>1.1.3.2.</t>
  </si>
  <si>
    <t>Мероприятие: Обеспечение пожарной безопасности в учреждениях дополнительного образования</t>
  </si>
  <si>
    <t>1.1.4.</t>
  </si>
  <si>
    <t>Подпрограмма "Обеспечение реализации муниципальной программы "Развитие муниципальной системы образования"на 2015-2017 годы и прочие мероприятия в области образования"</t>
  </si>
  <si>
    <t>1.1.4.1.</t>
  </si>
  <si>
    <t>Мероприятие: Организация, регулирование и контроль над деятельностью муниципальных образовательных учреждений Тайшетского района</t>
  </si>
  <si>
    <t>1.1.4.2.</t>
  </si>
  <si>
    <t>Мероприятие: Осуществление полномочий по ведению бухгалтерского и налогового учета, финансово-хозяйственной и экономической деятельности образовательных учреждений Тайшетского района</t>
  </si>
  <si>
    <t>1.1.4.3.</t>
  </si>
  <si>
    <t>Мероприятие: Осуществление полномочий по организационно-методическому сопровождению деятельности образовательных учреждений Тайшетского района</t>
  </si>
  <si>
    <t>2.</t>
  </si>
  <si>
    <t xml:space="preserve">Культура </t>
  </si>
  <si>
    <t>2.1.</t>
  </si>
  <si>
    <t>Муниципальная программа "Развитие культуры" на 2015-2017 годы</t>
  </si>
  <si>
    <t>2.1.1.</t>
  </si>
  <si>
    <t>Подпрограмма 1: "Развитие и сохранение культуры" на 2015-2017 годы</t>
  </si>
  <si>
    <t>2.1.1.1.</t>
  </si>
  <si>
    <t>Мероприятие: Повышение качества организации культурно-массовых мероприятий</t>
  </si>
  <si>
    <t>2.1.1.2.</t>
  </si>
  <si>
    <t>Мероприятие: Развитие библиотечного дела</t>
  </si>
  <si>
    <t>2.1.1.3.</t>
  </si>
  <si>
    <t>Мероприятие: Комплектование книжного фонда</t>
  </si>
  <si>
    <t>2.1.1.4.</t>
  </si>
  <si>
    <t>Мероприятие: Развитие музейного дела</t>
  </si>
  <si>
    <t>2.1.1.5.</t>
  </si>
  <si>
    <t>Мероприятие: Создание условий предоставления качественных услуг по реализации программ дополнительного образования детей</t>
  </si>
  <si>
    <t>2.1.2.</t>
  </si>
  <si>
    <t>Подпрограмма 2: "Развитие физической культуры и спорта" на 2015-2017 годы</t>
  </si>
  <si>
    <t>2.1.2.1.</t>
  </si>
  <si>
    <t>Мероприятие: Повышение качества организации спортивно-массовых мероприятий на территории муниципального образования "Тайшетский район"</t>
  </si>
  <si>
    <t>2.1.2.2.</t>
  </si>
  <si>
    <t>Мероприятие: Усиление взаимодействия Управления культуры с клубными формированиями в сфере спорта</t>
  </si>
  <si>
    <t>2.1.2.3.</t>
  </si>
  <si>
    <t>Создание условий для сохранения спортивного резерва в учреждениях дополнительного образования спортивной направленности</t>
  </si>
  <si>
    <t>2.1.3.</t>
  </si>
  <si>
    <t>Подпрограмма 3: "Молодёжь Тайшетского района" на 2015-2017 годы</t>
  </si>
  <si>
    <t>2.1.3.1.</t>
  </si>
  <si>
    <t>Мероприятие: Вовлечение молодёжи в общественную жизнь района, гражданско-патриотическое воспитание</t>
  </si>
  <si>
    <t>2.1.3.2.</t>
  </si>
  <si>
    <t>Мероприятие: Содействие трудовой занятости, поддержка молодёжного предпринимательства</t>
  </si>
  <si>
    <t>2.1.3.3.</t>
  </si>
  <si>
    <t>Мероприятие: Поддержка инициативной и талантливой молодёжи</t>
  </si>
  <si>
    <t>2.1.3.4.</t>
  </si>
  <si>
    <t>Мероприятие: Поддержка деятельности детских и молодёжных объединений</t>
  </si>
  <si>
    <t>2.1.4.</t>
  </si>
  <si>
    <t>Подпрограмма 4: "Профилактика правонарушений и преступлений" на 2015-2017 годы</t>
  </si>
  <si>
    <t>2.1.4.1.</t>
  </si>
  <si>
    <t>Мероприятие: Профилактика правонарушений и преступлений в молодёжной среде</t>
  </si>
  <si>
    <t>2.1.4.2.</t>
  </si>
  <si>
    <r>
      <rPr>
        <sz val="10"/>
        <rFont val="Arial Cyr"/>
        <charset val="1"/>
      </rPr>
      <t>Мероприятие: Издание печатной продукции, направленной на профилактику терроризма и чрезвычайных ситуаций, а т</t>
    </r>
    <r>
      <rPr>
        <sz val="11"/>
        <color rgb="FF000000"/>
        <rFont val="Times New Roman"/>
        <charset val="204"/>
      </rPr>
      <t>а</t>
    </r>
    <r>
      <rPr>
        <sz val="10"/>
        <color rgb="FF000000"/>
        <rFont val="Times New Roman"/>
        <charset val="204"/>
      </rPr>
      <t>к же разъясняющих действия населения при угрозе таковых</t>
    </r>
  </si>
  <si>
    <t>2.1.4.3.</t>
  </si>
  <si>
    <t>Мероприятие: Организация спортивной, досуговой работы по месту учёбы несовершеннолетних и молодёжи</t>
  </si>
  <si>
    <t>2.1.4.4.</t>
  </si>
  <si>
    <t>Мероприятие: Профилактика экстремизма на национальной и религиозной почве</t>
  </si>
  <si>
    <t>2.1.5.</t>
  </si>
  <si>
    <t>Подпрограмма 5: "Создание условий для эффективного использования средств местного бюджета, предоставляемых на поддержку культурной деятельности муниципальных учреждений культуры" на 2015-2017 годы</t>
  </si>
  <si>
    <t>2.1.5.1.</t>
  </si>
  <si>
    <t>Мероприятие: Обеспечение деятельности аппарата МУ "Управления культуры, спорта и молодёжной политики администрации Тайшетского района</t>
  </si>
  <si>
    <t>2.1.5.2.</t>
  </si>
  <si>
    <t xml:space="preserve">Мероприятие: Обеспечение деятельности МКУ "Централизованная бухгалтерия Управления </t>
  </si>
  <si>
    <t>2.1.5.3.</t>
  </si>
  <si>
    <t>Мероприятие: Обеспечение деятельности единой диспетчерской службы</t>
  </si>
  <si>
    <t>2.1.5.4.</t>
  </si>
  <si>
    <t>Мероприятие: Обеспечение деятельности муниципальных учреждений культуры, представляющих культурно-досуговые услуги: МБУК МРДК "Юбилейный", МКУК ЦКиД "Надежда"</t>
  </si>
  <si>
    <t>2.1.5.5.</t>
  </si>
  <si>
    <t>Мероприятие: Обеспечение деятельности образовательных учреждений дополнительного образования: МКОУ ДОД ДМШ №1 г.Тайшета; МКОУ ДОД ДМШ №2 г.Тайшета; МКОУ ДОД ТДХШ; МКОУ ДОД ДШИ г.Бирюсинска; МКОУ ДОД ЮДМШ</t>
  </si>
  <si>
    <t>2.1.5.6.</t>
  </si>
  <si>
    <t>Мероприятие: Обеспечение деятельности образовательных учреждений дополнительного образования: МБОУ ДОД ДЮСШ г.Тайшета; МБОУ ДОД ДЮСШ г.Бирюсинска</t>
  </si>
  <si>
    <t>2.1.5.7.</t>
  </si>
  <si>
    <t>Мероприятие: Обеспечение деятельности музеев: МКУК Районный краеведческий музей, МКУК  Краеведческий музей г.Бирюсинска</t>
  </si>
  <si>
    <t>2.1.5.8.</t>
  </si>
  <si>
    <t>Мероприятие: Обеспечение деятельности МКУК "Межпоселенческая библиотечная система Тайшетского района"</t>
  </si>
  <si>
    <t>2.1.6.</t>
  </si>
  <si>
    <t>Подпрограмма 6: "Организация  отдыха и оздоровления в учреждениях дополнительного образования сферы спорта в каникулярное время"</t>
  </si>
  <si>
    <t>2.1.6.1.</t>
  </si>
  <si>
    <t xml:space="preserve">Организация летнего отдыха и оздоровления детей </t>
  </si>
  <si>
    <t>2.1.6.2.</t>
  </si>
  <si>
    <t xml:space="preserve">Организация питания детей в лагере дневного пребывания </t>
  </si>
  <si>
    <t>2.1.6.3.</t>
  </si>
  <si>
    <t>Оснащение необходимым оборудованием лагеря дневного пребывания для отдыха и оздоровления детей</t>
  </si>
  <si>
    <t>3.</t>
  </si>
  <si>
    <t>Молодежная политика</t>
  </si>
  <si>
    <t>3.1.</t>
  </si>
  <si>
    <t>Муниципальная программа "Молодым семьям - доступное жилье" на 2014-2017 годы</t>
  </si>
  <si>
    <t>3.1.1.</t>
  </si>
  <si>
    <t>Мероприятие: Участие в областном конкурсе муниципальных программ по обеспечению жильём молодых семей</t>
  </si>
  <si>
    <t>3.1.2.</t>
  </si>
  <si>
    <t>Мероприятие: Предоставление социальных выплат молодым семьям</t>
  </si>
  <si>
    <t>4.</t>
  </si>
  <si>
    <t>Транспорт, связь и дорожная служба</t>
  </si>
  <si>
    <t>4.1.</t>
  </si>
  <si>
    <t>Ремонт и восстановление   дорог  местного значения  между населенными пунктами</t>
  </si>
  <si>
    <t>4.2.</t>
  </si>
  <si>
    <t>Организация пригородных и междугородних автобусных маршрутов</t>
  </si>
  <si>
    <t>4.3.</t>
  </si>
  <si>
    <t>Строительство магистрального нефтепровода "Куюмба-Тайшет "             АКА "Транснефть"</t>
  </si>
  <si>
    <t>4.5.</t>
  </si>
  <si>
    <t>Реконструкция станции Тайшет ВСЖД филиала ОАО "РЖД"</t>
  </si>
  <si>
    <t>5.</t>
  </si>
  <si>
    <t>Градостроительство и архитектура</t>
  </si>
  <si>
    <t>5.1.</t>
  </si>
  <si>
    <t>Капитальный ремонт здания МДОУ детский сад "Рябинка"</t>
  </si>
  <si>
    <t>5.2.</t>
  </si>
  <si>
    <t>Капитальный ремонт здания МДОУ детский сад "Ромашка"</t>
  </si>
  <si>
    <t>5.3.</t>
  </si>
  <si>
    <t>Разработка, экспертиза  проектно-сметной документации на капитальный ремонт МОУ СОШ Тальская ( с.Талая)</t>
  </si>
  <si>
    <t>5.4.</t>
  </si>
  <si>
    <t>Строительство МОУ СОШ №10 на 520 мест г.Бирюсинск, ул.Дружбы, 18Б</t>
  </si>
  <si>
    <t>5.5.</t>
  </si>
  <si>
    <t>Экспертиза проектно-сметной документации на новое строительство  МОУ СОШ №10 на 520 мест г.Бирюсинск, ул.Дружбы, 18Б</t>
  </si>
  <si>
    <t>5.6.</t>
  </si>
  <si>
    <t>Берегоукрепительные работы на р.Бирюса в с.Талая</t>
  </si>
  <si>
    <t>5.7.</t>
  </si>
  <si>
    <t>Новое строительство детского сада на 110 мест г.Тайшет (ул.Зои Космодемьянской)</t>
  </si>
  <si>
    <t>5.8.</t>
  </si>
  <si>
    <t>Новое строительство детского сада на 110 мест г.Тайшет (ул.Свободы)</t>
  </si>
  <si>
    <t>5.9.</t>
  </si>
  <si>
    <t>Разработка проектно-сметной документации на новое строительство МОУ СОШ №3 г.Тайшет</t>
  </si>
  <si>
    <t>6.</t>
  </si>
  <si>
    <t>Жилищно-коммунальное хозяйство</t>
  </si>
  <si>
    <t>6.1.</t>
  </si>
  <si>
    <t>Реконструкция  центральной котельной и тепловых сетей в п.Новобирюсинский</t>
  </si>
  <si>
    <t>6.2.</t>
  </si>
  <si>
    <t xml:space="preserve">Строительство сетей водоснабжения от артезианской скважины до нового теплоисточника в г.Бирюсинске (420 м) </t>
  </si>
  <si>
    <t>6.3.</t>
  </si>
  <si>
    <t>Строительство высоковольтной электрической линии КЛ-6 кВ, 384 м., от ТП «Бирюса до встроенного в новый теплоисточник  ТП в г.Бирюсинске.</t>
  </si>
  <si>
    <t>6.4.</t>
  </si>
  <si>
    <t>Реконструкция  насосной станции котельной №2 ШПЗ для переключения 51 квартала города Тайшета от электрокотельной РЖД на теплоисточник ШПЗ</t>
  </si>
  <si>
    <t>6.5.</t>
  </si>
  <si>
    <t xml:space="preserve">Замена изоляции центрального ствола тепловой сети д.325мм. полиуретановыми сегментами длинной 400 метров в Юртинском городском поселении  </t>
  </si>
  <si>
    <t>7.</t>
  </si>
  <si>
    <t>Сельское хозяйство</t>
  </si>
  <si>
    <t>7.1.</t>
  </si>
  <si>
    <t>Развитие отрасли свиноводства с полным циклом производства и переработки мяса в ООО СХП "Маяк" (ст.Тагул, Бирюсинское г/п)</t>
  </si>
  <si>
    <t>7.2.</t>
  </si>
  <si>
    <t>Муниципальная пограмма «Развитие сельского хозяйства и регулирование рынков сельскохозяйственной продукции, сырья и продовольствия» на 2014-2017 годы и на период до 2020 года</t>
  </si>
  <si>
    <t>7.2.1.</t>
  </si>
  <si>
    <t>Подпрограмма «Развитие сельского хозяйства на 2014-2017 годы и на период до 2020 года»</t>
  </si>
  <si>
    <t>7.2.1.2.</t>
  </si>
  <si>
    <t>Содействие в развитии подотрасли растениеводства</t>
  </si>
  <si>
    <t>7.2.1.3.</t>
  </si>
  <si>
    <t>Содействие в развитии подотрасли животноводства</t>
  </si>
  <si>
    <t>7.2.1.4.</t>
  </si>
  <si>
    <t>Содействие в развитии малых форм хозяйствования</t>
  </si>
  <si>
    <t>7.2.1.5.</t>
  </si>
  <si>
    <t xml:space="preserve">Содействие в повышении кадрового потенциала агропромышленного комплекса   </t>
  </si>
  <si>
    <t>7.2.2.</t>
  </si>
  <si>
    <t>Подпрограмма «Устойчивое развитие сельских территорий» на 2014-2017 годы  и на период до 2020 года</t>
  </si>
  <si>
    <t>7.2.2.1.</t>
  </si>
  <si>
    <t>Содействие в получении социальных выплат на строительство (приобретение) жилья, гражданам, проживающим в сельской местности Тайшетского района, в том числе молодым семьям и молодым специалистам</t>
  </si>
  <si>
    <t>7.2.2.2.</t>
  </si>
  <si>
    <t>Строительство (приобретение) жилья, предоставляемого молодым семьям и молодым специалистам по договору найма жилого помещения</t>
  </si>
  <si>
    <t>7.2.2.3.</t>
  </si>
  <si>
    <t xml:space="preserve">Развитие сети фельдшерско-акушерских пунктов и (или) офисов общей практики строительства ФАП в сельских поселениях Тайшетского района  </t>
  </si>
  <si>
    <t>8.</t>
  </si>
  <si>
    <t>Потребительский рынок</t>
  </si>
  <si>
    <t>8.1.</t>
  </si>
  <si>
    <t>Строительство торгового дома в г.Тайшет (ИП Гальчина)</t>
  </si>
  <si>
    <t>8.2.</t>
  </si>
  <si>
    <t>Строительство торгового дома в г.Тайшет (ООО "Континент")</t>
  </si>
  <si>
    <t>8.3.</t>
  </si>
  <si>
    <t>Строительство супермаркета в п.Квиток (ООО "Парус")</t>
  </si>
  <si>
    <t>8.4.</t>
  </si>
  <si>
    <t>Строительство магазина в п.Квиток (ИП Киннунен А.А.)</t>
  </si>
  <si>
    <t>8.5.</t>
  </si>
  <si>
    <t>Строительство торгового комплекса в п.Юрты (Парнюк Р.В.)</t>
  </si>
  <si>
    <t>8.6.</t>
  </si>
  <si>
    <t>Строительство салона красоты в г.Тайшет (ИП Коренева О.В.)</t>
  </si>
  <si>
    <t>9.</t>
  </si>
  <si>
    <t>Промышленое производство</t>
  </si>
  <si>
    <t>9.1.</t>
  </si>
  <si>
    <t xml:space="preserve">Подпрограмма 1. "Повышение инвестиционной привлекательности Тайшетского района" на  2014-2017 г.г.  муниципальной  программы муниципального образования "Тайшетский район" "Стимулирование экономической активности" на 2014-2017 годы   </t>
  </si>
  <si>
    <t>9.1.2.</t>
  </si>
  <si>
    <t>Разработка нормативной правовой базы, направленной на реализацию инвестиционной политики администрации Тайшетского района</t>
  </si>
  <si>
    <t>9.1.3.</t>
  </si>
  <si>
    <t>Разработка и принятие нормативных правовых актов, направленных на создание благоприятных условий для осуществления инвестиционной деятельности на территории Тайшетского района</t>
  </si>
  <si>
    <t>9.1.4.</t>
  </si>
  <si>
    <t>Создание инфраструктуры инвестиционной поддержки для привлечения и сопровождения инвестиционных проектов</t>
  </si>
  <si>
    <t>9.1.5.</t>
  </si>
  <si>
    <t xml:space="preserve">Дополнение официального сайта администрации Тайшетского района в информационно-телекоммуникационной сети "Интернет" (http://taishetcom.do.am) специализированным двуязычным Интернет-ресурсом об инвестиционной деятельности в Тайшетском районе
</t>
  </si>
  <si>
    <t>9.1.6.</t>
  </si>
  <si>
    <t>Разработка и издание  рекламно-информационных материалов об инвестиционном потенциале Тайшетского района (буклеты, брошюры, инвестиционный паспорт)</t>
  </si>
  <si>
    <t>9.1.7.</t>
  </si>
  <si>
    <t>Разработка, размещение и поддержание в актуальной редакции на офици-альном сайте администрации Тайшетского района в информационно-телекоммуникационной сети "Интернет" в специализированном Интернет-ресурсе Инвестиционного паспорта Тайшетского района</t>
  </si>
  <si>
    <t>9.1.8.</t>
  </si>
  <si>
    <t>Организация участия предприятий и организаций в тематических об-ластных выставках, ярмарках</t>
  </si>
  <si>
    <t>9.2.</t>
  </si>
  <si>
    <t>Строительство "ООО ОК РУСАЛ"  Тайшетской Анодной фабрики (с.Ст.Акульшет)</t>
  </si>
  <si>
    <t>9.3.</t>
  </si>
  <si>
    <t>Строительство  ОК РУСАЛ Алюминиевого завода (с.Ст.Акульшет)</t>
  </si>
  <si>
    <t>9.4.</t>
  </si>
  <si>
    <t>Разработка карьера скальных пород ООО СМП - 621</t>
  </si>
  <si>
    <t>9.5.</t>
  </si>
  <si>
    <t>Производства угля древесного ООО "Угольный завод Тайшетского технопарка"</t>
  </si>
  <si>
    <t>10.</t>
  </si>
  <si>
    <t>Малый бизнес</t>
  </si>
  <si>
    <t>10.1.</t>
  </si>
  <si>
    <t xml:space="preserve">Муниципальная  программа муниципального образования "Тайшетский район" "Стимулирование экономической активности" на 2014-2017 годы                                        "Подпрограмма 2 "Поддержка и развитие малого и среднего предпринимательства на территории Тайшетского района" на 2014-2017 годы" </t>
  </si>
  <si>
    <t>10.1.1.</t>
  </si>
  <si>
    <t>Поддержка начинающих – гранты начинающим на создание собственного бизнеса</t>
  </si>
  <si>
    <t>10.1.2.</t>
  </si>
  <si>
    <t>Оказание имущественной поддержки субъектам малого и среднего предпринимательства и организациям, образующим инфраструктуру поддержки субъектов малого и среднего предпринимательства, путем передачи в пользование имущества, принадлежащего на праве собственности муниципальному образованию "Тайшетский район" субъектам малого и среднего предпринимательства</t>
  </si>
  <si>
    <t>10.1.3.</t>
  </si>
  <si>
    <t>Популяризация малого бизнеса (проведение конкурсов, смотров-конкурсов, конкурсов профессионального мастерства)</t>
  </si>
  <si>
    <t>10.1.4.</t>
  </si>
  <si>
    <t>Подготовка, размещение на официальном сайте администрации Тайшетского района и в средствах массовой информации информационных материалов, освещающих вопросы деятельности субъектов малого и среднего предпринимательства и органов власти в области поддержки предпринимателей</t>
  </si>
  <si>
    <t>10.1.5.</t>
  </si>
  <si>
    <t>Организация ярмарочной торговли в целях реализации продукции, произведенной малыми и средними предприятиями Тайшетского района, в том числе сельскохозяйственными организациями, крестьянскими (фермерскими) хозяйствами</t>
  </si>
  <si>
    <t>10.1.6.</t>
  </si>
  <si>
    <t>Соблюдение Федерального закона от 05.04.2013г. № 44-ФЗ "О контрактной системе закупок товаров, работ, услуг для обеспечения государственных и муниципальных нужд" в части осуществления закупок у субъектов малого предпринимательства</t>
  </si>
  <si>
    <t>11.</t>
  </si>
  <si>
    <t>Имущественные отношения</t>
  </si>
  <si>
    <t>11.1.</t>
  </si>
  <si>
    <t>Инвентаризация объектов недвижимости муниципальной собственности</t>
  </si>
  <si>
    <t>11.2.</t>
  </si>
  <si>
    <t>Землеустройство и землепользование</t>
  </si>
  <si>
    <t>11.3.</t>
  </si>
  <si>
    <t xml:space="preserve">Обеспечение жильем молодых специалистов </t>
  </si>
  <si>
    <t>12.</t>
  </si>
  <si>
    <t>Финансы</t>
  </si>
  <si>
    <t>12.1.</t>
  </si>
  <si>
    <t>Муниципальная программа "Управление муниципальными финансами в муниципальном образовании "Тайшетский район"  на 2014 - 2017 годы"</t>
  </si>
  <si>
    <t>12.1.1.</t>
  </si>
  <si>
    <r>
      <rPr>
        <b/>
        <sz val="10"/>
        <rFont val="Times New Roman"/>
        <charset val="204"/>
      </rPr>
      <t>Подпрограмма</t>
    </r>
    <r>
      <rPr>
        <sz val="10"/>
        <rFont val="Times New Roman"/>
        <charset val="204"/>
      </rPr>
      <t xml:space="preserve"> "Повышение эффективности бюджетных расходов муниципального образования "Тайшетский район" на 2014 – 2017 годы"</t>
    </r>
  </si>
  <si>
    <r>
      <rPr>
        <b/>
        <sz val="10"/>
        <rFont val="Times New Roman"/>
        <charset val="204"/>
      </rPr>
      <t xml:space="preserve">Мероприятие </t>
    </r>
    <r>
      <rPr>
        <sz val="10"/>
        <rFont val="Times New Roman"/>
        <charset val="204"/>
      </rPr>
      <t>Проведение мероприятий по увеличению доходной базы районного бюджета в соответствии с утвержденным  комплексным планом мероприятий по увеличению доходной базы бюджета;</t>
    </r>
  </si>
  <si>
    <t>12.1.2.</t>
  </si>
  <si>
    <r>
      <rPr>
        <b/>
        <sz val="10"/>
        <rFont val="Times New Roman"/>
        <charset val="204"/>
      </rPr>
      <t>Мероприятие</t>
    </r>
    <r>
      <rPr>
        <sz val="10"/>
        <rFont val="Times New Roman"/>
        <charset val="204"/>
      </rPr>
      <t xml:space="preserve"> Финансирование текущих расходов по исполнению действующих расходных обязательств бюджета муниципального района (включая мероприятия муниципальных программ)</t>
    </r>
  </si>
  <si>
    <r>
      <rPr>
        <b/>
        <sz val="10"/>
        <rFont val="Times New Roman"/>
        <charset val="204"/>
      </rPr>
      <t>Подпрограмма</t>
    </r>
    <r>
      <rPr>
        <sz val="10"/>
        <rFont val="Times New Roman"/>
        <charset val="204"/>
      </rPr>
      <t xml:space="preserve"> "Организация составления и исполнения бюджета муниципального образования «Тайшетский район», управление муниципальными финансами на 2015-2017 годы"</t>
    </r>
  </si>
  <si>
    <t>12.1.2.1</t>
  </si>
  <si>
    <r>
      <rPr>
        <b/>
        <sz val="10"/>
        <rFont val="Times New Roman"/>
        <charset val="204"/>
      </rPr>
      <t>Мероприятие "</t>
    </r>
    <r>
      <rPr>
        <sz val="10"/>
        <rFont val="Times New Roman"/>
        <charset val="204"/>
      </rPr>
      <t>Обеспечение эффективного функционирования Финансового управления администрации Тайшетского района"</t>
    </r>
  </si>
  <si>
    <t>Итого</t>
  </si>
  <si>
    <t>12.1.2.2</t>
  </si>
  <si>
    <r>
      <rPr>
        <b/>
        <sz val="10"/>
        <rFont val="Times New Roman"/>
        <charset val="204"/>
      </rPr>
      <t>Мероприятие "</t>
    </r>
    <r>
      <rPr>
        <sz val="10"/>
        <rFont val="Times New Roman"/>
        <charset val="204"/>
      </rPr>
      <t>Обеспечение эффективного функционирования Централизованной бухгалтерии по исполнению бюджетов поселений"</t>
    </r>
  </si>
  <si>
    <t>12.1.2.3</t>
  </si>
  <si>
    <r>
      <rPr>
        <b/>
        <sz val="10"/>
        <rFont val="Times New Roman"/>
        <charset val="204"/>
      </rPr>
      <t>Мероприятие "</t>
    </r>
    <r>
      <rPr>
        <sz val="10"/>
        <rFont val="Times New Roman"/>
        <charset val="204"/>
      </rPr>
      <t>Обеспечение своевременного исполнения долговых обязательств муниципального района"</t>
    </r>
  </si>
  <si>
    <t>12.1.4.</t>
  </si>
  <si>
    <r>
      <rPr>
        <b/>
        <sz val="10"/>
        <rFont val="Times New Roman"/>
        <charset val="204"/>
      </rPr>
      <t>Подпрограмма</t>
    </r>
    <r>
      <rPr>
        <sz val="10"/>
        <rFont val="Times New Roman"/>
        <charset val="204"/>
      </rPr>
      <t xml:space="preserve"> "Финансовая поддержка муниципальных образований Тайшетского района на 2015 – 2017 годы"</t>
    </r>
  </si>
  <si>
    <t>12.1.4.1.</t>
  </si>
  <si>
    <r>
      <rPr>
        <b/>
        <sz val="10"/>
        <rFont val="Times New Roman"/>
        <charset val="204"/>
      </rPr>
      <t>Мероприятие</t>
    </r>
    <r>
      <rPr>
        <sz val="10"/>
        <rFont val="Times New Roman"/>
        <charset val="204"/>
      </rPr>
      <t xml:space="preserve"> "Распределение между местными бюджетами дотации на выравнивание бюджетной обеспеченности поселений из районного фонда финансовой поддержки поселений"</t>
    </r>
  </si>
  <si>
    <t>13.</t>
  </si>
  <si>
    <t>Муниципальное управление</t>
  </si>
  <si>
    <t>13.1.</t>
  </si>
  <si>
    <t>Муниципальная программа  "Муниципальное управление" на 2015-2017гг.</t>
  </si>
  <si>
    <t>13.1.1.</t>
  </si>
  <si>
    <t>Подпрограмма "Обеспечение исполнения полномочий"</t>
  </si>
  <si>
    <t>13.1.1.2.</t>
  </si>
  <si>
    <t>Обеспечение функционирования высшего должностного лица органа местного самоуправления</t>
  </si>
  <si>
    <t>13.1.1.3.</t>
  </si>
  <si>
    <t>Обеспечение функционирования органов местного самоуправления</t>
  </si>
  <si>
    <t>13.1.1.4.</t>
  </si>
  <si>
    <t>Обеспечение проведения выборов главы муниципального образования</t>
  </si>
  <si>
    <t>13.1.1.5.</t>
  </si>
  <si>
    <t>Обеспечение проведения выборов в представительные органы муниципального образования</t>
  </si>
  <si>
    <t>13.1.1.6.</t>
  </si>
  <si>
    <t>Финансовое  обеспечение непредвиденных расходов за счет средств резервного фонда</t>
  </si>
  <si>
    <t>13.1.1.7.</t>
  </si>
  <si>
    <t>Расходы направленные на предупреждение и ликвидацию последствий черезвычайных ситуаций</t>
  </si>
  <si>
    <t>13.1.1.8.</t>
  </si>
  <si>
    <t xml:space="preserve">Расходы напрвленные на осуществление полномочий по составлению (изменению) списков кандидатов в присяжные  заседатели федеральных судов общей юрисдикции в Российской Федерации в рамках реализации функций государственной судебной власти </t>
  </si>
  <si>
    <t>13.1.1.9.</t>
  </si>
  <si>
    <t>Расходы на премирование лиц, награжденных  Почетной грамотой мэра Тайшетского района</t>
  </si>
  <si>
    <t>13.1.1.10.</t>
  </si>
  <si>
    <t>Другие расходы органов местного самоуправления</t>
  </si>
  <si>
    <t>13.1.1.11.</t>
  </si>
  <si>
    <t>Осуществление отдельных областных государственных полномочий в области производства и оборота этилового спирта, алкогольной и спиртосодержащей продукции</t>
  </si>
  <si>
    <t>13.1.1.12.</t>
  </si>
  <si>
    <t>Осуществление областных государственных полномочий по хранению, комплектованию, учету и использованию архивных документов, относящихся к государственной собственности Иркутской области</t>
  </si>
  <si>
    <t>13.1.1.13.</t>
  </si>
  <si>
    <t>Осуществление отдельных областных государственных полномочий по определению персонального состава и обеспечению деятельности административных комиссий</t>
  </si>
  <si>
    <t>13.1.1.14.</t>
  </si>
  <si>
    <t>Осуществление областного государственного полномочия по  определению перечня должностных лиц  органом местного самоуправления, уполномоченных составлять протоколы об административных правонарушениях, предусмотренных отдельными законами Иркутской области об административной ответственности</t>
  </si>
  <si>
    <t>13.1.1.15.</t>
  </si>
  <si>
    <t>Организация деятельности в части переданных отдельных полномочий поселений</t>
  </si>
  <si>
    <t>13.1.2.</t>
  </si>
  <si>
    <t>Подпрограмма "Улучшение условий труда"</t>
  </si>
  <si>
    <t>13.1.2.1.</t>
  </si>
  <si>
    <t>Осуществление отдельных областных государственных полномочий в сфере труда</t>
  </si>
  <si>
    <t>13.1.2.2.</t>
  </si>
  <si>
    <t>Организация и проведение конкурсов по охране труда на территории Тайшетского района</t>
  </si>
  <si>
    <t>13.1.2.3.</t>
  </si>
  <si>
    <t>Организация работы межведомственной комиссии по охране труда на территории Тайшетского района</t>
  </si>
  <si>
    <t>13.1.2.4.</t>
  </si>
  <si>
    <t>Пропаганда вопросов охраны труда и условий труда в средствах массовой информации</t>
  </si>
  <si>
    <t>13.1.2.5.</t>
  </si>
  <si>
    <t>Организация и проведение мероприятий посвященных Всемирному дню охраны труда</t>
  </si>
  <si>
    <t>13.1.2.6</t>
  </si>
  <si>
    <t>Организация работы трехсторонней Комиссии по регулированию социально-трудовых отношений</t>
  </si>
  <si>
    <t>13.1.2.7.</t>
  </si>
  <si>
    <t>Осуществление ведомственного контроля за соблюдением трудового законодательства и иных нормативных правовых актов, содержащих нормы трудового права, в муниципальных унитарных предприятиях и муниципальных учреждениях, находящихся в ведении муниципального образования "Тайшетский район"</t>
  </si>
  <si>
    <t>13.1.2.8.</t>
  </si>
  <si>
    <t>Организация предупредительных мер по сокращению  производственного травматизма и профессиональных заболеваний</t>
  </si>
  <si>
    <t>13.1.2.9.</t>
  </si>
  <si>
    <t>Участие в работе обучающих семинаров, конференций организуемых органами государственной власти, местного самоуправления, а также комиссий по проверке знаний и требований по охране труда</t>
  </si>
  <si>
    <t xml:space="preserve">Приложение  
к постановлению администрации Тайшетского района
от "05" апреля          2019  № 181
</t>
  </si>
  <si>
    <t>План мероприятий  по реализации стратегии социально-экономического развития муниципального образования "Тайшетский район" на 2019-2030 годы</t>
  </si>
  <si>
    <t>Наименование мероприятий и инвестпроектов</t>
  </si>
  <si>
    <t>Наименование МЦП, ОГЦП (ФЦП) и других механизмов, через которые планируется финансирование мероприятия</t>
  </si>
  <si>
    <t>Объем финансирования, млн.руб.</t>
  </si>
  <si>
    <t>Мощность                                (в соответствующих единицах)</t>
  </si>
  <si>
    <t>Экономический эффект (прибыль, млн.руб.)</t>
  </si>
  <si>
    <t>Создаваемые рабочие места, ед</t>
  </si>
  <si>
    <t>Ответственный исполнитель</t>
  </si>
  <si>
    <t>ИТОГО ПО СТРАТЕГИИ</t>
  </si>
  <si>
    <t>Демографическое развитие</t>
  </si>
  <si>
    <t>Пропаганда здорового образа жизни среди населения Тайшетского района</t>
  </si>
  <si>
    <t>МП "Развитие культуры"</t>
  </si>
  <si>
    <t>Управление культуры, спорта и молодежной политики администрации Тайшетского района</t>
  </si>
  <si>
    <t xml:space="preserve"> МП "Развитие культуры, спорта и молодежной политики"</t>
  </si>
  <si>
    <t>Проект МП "Развитие культуры, спорта и молодежной политики"</t>
  </si>
  <si>
    <t>1.2</t>
  </si>
  <si>
    <t>Укрепление института семьи, популяризация семейных ценностей</t>
  </si>
  <si>
    <t xml:space="preserve"> МП "Развитие культуры, спорта и молодежной политики на территории Тайшетского района"</t>
  </si>
  <si>
    <t>Проект МП "Развитие культуры, спорта и молодежной политики на территории Тайшетского района"</t>
  </si>
  <si>
    <t>1.3</t>
  </si>
  <si>
    <t>Комитет по управлению муниципальным имуществом, строительства, архитектуры и жилищно-коммунальному хозяйству администрации Тайшетского района</t>
  </si>
  <si>
    <t>Приобретение жилых помещений для  специалистов, в работе которых имеется острая необходимость на территрии Тайшетского района</t>
  </si>
  <si>
    <t xml:space="preserve">МП "Повышение эффективности управления муниципальным имуществом муниципального образования "Тайшетский район" </t>
  </si>
  <si>
    <t>МП "Повышение эффективности управления муниципальным имуществом муниципального образования "Тайшетский район"</t>
  </si>
  <si>
    <t>Проект МП "Повышение эффективности управления муниципальным имуществом муниципального образования "Тайшетский район"</t>
  </si>
  <si>
    <t>2</t>
  </si>
  <si>
    <t>2.1</t>
  </si>
  <si>
    <t xml:space="preserve"> Обновление персональных компьютеров, технических средств обучения в учреждениях дошкольного, дополнительного образования</t>
  </si>
  <si>
    <t xml:space="preserve">Проект МП "Развитие образования" </t>
  </si>
  <si>
    <t>Управление образования администрации Тайшетского района</t>
  </si>
  <si>
    <t>2.2</t>
  </si>
  <si>
    <t xml:space="preserve"> Обновление персональных компьютеров, технических средств обучения в общеобразовательных учреждениях</t>
  </si>
  <si>
    <t xml:space="preserve">МП "Развитие муниципальной системы образования" </t>
  </si>
  <si>
    <t xml:space="preserve">МП "Развитие образования" </t>
  </si>
  <si>
    <t xml:space="preserve">проект МП "Развитие образования" </t>
  </si>
  <si>
    <t>2.3</t>
  </si>
  <si>
    <t>Обеспечение доступа к сети Интернет с высокой скоростью для дошкольных образовательных организаций (для работы в АИС "Комплектование ДОУ")</t>
  </si>
  <si>
    <t>2.4</t>
  </si>
  <si>
    <t>Обеспечение доступа к сети Интернет с высокой скоростью для общеобразовательных организаций для работы в АИС "Комплектование", ДО "Зачисление в ОО. Электронном дневнике, Электронном журнале"</t>
  </si>
  <si>
    <t xml:space="preserve">Проект МП "Развитие  образования" </t>
  </si>
  <si>
    <t>2.5</t>
  </si>
  <si>
    <t xml:space="preserve"> Развитие инженерного творчества, картодромов, площадок для авиа-, судо- и иного моделирования</t>
  </si>
  <si>
    <t xml:space="preserve">МП "Развитие образования" , Проект МП "Развитие образования" </t>
  </si>
  <si>
    <t>2.5.1</t>
  </si>
  <si>
    <t>Развитие картодромов в МКОУ СОШ №85 г. Тайшета</t>
  </si>
  <si>
    <t>18 чел/1 клуб</t>
  </si>
  <si>
    <t>2.5.2</t>
  </si>
  <si>
    <t>Развитие площадок для авиа-, судо- и иного моделирования в МКОУ Новобирюсинская СОШ</t>
  </si>
  <si>
    <t>2.5.3</t>
  </si>
  <si>
    <t>Развитие площадок для авиа-, судо- и иного моделирования в МКОУ Шиткинская СОШ</t>
  </si>
  <si>
    <t>2.5.4</t>
  </si>
  <si>
    <t>Развитие площадок для авиа-, судо- и иного моделирования в МКОУ Тамтачетская СОШ</t>
  </si>
  <si>
    <t>2.6</t>
  </si>
  <si>
    <t xml:space="preserve"> Развитие агробизнесобразования (приобретение техники, установка теплиц)</t>
  </si>
  <si>
    <t xml:space="preserve"> МП "Развитие сельского хозяйства и регулирование рынков сельскохозяйственной продукции, сырья и продовольствия", МП "Развитие сельского хозяйства и регулирование рынков сельскохозяйственной продукции, сырья и продовольствия" </t>
  </si>
  <si>
    <t>2.6.1</t>
  </si>
  <si>
    <t xml:space="preserve"> МКОУ Черчетская СОШ</t>
  </si>
  <si>
    <t>2.6.2</t>
  </si>
  <si>
    <t>МКОУ Новобирюсинская СОШ</t>
  </si>
  <si>
    <t>2.6.3</t>
  </si>
  <si>
    <t>МКОУ Тальская СОШ</t>
  </si>
  <si>
    <t>2.6.4</t>
  </si>
  <si>
    <t>МКОУ Бузыкановская СОШ</t>
  </si>
  <si>
    <t>2.7</t>
  </si>
  <si>
    <t xml:space="preserve"> Строительство комплексов "начальная школа-детский сад" в следующих населенных пунктах: </t>
  </si>
  <si>
    <t>Комитет по управлению муниципальным имуществом, строительству, архитектуре и жилищно-коммунальному хозяйству администрации Тайшетского района</t>
  </si>
  <si>
    <t xml:space="preserve"> МП "Развитие образования" </t>
  </si>
  <si>
    <t xml:space="preserve">Проект  МП "Развитие образования" </t>
  </si>
  <si>
    <t>2.7.1</t>
  </si>
  <si>
    <t>Строительство комплексов "начальная школа-детский сад" в с. Николаевка</t>
  </si>
  <si>
    <t>100 мест</t>
  </si>
  <si>
    <t>2.7.2</t>
  </si>
  <si>
    <t>Строительство комплексов "начальная школа-детский сад" в с. Половино-Черемхово</t>
  </si>
  <si>
    <t>2.7.3</t>
  </si>
  <si>
    <t>Строительство комплексов "начальная школа-детский сад" в с. Нижняя Заимка</t>
  </si>
  <si>
    <t>2.7.4</t>
  </si>
  <si>
    <t>Строительство комплекса начальная школа-детский сад в с. Старый Акульшет</t>
  </si>
  <si>
    <t>2.8</t>
  </si>
  <si>
    <t xml:space="preserve">Строительство детского сада в г. Тайшете </t>
  </si>
  <si>
    <t>120 мест</t>
  </si>
  <si>
    <t xml:space="preserve"> МП "Развитие  образования" </t>
  </si>
  <si>
    <t>2.9</t>
  </si>
  <si>
    <t>Строительство детского сада в г. Бирюсинске</t>
  </si>
  <si>
    <t>2.10</t>
  </si>
  <si>
    <t xml:space="preserve">Строительство спортивного зала МКОУ СОШ № 6 г. Бирюсинска                                                                                                                                        </t>
  </si>
  <si>
    <t>162 кв.м.</t>
  </si>
  <si>
    <t>2.11.</t>
  </si>
  <si>
    <t xml:space="preserve">Строительство МКОУ Соляновская средняя общеобразовательная школа </t>
  </si>
  <si>
    <t>ГП Иркутской области по восстановлению жилья, объектов связи, социальной, коммунальной, энергетической и транспортной инфраструктур, гидротехнических сооружений, административных зданий, поврежденных или утраченных в результате наводнения на территории Иркутской области,  одпрограмма "Строительство, реконтсрукция и капитальный ремонт объектов образования"</t>
  </si>
  <si>
    <t xml:space="preserve">Всего </t>
  </si>
  <si>
    <t xml:space="preserve">154 места </t>
  </si>
  <si>
    <t>2.12.</t>
  </si>
  <si>
    <t xml:space="preserve">Строительство  МКДОУ Соляновский детский сад </t>
  </si>
  <si>
    <t>55 мест</t>
  </si>
  <si>
    <t>2.13.</t>
  </si>
  <si>
    <t xml:space="preserve">Строительство МКОУ Бирюсинская средняя общеобразовательная школа </t>
  </si>
  <si>
    <t>154 мест</t>
  </si>
  <si>
    <t>2.14.</t>
  </si>
  <si>
    <t>Строительство МКДОУ Шиткинский детский сад</t>
  </si>
  <si>
    <t>110 мест</t>
  </si>
  <si>
    <t>2.15.</t>
  </si>
  <si>
    <t>Строительство МКОУ Тальская основная общеобразовательная школа/сад</t>
  </si>
  <si>
    <t>80 мест</t>
  </si>
  <si>
    <t>2.16.</t>
  </si>
  <si>
    <t>Строительство детского сада в г.Тайшете</t>
  </si>
  <si>
    <t>ОК РУСАЛ</t>
  </si>
  <si>
    <t>220 мест</t>
  </si>
  <si>
    <t>2.17.</t>
  </si>
  <si>
    <t>Строительство  школы в г.Тайшете</t>
  </si>
  <si>
    <t>825 мест</t>
  </si>
  <si>
    <t>2.18.</t>
  </si>
  <si>
    <t>2.19.</t>
  </si>
  <si>
    <t>2.20.</t>
  </si>
  <si>
    <t xml:space="preserve">Капитальный ремонт  МКОУ СОШ № 17 р.п. Юрты </t>
  </si>
  <si>
    <t>20 мест</t>
  </si>
  <si>
    <t>2.21.</t>
  </si>
  <si>
    <t>Строительство школы № 3 в г. Тайшете, ул. Первомайская, 36</t>
  </si>
  <si>
    <t>350 мест</t>
  </si>
  <si>
    <t xml:space="preserve">МП "Развитие  образования" </t>
  </si>
  <si>
    <t>2.22.</t>
  </si>
  <si>
    <t xml:space="preserve">Капитальный ремонт МКОУ СОШ № 1   г. Тайшета </t>
  </si>
  <si>
    <t>30 мест</t>
  </si>
  <si>
    <t>2.23.</t>
  </si>
  <si>
    <t xml:space="preserve"> Капитальный ремонт МКОУ СОШ № 14 г. Тайшета </t>
  </si>
  <si>
    <t>2.24.</t>
  </si>
  <si>
    <t>Капитальный ремонт МКОУ СОШ №5 г.Тайшет</t>
  </si>
  <si>
    <t>2.25.</t>
  </si>
  <si>
    <t xml:space="preserve">Капитальный ремонт МКОУ  Шелеховской СОШ </t>
  </si>
  <si>
    <t>2.26.</t>
  </si>
  <si>
    <t>Капитальный ремонт МКОУ  Венгерская СОШ</t>
  </si>
  <si>
    <t>2.27.</t>
  </si>
  <si>
    <t>Капитальный ремонт МКОУ  Зареченская СОШ</t>
  </si>
  <si>
    <t>2.28.</t>
  </si>
  <si>
    <t>Капитальный  ремонт МКОУ Квитокская СОШ №1</t>
  </si>
  <si>
    <t>2.29.</t>
  </si>
  <si>
    <t>Капитальный  ремонт МКДОУ детский сад №3 г.Тайшета</t>
  </si>
  <si>
    <t>2.30.</t>
  </si>
  <si>
    <t xml:space="preserve">Капитальный  ремонт МКОУ Рождественская СОШ </t>
  </si>
  <si>
    <t>2.31.</t>
  </si>
  <si>
    <t xml:space="preserve">Капитальный  ремонт МКОУ  Березовская СОШ </t>
  </si>
  <si>
    <t>2.32.</t>
  </si>
  <si>
    <t>Капитальный  ремонт МКДОУ  "Белочка" г.Тайшет</t>
  </si>
  <si>
    <t>2.33.</t>
  </si>
  <si>
    <t>Капитальный  ремонт МКДОУ "Сказка" г.Тайшет</t>
  </si>
  <si>
    <t>2.34.</t>
  </si>
  <si>
    <t>Устройство ограждения  МКОУ СОШ № 24 п.Юрты</t>
  </si>
  <si>
    <t>2.35.</t>
  </si>
  <si>
    <t xml:space="preserve">Капитальный ремонт МКДОУ детский сад № 3 г. Бирюсинска </t>
  </si>
  <si>
    <t>2.36.</t>
  </si>
  <si>
    <t xml:space="preserve">  Строительство станции юных натуралистов и юных техников  МБУДО ЦДО Радуга</t>
  </si>
  <si>
    <t>120 чел.</t>
  </si>
  <si>
    <t>2.37.</t>
  </si>
  <si>
    <t xml:space="preserve"> Строительство образовательной организации "Средняя общеобразовательная школа на 520 учащихся, расположенных по адресу: Иркутская область, Тайшетский район, г. Бирюсинск, ул. Дружбы, 18 Б</t>
  </si>
  <si>
    <t xml:space="preserve">ГП Иркутской области "Создание новых мест в общеобразовательных организациях в Иркутской области в соответствии с прогнозируемой потребностью и современными условиями обучения", МП "Развитие муниципальной системы образования"  
</t>
  </si>
  <si>
    <t>520 мест</t>
  </si>
  <si>
    <t>2.38.</t>
  </si>
  <si>
    <t>Капитальный ремонт МКДОУ №5 г. Тайшета</t>
  </si>
  <si>
    <t>2.39.</t>
  </si>
  <si>
    <t>Капитальный ремонт МКДОУ Борисовский детский сад</t>
  </si>
  <si>
    <t>2.40.</t>
  </si>
  <si>
    <t>Капитальный ремонт МКДОУ Новобирюсинский детский сад "Солнышко"</t>
  </si>
  <si>
    <t>2.41.</t>
  </si>
  <si>
    <t>Капитальный ремонт МКДОУ Шелаевский детский сад</t>
  </si>
  <si>
    <t>2.42.</t>
  </si>
  <si>
    <t>Строительство спортзала Муниципального казенного общеобразовательного учреждения средняя общеобразовательная школа Новобирюсинская СОШ</t>
  </si>
  <si>
    <t>2.43.</t>
  </si>
  <si>
    <t>Строительство спортзала Муниципального казенного общеобразовательного учреждения Муниципального казенного общеобразовательного учреждения Облепихинская СОШ</t>
  </si>
  <si>
    <t>2.44.</t>
  </si>
  <si>
    <t>Благоустройство зданий муниципальных общеобразовательных организаций</t>
  </si>
  <si>
    <t>2.45.</t>
  </si>
  <si>
    <t>Создание в общеобразовательных организациях условий для занятий физической культурой и спортом</t>
  </si>
  <si>
    <t>2.46.</t>
  </si>
  <si>
    <t>Приобретение школьных автобусов</t>
  </si>
  <si>
    <t>Медицина</t>
  </si>
  <si>
    <t>3.1</t>
  </si>
  <si>
    <t>Строительство фельдшерского (акушерского) пункта п. Новотремино</t>
  </si>
  <si>
    <t xml:space="preserve">ГП Иркутской области "Развитие сельского хозяйства и регулирование рынков сельскохозяйственной продукции, сырья и продовольствия" на 2019 - 2024 годы
</t>
  </si>
  <si>
    <t>Министерство здравоохранения Иркутской области</t>
  </si>
  <si>
    <t>3.2</t>
  </si>
  <si>
    <t>Строительство фельдшерского (акушерского) пункта п/ст. Тамтачет</t>
  </si>
  <si>
    <t>3.3</t>
  </si>
  <si>
    <t>Строительство фельдшерского (акушерского) пункта д. Сергина</t>
  </si>
  <si>
    <t>3.4</t>
  </si>
  <si>
    <t>Строительство фельдшерского (акушерского) пункта д. Пуляева</t>
  </si>
  <si>
    <t>3.5</t>
  </si>
  <si>
    <t>Выплата денежной компенсации за найм жилых помещений специалистам ОГБУЗ "Тайшетская районная больница"</t>
  </si>
  <si>
    <t>МП "Муниципальное управление"</t>
  </si>
  <si>
    <t>Администрация Тайшетского района</t>
  </si>
  <si>
    <t>4</t>
  </si>
  <si>
    <t>Культура</t>
  </si>
  <si>
    <t>4.1</t>
  </si>
  <si>
    <t xml:space="preserve"> Строительство Дома культуры в с. Шелехово Тайшетского района</t>
  </si>
  <si>
    <t xml:space="preserve">ГП Иркутской области "Развитие сельского хозяйства и регулирование рынков сельскохозяйственной продукции, сырья и продовольствия" </t>
  </si>
  <si>
    <t>МО "Шелеховское сельское поселение"</t>
  </si>
  <si>
    <t>200  пос/мест</t>
  </si>
  <si>
    <t>4.2</t>
  </si>
  <si>
    <t>Строительство Дома культуры в с. Джогино</t>
  </si>
  <si>
    <t xml:space="preserve">ГП "Развитие сельского хозяйства и регулирование рынков сельскохозяйственной продукции, сырья и продовольствия" </t>
  </si>
  <si>
    <t>150 пос/мест</t>
  </si>
  <si>
    <t>МО "Джогинское сельское поселение"</t>
  </si>
  <si>
    <t>4.3</t>
  </si>
  <si>
    <t>Капитальный ремонт Новотреминского Дома культуры</t>
  </si>
  <si>
    <t xml:space="preserve"> ГП "Развитие культуры"</t>
  </si>
  <si>
    <t>4.4</t>
  </si>
  <si>
    <t>Капитальный ремонт Николаевского Дома культуры</t>
  </si>
  <si>
    <t>МО "Николаевское сельское поселение"</t>
  </si>
  <si>
    <t>4.6</t>
  </si>
  <si>
    <t>Капитальный ремонт Староакульшетского Дома культуры</t>
  </si>
  <si>
    <t>ГП "Развитие культуры"</t>
  </si>
  <si>
    <t>МО "Староакульшетское сельское поселение"</t>
  </si>
  <si>
    <t>4.7.</t>
  </si>
  <si>
    <t xml:space="preserve">Капитальный ремонт МКУК "Бузыкановский Дом Досуга и Творчества" </t>
  </si>
  <si>
    <t>МО "Бузыкановское сельское поселение"</t>
  </si>
  <si>
    <t>4.8.</t>
  </si>
  <si>
    <t>Капитальный ремонт Бузыкановской сельской библиотеки</t>
  </si>
  <si>
    <t>4.9.</t>
  </si>
  <si>
    <t>Капитальный ремонт Нижне-заимского Дома культуры</t>
  </si>
  <si>
    <t>МО "Нижне-заимское сельское поселение"</t>
  </si>
  <si>
    <t>4.10.</t>
  </si>
  <si>
    <t>Капитальный ремонт кровли МКУК Межпоселенческой библиотечной системы Тайшетского района</t>
  </si>
  <si>
    <t>МП "Развитие культуры, спорта и молодежной политики"</t>
  </si>
  <si>
    <t>Комитет по управлению муниципальным имуществом, строительству, архитектуре и жилищно-коммунальному хозяйству</t>
  </si>
  <si>
    <t>4.11.</t>
  </si>
  <si>
    <t>Капитальный ремонт структурного подразделения МКУК МБС Тайшетского района  Шиткинской детской библиотеки</t>
  </si>
  <si>
    <t>Приобретение оборудования и литературы для муниципальных учреждений культуры и муниципальных детских школ искусств, пострадавших при чрезвычайной ситуации в связи с паводком, вызванным сильными дождями, прошедшими в июне, июле 2019 года на территории Иркутской области</t>
  </si>
  <si>
    <t>Комплектование книжных фондов муниципальных общедоступных библиотек</t>
  </si>
  <si>
    <t>4.12.</t>
  </si>
  <si>
    <t>Обновление персональных компьютеров  в учреждениях культуры</t>
  </si>
  <si>
    <t>"Приобретение автобуса для МБУК МРДК "Юбилейный"</t>
  </si>
  <si>
    <t>4.13.</t>
  </si>
  <si>
    <t>Капитальный ремонт МКУК Шиткинский ДД и Т</t>
  </si>
  <si>
    <t>МО "Шиткинское городское поселение"</t>
  </si>
  <si>
    <t>4.14.</t>
  </si>
  <si>
    <t>Капитальный ремонт Дома культуры в р/п. Новобирюсинский</t>
  </si>
  <si>
    <t>МО "Новобирюсинское городское поселение"</t>
  </si>
  <si>
    <t>4.15.</t>
  </si>
  <si>
    <t>Реконструкция здания МКУ ДО ДМШ № 2 г.Тайшета</t>
  </si>
  <si>
    <t>348 мест</t>
  </si>
  <si>
    <t>4.16.</t>
  </si>
  <si>
    <t>Капитальный ремонт МБУК МРДК "Юбилейный"</t>
  </si>
  <si>
    <t>38 метров</t>
  </si>
  <si>
    <t>4.17.</t>
  </si>
  <si>
    <t>Строительство детской школы искусств г.Тайшет</t>
  </si>
  <si>
    <t>400 мест</t>
  </si>
  <si>
    <t>4.18.</t>
  </si>
  <si>
    <t>Строительство Дома культуры в с. Конторка</t>
  </si>
  <si>
    <t>МО "Половино-Черемховское сельское поселение"</t>
  </si>
  <si>
    <t>4.19</t>
  </si>
  <si>
    <t>Строительство Дома культуры в с. Бирюса</t>
  </si>
  <si>
    <t>МО "Бирюсинское сельское поселение"</t>
  </si>
  <si>
    <t>4.20</t>
  </si>
  <si>
    <t>Благоустройство парка отдыха и культуры в р.п. Новобирюсинский</t>
  </si>
  <si>
    <t xml:space="preserve">ГП Иркутской области "Формирование современной городской среды";  МП "Формированиесовременной городской среды Новобирюсинского муниципального образования" </t>
  </si>
  <si>
    <t>4.21.</t>
  </si>
  <si>
    <t>Реконструкция парка отдыха в с.Березовка</t>
  </si>
  <si>
    <t>5,12 тыс. кв.м</t>
  </si>
  <si>
    <t>МО "Березовское сельское поселение"</t>
  </si>
  <si>
    <t>4.22.</t>
  </si>
  <si>
    <t>Строительство храма  в с.Березовка</t>
  </si>
  <si>
    <t>Внебюджетные источники</t>
  </si>
  <si>
    <t>0,21 тыс. кв.м</t>
  </si>
  <si>
    <t>ООО "Транснефть-Восток"</t>
  </si>
  <si>
    <t>4.23.</t>
  </si>
  <si>
    <t xml:space="preserve">Ремонт (текущий ремонт фойе, зрительный зал, малый зал) МКУК Центр Досуга "Сибирь"    в р.п.Юрты </t>
  </si>
  <si>
    <t>МО "Юртинское городское поселение"</t>
  </si>
  <si>
    <t>200 пос/мест</t>
  </si>
  <si>
    <t>Физическая культура и спорт</t>
  </si>
  <si>
    <t>5.1</t>
  </si>
  <si>
    <t xml:space="preserve"> Строительство спортивного зала в р.п. Квиток</t>
  </si>
  <si>
    <t xml:space="preserve">ГП Иркутской области "Развитие физической культуры и спорта" </t>
  </si>
  <si>
    <t>25 чел/сут</t>
  </si>
  <si>
    <t>МО "Квитокское городское поселение"</t>
  </si>
  <si>
    <t>5.2</t>
  </si>
  <si>
    <t xml:space="preserve"> Строительство бассейна в р.п. Квиток</t>
  </si>
  <si>
    <t>5.3</t>
  </si>
  <si>
    <t>Строительство спортивного плосткостного сооружения в д. Тимирязево (спортивная площадка)</t>
  </si>
  <si>
    <t xml:space="preserve">ГП Иркутской области  "Развитие сельского хозяйства и регулирование рынков сельскохозяйственной продукции, сырья и продовольствия" </t>
  </si>
  <si>
    <t>МО "Тимирязевское сельское поселение"</t>
  </si>
  <si>
    <t>40 мест</t>
  </si>
  <si>
    <t>5.4</t>
  </si>
  <si>
    <t>Строительство спортивного плосткостного сооружения в с. Джогино (спортивная площадка)</t>
  </si>
  <si>
    <t>5.5</t>
  </si>
  <si>
    <t>Строительство спортивного плосткостного сооружения в р.п. Шиткино (хокейный корт)</t>
  </si>
  <si>
    <t>5.6</t>
  </si>
  <si>
    <t>Строительство поселкового спортивного зала при МКУК Шиткинский ДД и Т</t>
  </si>
  <si>
    <t>5.7</t>
  </si>
  <si>
    <t xml:space="preserve"> Строительство спортивного плосткостного сооружения в с. Половино-Черемхово (спортивная плащадка)</t>
  </si>
  <si>
    <t>5.8</t>
  </si>
  <si>
    <t xml:space="preserve"> Строительство спортивного плосткостного сооружения в с. Конторка (спортивная площадка)</t>
  </si>
  <si>
    <t>5.9</t>
  </si>
  <si>
    <t xml:space="preserve"> Строительство спортивного плосткостного сооружения в с. Бирюса (спортивная площадка)</t>
  </si>
  <si>
    <t>5.10</t>
  </si>
  <si>
    <t>Строительство спортивного плоскостного сооружения в д. Нижняя Заимка (хокейный корт)</t>
  </si>
  <si>
    <t>МО "Нижнезамское сельское поселение"</t>
  </si>
  <si>
    <t>5.11</t>
  </si>
  <si>
    <t>Строительство лыжероллерной трассы МБУ ДО ДЮСШ г.Тайшета</t>
  </si>
  <si>
    <t>3 км</t>
  </si>
  <si>
    <t>5.12</t>
  </si>
  <si>
    <t>Строительство каркасно-тентовой конструкции универсального спортивного комплекса для хоккейной коробки в г.Бирюсинск</t>
  </si>
  <si>
    <t xml:space="preserve">Муниципальна программа Бирюсинского муниципального образования "Бирюсинское городское поселение" Развитие физической культуры и спорта на территории Бирюсинского муниципального образования" "Бирюсинское городское поселение " </t>
  </si>
  <si>
    <t>МО "Бирюсинское городское поселение"</t>
  </si>
  <si>
    <t>5.13</t>
  </si>
  <si>
    <t>Строительство детской спортивно-игровой площадки, р.п. Шиткино</t>
  </si>
  <si>
    <t>5.14.</t>
  </si>
  <si>
    <t>Строительство  многофункциональной спортивной площадки, с.Березовка</t>
  </si>
  <si>
    <t xml:space="preserve"> МО "Березовское сельское поселение"</t>
  </si>
  <si>
    <t>5.15.</t>
  </si>
  <si>
    <t>Строительство Библиотеки муниципального казённого учреждения культуры «Рождественский сельский Дом культуры»</t>
  </si>
  <si>
    <t>6</t>
  </si>
  <si>
    <t>6.1</t>
  </si>
  <si>
    <t>Предоставление социальных выплат молодым семьям на территории Тайшетского района</t>
  </si>
  <si>
    <t xml:space="preserve">МП "Молодым семьям-доступное жилье"  </t>
  </si>
  <si>
    <t>6.2</t>
  </si>
  <si>
    <t>Предостовление социальных выплат молодым семьям на территории г. Тайшета</t>
  </si>
  <si>
    <t>Администрация Тайшетского городского поселения</t>
  </si>
  <si>
    <t>МП "Молодым семьям-доступное жилье"</t>
  </si>
  <si>
    <t>6.3</t>
  </si>
  <si>
    <t>Поддержка и развитие социальной активности молодежи на территории Тайшетского района</t>
  </si>
  <si>
    <t>Охрана труда</t>
  </si>
  <si>
    <t>7.1</t>
  </si>
  <si>
    <t>Организация предупредительных мер по сокращению производственного травматизма и профессиональных заболеваний</t>
  </si>
  <si>
    <t xml:space="preserve"> МП "Охрана  труда"</t>
  </si>
  <si>
    <t>Проект МП "Охрана  труда"</t>
  </si>
  <si>
    <t>8</t>
  </si>
  <si>
    <t>Транспорт и дорожная служба</t>
  </si>
  <si>
    <t>8.1</t>
  </si>
  <si>
    <t xml:space="preserve">Строительство пешеходных переходов (мостов)      </t>
  </si>
  <si>
    <t>ГП Иркутской области "Реализация государственной политики в сфере строительства, дорожного хозяйства", МП "Развитие дорожного хозяйства"</t>
  </si>
  <si>
    <t>8.1.1</t>
  </si>
  <si>
    <t xml:space="preserve"> Строительство пешеходного перехода (моста) в с. Новотремино</t>
  </si>
  <si>
    <t>206 м</t>
  </si>
  <si>
    <t>8.1.2.</t>
  </si>
  <si>
    <t>Строительство пешеходного  перехода (моста) в с. Бирюса</t>
  </si>
  <si>
    <t>75 м</t>
  </si>
  <si>
    <t>Капитальный ремонт автомобильной дороги в г.Бирюсинске (ул. Парижской Коммуны, ул.Марата)</t>
  </si>
  <si>
    <t>Реализация инвестиционного проекта "Реконструкция станции Тайшет ВСЖД филиала ОАО "РЖД""</t>
  </si>
  <si>
    <t>ВСЖД филиал ОАО РДЖ</t>
  </si>
  <si>
    <t>8.4</t>
  </si>
  <si>
    <t>Капитальный ремонт автомобильного моста в р.п. Шиткино</t>
  </si>
  <si>
    <t>ГП Иркутской области "Реализация государственной политики в сфере строительства, дорожного хозяйства"</t>
  </si>
  <si>
    <t>90 м2</t>
  </si>
  <si>
    <t>8.5</t>
  </si>
  <si>
    <t>Строительство автомобильной дороги Тайшет-Шиткино-Шелаево на участке 141+547 км. 159+600 в Тайшетском районе Иркутской области</t>
  </si>
  <si>
    <t>ГП "Развитие сельского хозяйства и регулирование рынков сельскохозяйственной продукции, сырья и продовольствия™</t>
  </si>
  <si>
    <t>18 км</t>
  </si>
  <si>
    <t>Министерство строительства, дорожного хозяйства Иркутско области, ОГКУ "Дирекция по строительству и эксплуатации автомобильных дорог Иркутской области"</t>
  </si>
  <si>
    <t>8.6</t>
  </si>
  <si>
    <t>Содержание автомобильных дорог, находящихся в собственности МО "Тайшетский район"</t>
  </si>
  <si>
    <t>Осуществление дорожной деятельности в отношении автомобильных дорог общего пользования местного значения вне границ населенных пунктов в границах муниципального района</t>
  </si>
  <si>
    <t>МП "Развитие дорожного хозяйства"</t>
  </si>
  <si>
    <t>8.7</t>
  </si>
  <si>
    <t>Разработка проектно-сметной документации на строительство, реконструкцию и ремонт объектов муниципальной собственности</t>
  </si>
  <si>
    <t>Услуги связи</t>
  </si>
  <si>
    <t>2019-2030</t>
  </si>
  <si>
    <t>9.1</t>
  </si>
  <si>
    <t xml:space="preserve">Реализация федерального проекта "Устранение цифрового неравенства" и "Цифровая экономика" </t>
  </si>
  <si>
    <t>ПАО "Ростелеком"</t>
  </si>
  <si>
    <t>10</t>
  </si>
  <si>
    <t>Строительный комплекс</t>
  </si>
  <si>
    <t>10.1</t>
  </si>
  <si>
    <t>Содействие в получении социальных выплат на строительство (приобретение) жилья, гражданам, проживающим в сельской местности Тайшетского района, в том числе молодым семьям и молодым специалистам, за счет средств федерального бюджета и бюджета Иркутской области</t>
  </si>
  <si>
    <t>Отдел сельского хозяйства администрации Тайшетского района</t>
  </si>
  <si>
    <t xml:space="preserve">МП "Развитие сельского хозяйства и регулирование рынков сельскохозяйственной продукции, сырья и продовольствия" </t>
  </si>
  <si>
    <t xml:space="preserve">Проект МП "Развитие сельского хозяйства и регулирование рынков сельскохозяйственной продукции, сырья и продовольствия" </t>
  </si>
  <si>
    <t>Территориальное планирование и градостроительное зонирование</t>
  </si>
  <si>
    <t>11.1</t>
  </si>
  <si>
    <t>Актуализация документов территориального планирования</t>
  </si>
  <si>
    <t xml:space="preserve"> МП "Градостроительная политика на территории Тайшетского района", Государственная программа Иркутской области «Развитие и управление имущественным комплексом и земельными ресурсами Иркутской области»</t>
  </si>
  <si>
    <t>12</t>
  </si>
  <si>
    <t>Реконструкция электрических сетей ВЛ-10 "Тамтачет -Кондратьево"</t>
  </si>
  <si>
    <t xml:space="preserve">ГП Иркутской области "Развитие жилищно-коммунального хозяйства Иркутской области" </t>
  </si>
  <si>
    <t>8412,75 м</t>
  </si>
  <si>
    <t>12.2.</t>
  </si>
  <si>
    <t xml:space="preserve">Реконструкция электрических сетей 
ВЛ-0,4кВ, п.Полинчет, Вл-0,4кВ в с.Кондратьево
</t>
  </si>
  <si>
    <t>7975 м</t>
  </si>
  <si>
    <t>МО "Полинчетское сельское поселение"</t>
  </si>
  <si>
    <t>12.3.</t>
  </si>
  <si>
    <t xml:space="preserve">Бурение скважины с обустройством и строительство локального водопровода в Тимирязевском МО </t>
  </si>
  <si>
    <t>100 м</t>
  </si>
  <si>
    <t>12.4.</t>
  </si>
  <si>
    <t>Бурение скважины с обустройством и строительство локального водопровода в Николаевском МО</t>
  </si>
  <si>
    <t>70 м</t>
  </si>
  <si>
    <t>12.5</t>
  </si>
  <si>
    <t>Бурение скважины с обустройством и строительство локального водопровода в Разгонском МО</t>
  </si>
  <si>
    <t>МО "Разгонское сельское поселение"</t>
  </si>
  <si>
    <t>12.6</t>
  </si>
  <si>
    <t>Бурение скважины с обустройством и строительство локального водопровода в Черчетском МО</t>
  </si>
  <si>
    <t>65 м</t>
  </si>
  <si>
    <t>МО " Черчетское сельское поселение"</t>
  </si>
  <si>
    <t>12.7</t>
  </si>
  <si>
    <t>Бурение скважины с обустройством и строительство локального водопровода в  Венгерском МО</t>
  </si>
  <si>
    <t>МО "Венгерское сельское поселение"</t>
  </si>
  <si>
    <t>12.8</t>
  </si>
  <si>
    <t>Бурение скважины с обустройством и строительство локального водопровода в  Нижнезаимком  МО</t>
  </si>
  <si>
    <t>МО "Нижнезаимское сельское поселение"</t>
  </si>
  <si>
    <t>12.9</t>
  </si>
  <si>
    <t>Строительство локального водопровода в  д. Иванов Мыс Бузыканоского МО</t>
  </si>
  <si>
    <t>МО "Бузыкановское сельскоке поселение"</t>
  </si>
  <si>
    <t>12.10</t>
  </si>
  <si>
    <t>Бурение скважины с обустройством и строительство локального водопровода в  Мирнинском   МО</t>
  </si>
  <si>
    <t>МО "Мирнинское сельское поселение"</t>
  </si>
  <si>
    <t>12.11</t>
  </si>
  <si>
    <t>Бурение скважины с обустройством и строительство локального водопровода в  Джогинском   МО</t>
  </si>
  <si>
    <t>12.12</t>
  </si>
  <si>
    <t xml:space="preserve"> Строительство теплоисточника в р.п. Юрты</t>
  </si>
  <si>
    <t xml:space="preserve">ГП Иркутской области "Модернизация объектов коммунальной инфраструктуры" </t>
  </si>
  <si>
    <t xml:space="preserve">300 кВт </t>
  </si>
  <si>
    <t>МО "Юртинское  городское поселение"</t>
  </si>
  <si>
    <t>12.13</t>
  </si>
  <si>
    <t xml:space="preserve">Приобретение и установка блочно-модульных  котельных,  котельно и котельно-вспомогательного оборудования Терморобот на объекты социальной сферы для муниципальных нужд администрации Тайшетского района  </t>
  </si>
  <si>
    <t xml:space="preserve">МП "Модернизация объектов коммунальной инфраструктуры  муниципального образования "Тайшетский район" </t>
  </si>
  <si>
    <t>12.13.1</t>
  </si>
  <si>
    <t>Приобретение и установка блочно-модульных  котельных,  котельно и котельно-вспомогательного оборудования Терморобот, мощностью 150 кВТ на объекты социальной сферы для муниципальных нужд администрации Тайшетского района в котельную, расположенную по адресу: Тайшетский район, пос.ж/д ст. Разгон, ул. Школьная, д.1</t>
  </si>
  <si>
    <t>150 кВт</t>
  </si>
  <si>
    <t>12.13.2</t>
  </si>
  <si>
    <t>Приобретение и установка блочно-модульных  котельных,  котельно и котельно-вспомогательного оборудования Терморобот, мощностью 600 кВТ на объекты социальной сферы для муниципальных нужд администрации Тайшетского района в котельную, расположенную по адресу: Тайшетский район, п. Соляная, ул. Школьная, д.6В</t>
  </si>
  <si>
    <t>600 кВт</t>
  </si>
  <si>
    <t>12.13.3</t>
  </si>
  <si>
    <t>Приобретение и установка блочно-модульных  котельных,  котельно и котельно-вспомогательного оборудования Терморобот, мощностью 200 кВТ на объекты социальной сферы для муниципальных нужд администрации Тайшетского района в котельную, расположенную по адресу: Тайшетский район, п. Черчет, ул. Ленина, д.37А</t>
  </si>
  <si>
    <t>200 кВт</t>
  </si>
  <si>
    <t>12.13.4</t>
  </si>
  <si>
    <t>Приобретение и установка блочно-модульных  котельных,  котельно и котельно-вспомогательного оборудования Терморобот, мощностью 600 кВТ на объекты социальной сферы для муниципальных нужд администрации Тайшетского района в котельную, расположенную по адресу: Тайшетский район, с. Джогино, ул. Больничная, д.3А</t>
  </si>
  <si>
    <t>600кВт</t>
  </si>
  <si>
    <t>12.13.5</t>
  </si>
  <si>
    <t>Приобретение и установка блочно-модульных  котельных,  котельно и котельно-вспомогательного оборудования Терморобот, мощностью 200 кВТ на объекты социальной сферы для муниципальных нужд администрации Тайшетского района в котельную, расположенную по адресу: Тайшетский район, с. Нижняя Заимка, ул. Пионерская, д.1Б</t>
  </si>
  <si>
    <t>12.13.6</t>
  </si>
  <si>
    <t>Приобретение и установка блочно-модульных  котельных,  котельно и котельно-вспомогательного оборудования Терморобот, мощностью 600 кВТ на объекты социальной сферы для муниципальных нужд администрации Тайшетского района в котельную, расположенную по адресу: Тайшетский район, р.п. Шиткино, ул. Барковская, д.21Н</t>
  </si>
  <si>
    <t>600 кВТ</t>
  </si>
  <si>
    <t>12.13.7</t>
  </si>
  <si>
    <t>Приобретение и установка блочно-модульных  котельных,  котельно и котельно-вспомогательного оборудования Терморобот, мощностью 300 кВТ на объекты социальной сферы для муниципальных нужд администрации Тайшетского района в котельную, расположенную по адресу: Тайшетский район, р.п. Шиткино, ул. Богдана Хмельницкого, д.23Н</t>
  </si>
  <si>
    <t>12.13.8</t>
  </si>
  <si>
    <t>Приобретение и установка блочно-модульных  котельных,  котельно и котельно-вспомогательного оборудования Терморобот, мощностью 600 кВТ на объекты социальной сферы для муниципальных нужд администрации Тайшетского района в котельную, расположенную по адресу: Тайшетский район, п. Новотремино, ул. Зеленая, д.3А</t>
  </si>
  <si>
    <t>12.13.9</t>
  </si>
  <si>
    <t>Приобретение и установка блочно-модульных  котельных,  котельно и котельно-вспомогательного оборудования Терморобот, мощностью 1200 кВТ на объекты социальной сферы для муниципальных нужд администрации Тайшетского района в котельную, расположенную по адресу: Тайшетский район, г. Бирюсинск, ул. Ленина, д.65</t>
  </si>
  <si>
    <t>1200 кВт</t>
  </si>
  <si>
    <t>12.13.10</t>
  </si>
  <si>
    <t>Приобретение и монтаж котлов КВр-0,63 МВт, дымососа на объекты социальной сферы для муниципальных нужд администрации Тайшетского района в котельную, расположенную по адресу: Тайшетский район, п. Шиткино, ул. Бирюсинская, 14н</t>
  </si>
  <si>
    <t>12.13.11.</t>
  </si>
  <si>
    <t>Приобретение блочно-модульных  котельных  Терморобот, в муниципальную  котельную, оказывающую услуги объектам социальной сферы, находящейся по адресу: Тайшетский район, с.Березовка, ул. Зеленая, д.6А</t>
  </si>
  <si>
    <t>12.13.12.</t>
  </si>
  <si>
    <t>Приобретение блочно-модульных  котельных  Терморобот, в муниципальную  котельную, оказывающую услуги объектам социальной сферы, находящейся по адресу: Тайшетский район, с.Николаевка, ул. 50 лет Октября, д.2А</t>
  </si>
  <si>
    <t>800 кВт</t>
  </si>
  <si>
    <t>12.13.13.</t>
  </si>
  <si>
    <t>Приобретение блочно-модульных  котельных  Терморобот, в муниципальную  котельную, оказывающую услуги объектам социальной сферы, находящейся по адресу: Тайшетский район, р.п. Юрты, ул. Матросова, д.5</t>
  </si>
  <si>
    <t>12.14</t>
  </si>
  <si>
    <t>ЗАО "Байкалэнерго" (техническое перевооружение тепловой сети, техническое перевооружение оборудования, контрольно-измерительных приборов, устройство приборов учета, модернизация, реконструкция  насосного оборудования, строительство периметрального ограждения котельной № 3, модернизация насосного оборудования,  техническое перевооружение контрольно-измерительных приборов и автоматики котлов, модернизация оборудования ХВО котельной 1-ой очереди, техническое перевооружение оборудования подставнции ТП -16  котельной 1-ой очереди, реконструкция тепловых  сетей, реконструкция энергоснабжения котельной,  строительство  арочного автотранспортного бокса, реконструкция здания топливоподачи котельной, модернизация золоулавливающих установок котлов, устройство организованного стока)</t>
  </si>
  <si>
    <t>ЗАО "Байкалэнерго"</t>
  </si>
  <si>
    <t>12.15</t>
  </si>
  <si>
    <t xml:space="preserve">ООО "Транстехресурс" (мероприятия, проводимые концессионером в рамках реализации концессионного соглашения) </t>
  </si>
  <si>
    <t>ООО "Транстехресурс"</t>
  </si>
  <si>
    <t>12.15.1</t>
  </si>
  <si>
    <t>Здание котельной с оборудованием и тепловыми сетями: г. Бирюсинск, ул. Крупской, 50 (больничный комплекс)</t>
  </si>
  <si>
    <t>12.15.1.2</t>
  </si>
  <si>
    <t>Капитальный ремонт котла, изготовленного кустарным способом, замена ДН-9 на новый; механизация ШЗУ с монтажом эл. тельфера</t>
  </si>
  <si>
    <t>12.15.1.3</t>
  </si>
  <si>
    <t>Приобретение и монтаж сетевого насоса фирмы КSB производительностью 45 м3, напор 60 м, Etabloc GN 50/160/752 GN; замена вводного кабеля от П/ст до котельной (земля на воздух)</t>
  </si>
  <si>
    <t>12.15.2</t>
  </si>
  <si>
    <t>Здание котельной с оборудованием и тепловыми сетями: г. Бирюсинск, ул. Ленина, 65/2</t>
  </si>
  <si>
    <t>12.15.2.1</t>
  </si>
  <si>
    <t>Приобретение и замена ДН-3,5; приобретение и замена сетевых насосов на Etabloc GN 032/125</t>
  </si>
  <si>
    <t>12.15.2.2</t>
  </si>
  <si>
    <t>Монтаж ХВО (комплексонатной подготовки)</t>
  </si>
  <si>
    <t>12.15.3</t>
  </si>
  <si>
    <t>Здание котельной с оборудованием и тепловыми сетями: г. Бирюсинск, ул. Дружбы, 49/3 (школа №10)</t>
  </si>
  <si>
    <t>12.15.3.1</t>
  </si>
  <si>
    <t>Приобретение/замена дымососа ДН 2,5</t>
  </si>
  <si>
    <t>12.15.3.2</t>
  </si>
  <si>
    <t>Приобретение и монтаж карборобота; приобретение и замена сетевых насосов производительностью 8 м3, напор 20</t>
  </si>
  <si>
    <t>12.15.4</t>
  </si>
  <si>
    <t>Станция перакачки</t>
  </si>
  <si>
    <t>12.15.4.1</t>
  </si>
  <si>
    <t>Ремонт канализационных колодцев 30 ед.</t>
  </si>
  <si>
    <t>12.15.4.2</t>
  </si>
  <si>
    <t>Капитальный ремонт кровли</t>
  </si>
  <si>
    <t>12.15.4.3</t>
  </si>
  <si>
    <t>Замена 2-ух насосов на КSB производительностью 150 м3 напором 30 и KSB производительностью 200 м3 напор 30</t>
  </si>
  <si>
    <t>12.15.4.4</t>
  </si>
  <si>
    <t>Замена задвижек на н/ст; капитальный ремонт напорных коллекторов - 1 км</t>
  </si>
  <si>
    <t>12.15.5</t>
  </si>
  <si>
    <t>Здание РМЦ: г. Бирюсинск, ул. Горького, 1/14</t>
  </si>
  <si>
    <t>12.15.5.1</t>
  </si>
  <si>
    <t>Монтаж пожарной сигнализации</t>
  </si>
  <si>
    <t>12.15.6</t>
  </si>
  <si>
    <t>АТЦ</t>
  </si>
  <si>
    <t>12.15.6.1</t>
  </si>
  <si>
    <t>12.17</t>
  </si>
  <si>
    <t>Капитальный ремонт водонапорной башни д. Иванов Мыс Тайшетского района</t>
  </si>
  <si>
    <t>12.18</t>
  </si>
  <si>
    <t xml:space="preserve"> Обеспечение жильем граждан, проживающих в домах, признанных непригодными для постоянного проживания в Тайшетском городском поселении</t>
  </si>
  <si>
    <t xml:space="preserve">МП "Переселение граждан из ветхого и аварийного жилищного фонда Тайшетского муниципального образования "Тайшетское городское поселение" </t>
  </si>
  <si>
    <t>МО "Тайшетское городское поселение"</t>
  </si>
  <si>
    <t>12.19</t>
  </si>
  <si>
    <t xml:space="preserve"> Обеспечение жильем граждан, проживающих в домах, признанных непригодными для постоянного проживания в Бирюсинском городском поселении</t>
  </si>
  <si>
    <t xml:space="preserve">МП "Переселение граждан из ветхого и аварийного жилищного фонда в Бирюсинском муниципальном образовании "Бирюсинское городское поселение" </t>
  </si>
  <si>
    <t>Приобретение автоматического угольного котла для котельной ТУСМ</t>
  </si>
  <si>
    <t>МП "Модернизация объектов коммунальной инфраструктуры Бирюсинского муниципального образования "Бирюсинское городское поселение"</t>
  </si>
  <si>
    <t>12.20.</t>
  </si>
  <si>
    <t>Приобретение ленточного конвейера</t>
  </si>
  <si>
    <t>12.21</t>
  </si>
  <si>
    <t>Реконструкция тепловых сетей от котельной №1 на жилые дома</t>
  </si>
  <si>
    <t xml:space="preserve">ГП Иркутской области "Развитие жилищно-коммунального хозяйства и повышение энергоэффективности Иркутской области"
</t>
  </si>
  <si>
    <t>переносится на 2020 год</t>
  </si>
  <si>
    <t>12.22</t>
  </si>
  <si>
    <t>Реконструкция водонапорной башни</t>
  </si>
  <si>
    <t>13</t>
  </si>
  <si>
    <t xml:space="preserve">Охрана окружающей среды </t>
  </si>
  <si>
    <t>13.1</t>
  </si>
  <si>
    <t>Берегоукрепительные работы на реке Бирюса в селе Талая Тайшетского района Иркутской области</t>
  </si>
  <si>
    <t xml:space="preserve">МП "Охрана окружающей среды и экологической безопасности на территории Тайшетского района" </t>
  </si>
  <si>
    <t>970 м</t>
  </si>
  <si>
    <t>320 м</t>
  </si>
  <si>
    <t>330 м</t>
  </si>
  <si>
    <t>13.2</t>
  </si>
  <si>
    <t xml:space="preserve">Инженерная защита  от затопления водами р.Бирюса в с.Шелехово Тайшетского района </t>
  </si>
  <si>
    <t>ГП "Охрана  окружающей среды"</t>
  </si>
  <si>
    <t>13.3.</t>
  </si>
  <si>
    <t xml:space="preserve">Капитальный ремонт берегоукрепительных сооружений в п.Соляная на реке Бирюса в Тайшетском районе </t>
  </si>
  <si>
    <t>МО "Тальское сельское поселение"</t>
  </si>
  <si>
    <t>13.4.</t>
  </si>
  <si>
    <t>Берегоукрепление некапитального характера в п.Соляная на реке Бирюса в Тайшетском районе Иркутской области</t>
  </si>
  <si>
    <t>13.5.</t>
  </si>
  <si>
    <t>Инженерная защита  от затопления водами р.Бирюса в  п.ШиткиноТайшетского района Иркутской области</t>
  </si>
  <si>
    <t>МО "Шиткинское  городское поселение"</t>
  </si>
  <si>
    <t>14</t>
  </si>
  <si>
    <t>Профилактика правонарушений и преступлений</t>
  </si>
  <si>
    <t>14.1</t>
  </si>
  <si>
    <t>Проведение профилактических мероприятий, направленных на профилактику безнадзорности и правонарушений среди несовершеннолетних</t>
  </si>
  <si>
    <t>МП "Профилактика правонарушений, обеспечение общественной безопасности и правопорядка на территории муниципального образования "Тайшетский район"</t>
  </si>
  <si>
    <t>МП "Обеспечение общественной безопасности, профилактики правонарушений и социального сиротства на территории Тайшетского района" на 2020-2025 годы</t>
  </si>
  <si>
    <t>14.2</t>
  </si>
  <si>
    <t>Проведение антинаркотической пропаганды по повышению уровня осведомленности молодежи о негативных последствиях потребления наркотических средств и об ответственности за участие в их незаконном обороте</t>
  </si>
  <si>
    <t>14.3</t>
  </si>
  <si>
    <t>Проведение рейдов по уничтожению дикорастущей конопли в муниципальном образовании "Тайшетский район"</t>
  </si>
  <si>
    <t>14.4.</t>
  </si>
  <si>
    <t>Профилактика  употребления и распространения наркотических средств и психотропных веществ</t>
  </si>
  <si>
    <t xml:space="preserve">МП "Обеспечение общественной безопасности, профилактики правонарушений и социального сиротства на территории Тайшетского района" </t>
  </si>
  <si>
    <t xml:space="preserve">Проект МП "Обеспечение общественной безопасности, профилактики правонарушений и социального сиротства на территории Тайшетского района" </t>
  </si>
  <si>
    <t>15</t>
  </si>
  <si>
    <t>15.1</t>
  </si>
  <si>
    <t>Инвестиционный проект  "Развитие молочного животноводства ООО "Новая Заря" в с. Старый Акульшет</t>
  </si>
  <si>
    <t>100 голов</t>
  </si>
  <si>
    <t>ООО "Новая заря"</t>
  </si>
  <si>
    <t>15.1.1</t>
  </si>
  <si>
    <t>Строительство и запуск в эксплуатацию второго корпуса коровника, покупка 100 голов племенных телок, покупка оборудования для коровника и сельхозтехники</t>
  </si>
  <si>
    <t>15.1.2</t>
  </si>
  <si>
    <t>Покупка  племенных телок, покупка сельхозтехники (6 ед.)</t>
  </si>
  <si>
    <t>15.1.3</t>
  </si>
  <si>
    <t>Покупка сельхозтехники</t>
  </si>
  <si>
    <t>15.2.</t>
  </si>
  <si>
    <t>Инвестиционный проект "Развитие зернового производства ООО "Шелеховское" (приобретение сельскохозяйственной техники и оборудования, покупка элитных семян, удобрений и СЗР, увеличение посевных площадей зерновых культур на 1000 г и кормовых на 800 г) в с. Шелехово</t>
  </si>
  <si>
    <t>5000т</t>
  </si>
  <si>
    <t>ООО "Шелеховское"</t>
  </si>
  <si>
    <t>15.3.</t>
  </si>
  <si>
    <t>Инвестиционный проект "Развитие зернового производства  СХПК "Бирюсинский" (приобретение сельскохозяйственной техники, увеличение посевных площадей зерновых культур на 1000 г и кормовых на 800  г) в р.п. Шиткино</t>
  </si>
  <si>
    <t>3500т</t>
  </si>
  <si>
    <t>СХПК "Бирюсинский"</t>
  </si>
  <si>
    <t>15.4.</t>
  </si>
  <si>
    <t>Инвестиционный проект "Развитие сельскохозяйственной кооперации СПССПК "Шелеховское молоко" Тайшетского района (покупка оборудования для переработки молока) в г. Тайшете</t>
  </si>
  <si>
    <t>10940т</t>
  </si>
  <si>
    <t>СПССПК "Шелеховское молоко"</t>
  </si>
  <si>
    <t>15.5</t>
  </si>
  <si>
    <t>Инвестиционный проект "Развитие семейной молочной животноводческой фермы на базе ИП Глава КФХ Зверев В.Ю. в с.Половино-Черемхово"</t>
  </si>
  <si>
    <t>Грант на развитие семейных молочных животноводческих ферм в случае производства и  (или) переработки (в том числе на арендованных основных средствах) сельскохозяйственной продукции, выполнения работ и оказания услуг в области сельского хозяйства</t>
  </si>
  <si>
    <t>150 гол.</t>
  </si>
  <si>
    <t>ИП Глава КФХ Зверев В.Ю.</t>
  </si>
  <si>
    <t>15.6</t>
  </si>
  <si>
    <t>Инвестиционный проект "Капитальное строительство двух ферм мясного направления"  ИП Глава КФХ Прядивной  Г.И." в с. Шелехово</t>
  </si>
  <si>
    <t>300 гол.</t>
  </si>
  <si>
    <t>ИП Глава КФХ Прядивной  Г.И.</t>
  </si>
  <si>
    <t>15.7</t>
  </si>
  <si>
    <t>Инвестиционный проект "Капитальное строительство животноводческого комплекса в ООО "Заречное" (2 фермы, 2 телятника) в с.Заречное</t>
  </si>
  <si>
    <t>600 гол.</t>
  </si>
  <si>
    <t>ООО "Заречное"</t>
  </si>
  <si>
    <t>15.8</t>
  </si>
  <si>
    <t>Инвестиционный проект "Строительство зернокомплекса на базе ООО "Заречное" (строительство зерносклада , покупка оборудования)</t>
  </si>
  <si>
    <t>1500 т</t>
  </si>
  <si>
    <t>ООО"Заречное"</t>
  </si>
  <si>
    <t>15.9</t>
  </si>
  <si>
    <t>Инвестиционный проект "Создание племенного  хозяйства на базе ООО "Шелеховское" (закуп                        поголовья) в с.Рождественка</t>
  </si>
  <si>
    <t>200 гол.</t>
  </si>
  <si>
    <t>15.10</t>
  </si>
  <si>
    <t>Инвестиционный проект "Строительство зернокомплекса на базе ООО"Шелеховское" (строительство зерносклада , покупка оборудования)</t>
  </si>
  <si>
    <t>15.11</t>
  </si>
  <si>
    <t>Инвестиционный проект "Строительство животноводческой фермы молочного направления на базе ИП глава КФХ Холупенко С.П." в д.Талая</t>
  </si>
  <si>
    <t>ИП глава КФХ Холупенко С.П.</t>
  </si>
  <si>
    <t>15.12</t>
  </si>
  <si>
    <t>Инвестиционный проект "Строительство животноводческой фермы мясного направления на базе ИП глава КФХ Справникова Г.Г." в с.Рождественка</t>
  </si>
  <si>
    <t>50 голов</t>
  </si>
  <si>
    <t>ИП глава КФХ Справникова Г.Г.</t>
  </si>
  <si>
    <t>15.13</t>
  </si>
  <si>
    <t>Инвестиционный проект "Строительство животноводческой фермы мясного направления на базе ИП глава КФХ Дведенидов А.С." в с.Николаевка</t>
  </si>
  <si>
    <t>25 голов</t>
  </si>
  <si>
    <t>ИП глава КФХ Дведенидов А.С.</t>
  </si>
  <si>
    <t>15.14</t>
  </si>
  <si>
    <t>Инвестиционный проект "Строительство животноводческой фермы молочного направления на базе ИП глава КФХ Пирогов Д.Н."  в д.Пуляево  (Борисовское МО)</t>
  </si>
  <si>
    <t>ИП глава КФХ Пирогов Д.Н</t>
  </si>
  <si>
    <t>15.15</t>
  </si>
  <si>
    <t>Инвестиционный проект "Строительство животноводческой фермы мясного направления на базе ИП глава КФХ Барков" в с.Черчет</t>
  </si>
  <si>
    <t>50 гол.</t>
  </si>
  <si>
    <t>ИП глава КФХ Барков</t>
  </si>
  <si>
    <t>15.16</t>
  </si>
  <si>
    <t>Инвестиционный проект "Строительство  животноводческой фермы мясного направления"  ИП глава КФХ Мацук в п.Новобирюсинск</t>
  </si>
  <si>
    <t xml:space="preserve"> ИП глава КФХ Мацук </t>
  </si>
  <si>
    <t>16</t>
  </si>
  <si>
    <t>Экономический потенциал Тайшетского района</t>
  </si>
  <si>
    <t>16.1</t>
  </si>
  <si>
    <t>Инвестиционная деятельность</t>
  </si>
  <si>
    <t>16.1.1</t>
  </si>
  <si>
    <t>до 400 тыс.тонн обожженных анодов в год</t>
  </si>
  <si>
    <t>ООО "ОК РУСАЛ  "Анодная Фабрика"</t>
  </si>
  <si>
    <t>16.1.2</t>
  </si>
  <si>
    <t xml:space="preserve">  790,9 тыс.тонн в год аллюминия</t>
  </si>
  <si>
    <t>ООО "РУСАЛ Тайшетский Алюминиевый завод"</t>
  </si>
  <si>
    <t>16.1.3.</t>
  </si>
  <si>
    <t>Создание благоприятных условий для осуществления инвестиционной деятельности на территории Тайшетского района</t>
  </si>
  <si>
    <t>Непрограмные расходы</t>
  </si>
  <si>
    <t>МП "Развитие экономического потенциала на территории Тайшетского района"</t>
  </si>
  <si>
    <t>Проект МП "Развитие экономического потенциала на территории Тайшетского района"</t>
  </si>
  <si>
    <t>16.1.4</t>
  </si>
  <si>
    <t>Поддержка субъектов инвестиционной деятельности, реализующих и (или) планирующих реализацию инвестиционных проектов на территории муниципального образования «Тайшетский район» через доступные органам местного самоуправления инструменты</t>
  </si>
  <si>
    <t>16.2</t>
  </si>
  <si>
    <t>Малый и средний бизнес</t>
  </si>
  <si>
    <t>16.2.1</t>
  </si>
  <si>
    <t>Содействие укреплению социального статуса и повышение имиджа предпринимательства</t>
  </si>
  <si>
    <t>16.3</t>
  </si>
  <si>
    <t>16.3.1</t>
  </si>
  <si>
    <t>Комплекс мероприятий по организации и проведению сельскохозяйственных, специализированных, сезонных ярмарок в целях реализации продукции, произведенной местными товаропроизводителями, в том числе сельскохозяйственными организациями, крестьянскими (фермерскими) хозяйствами</t>
  </si>
  <si>
    <t xml:space="preserve"> Проект МП "Развитие экономического потенциала на территории Тайшетского района"</t>
  </si>
  <si>
    <t>16.4</t>
  </si>
  <si>
    <t>Туризм</t>
  </si>
  <si>
    <t>Проект МП "Развитие экономического потенциала на территории Тайшетского района</t>
  </si>
  <si>
    <t>16.4.1</t>
  </si>
  <si>
    <t>Содействие развитию туристской инфраструктуры</t>
  </si>
  <si>
    <t>17</t>
  </si>
  <si>
    <t>Трудовые ресурсы</t>
  </si>
  <si>
    <t>17.1</t>
  </si>
  <si>
    <t xml:space="preserve">Разработка прогноза баланса трудовых ресурсов на основе анализа ситуации на рынке труда в МО "Тайшетский район" </t>
  </si>
  <si>
    <t>18</t>
  </si>
  <si>
    <t>18.1</t>
  </si>
  <si>
    <t>Обеспечение эффективного управления муниципальными финансами, организация бюджетного процесса муниципального образования "Тайшетский район"</t>
  </si>
  <si>
    <t>Финансовое управление администрации Тайшетского района</t>
  </si>
  <si>
    <t>МП "Управление муниципальными финансами в муниципальном образовании "Тайшетский район"</t>
  </si>
  <si>
    <t>Проект МП "Управление муниципальными финансами в муниципальном образовании "Тайшетский район"</t>
  </si>
  <si>
    <t>18.2.</t>
  </si>
  <si>
    <t>Обеспечение  осуществления внутреннего муниципального финансового  контроля в сфере бюджетных  правоотношений и контроля в сфере закупок товаров, работ, услуг  в Тайшетском районе</t>
  </si>
  <si>
    <t>проект МП "Управление муниципальными финансами в муниципальном образовании "Тайшетский район"</t>
  </si>
  <si>
    <t>18.3</t>
  </si>
  <si>
    <t>Эффективное управление районным фондом финансовой поддержки поселений, обеспечение сбалансированности бюджетов поселений</t>
  </si>
  <si>
    <t>Повышение финансовой устойчивости муниципальных образований, находящихся на территории Тайшетского района, создание равных условий для устойчивого исполнения расходных обязательств муниципальных образований Тайшетского района</t>
  </si>
  <si>
    <t>19</t>
  </si>
  <si>
    <t>Социальная поддержка отдельных категорий  населения</t>
  </si>
  <si>
    <t>19.1</t>
  </si>
  <si>
    <t>Приспособление аудиторий и иных помещений для организации обучения детей-инвалидов (по зрению, слуху, с нарушением функций опорно-двигательного аппарата) в общеобразовательных организациях:</t>
  </si>
  <si>
    <t xml:space="preserve">МП "Социальная поддержка отдельных категорий населения муниципального образования "Тайшетский район" </t>
  </si>
  <si>
    <t>19.1.1</t>
  </si>
  <si>
    <t>МКОУ СОШ № 16 г.Бирюсинск</t>
  </si>
  <si>
    <t>19.1.2</t>
  </si>
  <si>
    <t>МКОУ Квитокская СОШ № 1</t>
  </si>
  <si>
    <t>19.1.3</t>
  </si>
  <si>
    <t>МКОУ Шиткинская СОШ</t>
  </si>
  <si>
    <t>19.2.</t>
  </si>
  <si>
    <t>Повышение доступности для детей-инвалидов образовательных услуг</t>
  </si>
  <si>
    <t xml:space="preserve">Проект МП "Социальная поддержка отдельных категорий населения муниципального образования "Тайшетский район" </t>
  </si>
  <si>
    <t>19.3</t>
  </si>
  <si>
    <t>Оборудование санитарно-гигиенических помещений с учетом  потребностей детей-инвалидов и детей с ограниченной возможносью здоровья</t>
  </si>
  <si>
    <t>19.3.1.</t>
  </si>
  <si>
    <t>МКОУ Соляновская СОШ</t>
  </si>
  <si>
    <t>19.3.2</t>
  </si>
  <si>
    <t>МКОУ Шелеховская СОШ</t>
  </si>
  <si>
    <t>19.3.3</t>
  </si>
  <si>
    <t>МКОУ Разгонская СОШ</t>
  </si>
  <si>
    <t>19.3.4</t>
  </si>
  <si>
    <t>19.4</t>
  </si>
  <si>
    <t>Установка пандуса на центральном входе объектов физической культуры и спорта для создания безбарьерной среды жизни деятельности инвалидов и других маломобильных групп населения</t>
  </si>
  <si>
    <t>Управление культуры, спорта и молодежной политике администрации Тайшетского района</t>
  </si>
  <si>
    <t>19.5</t>
  </si>
  <si>
    <t>Повышение доступности объектов культуры  для инвалидов  и других маломобильных групп населения</t>
  </si>
  <si>
    <t>19.5.1.</t>
  </si>
  <si>
    <t>Приобретение и устройсто  пандуса (подъемного устройства) для инвалидов на центральном  входе МКУ ДО ТДХШ</t>
  </si>
  <si>
    <t>19.5.2</t>
  </si>
  <si>
    <t>Приобретение вспомогательных средств, носителей информации  для создания безбарьерной среды жизнедеятельности инвалидов и других маломобильных групп населения в МБУК МРДК "Юбилейный"</t>
  </si>
  <si>
    <t>19.5.3.</t>
  </si>
  <si>
    <t>Приобретение вспомогательных средств, носителей информации  для создания безбарьерной среды жизнедеятельности инвалидов и других маломобильных групп населения в МКУ ДО ДШИ г.Бирюсинска</t>
  </si>
  <si>
    <t>19.5.4.</t>
  </si>
  <si>
    <t>Приобретение вспомогательных средств, носителей информации  для создания безбарьерной среды жизнедеятельности инвалидов и других маломобильных групп населения в МКУ ДО ТДХШ</t>
  </si>
  <si>
    <t>19.5.5.</t>
  </si>
  <si>
    <t>Приобретение вспомогательных средств, носителей информации  для создания безбарьерной среды жизнедеятельности инвалидов и других маломобильных групп населения в МКУК "КМ" Бирюсинска</t>
  </si>
  <si>
    <t>19.5.6.</t>
  </si>
  <si>
    <t>Приобретение вспомогательных средств, носителей информации  для создания безбарьерной среды жизнедеятельности инвалидов и других маломобильных групп населения в МКУК "МБС Тайшетского района"</t>
  </si>
  <si>
    <t>19.5.7.</t>
  </si>
  <si>
    <t>Приобретение вспомогательных средств для создания безбарьерной среды жизнедеятельности инвалидов и других маломобильных групп населения МКУ ДМШ № 2</t>
  </si>
  <si>
    <t>19.5.8.</t>
  </si>
  <si>
    <t>Установка пандуса на центральном входе МКУ ДМШ № 2</t>
  </si>
  <si>
    <t>19.5.9.</t>
  </si>
  <si>
    <t>Приобретение вспомогательных средств для создания безбарьерной среды жизнедеятельности инвалидов и других маломобильных групп населения Центр культуры и досуга Надежда г.Бирюсинск</t>
  </si>
  <si>
    <t>19.6.</t>
  </si>
  <si>
    <t>Приобретение оборудования  для помещений для детей с ограниченными возможностями здоровья в образовательных организациях</t>
  </si>
  <si>
    <t>20</t>
  </si>
  <si>
    <t>Управление муниципальным имуществом</t>
  </si>
  <si>
    <t>МП "Повышение эффективности управления муниципальным имуществом муниципального образования "Тайшетский район" , проект МП "Повышение эффективности управления муниципальным имуществом муниципального образования "Тайшетский район"</t>
  </si>
  <si>
    <t>20.1</t>
  </si>
  <si>
    <t xml:space="preserve"> Инветаризация объектов недвижимости муниципальной собствености Тайшетского района: </t>
  </si>
  <si>
    <t>20.1.1</t>
  </si>
  <si>
    <t>Здание сельского  клуба (д.Сафроновка, д. Троицк, д.Синякино, д. Конторка), здание СДК (с.Шелехово, д. Коновалово, с. Нижняя Заимка), здание сельской администрации (д. Тимирязево, с.Половино-Черемхово), здание администрации (р.п.Новобирюсинский), помещение в здании (сельская администрация)  (с. Шелехово, с.Черчет), помещение в здании (с.Нижняя заимка), водонапорная башня (г.Тайшет, п.Новотремино, п/ст Разгон), здание колонки №2 (п/ст Разгон),  автомобильная  дорога (подъезд к паромной переправе на р.Бирюса с.Мирный)</t>
  </si>
  <si>
    <t>20.1.2</t>
  </si>
  <si>
    <t>Здание администрации (с.Бузыканово, п.Квиток, с.Березовка, п.Мирный), водонапорная башня (п. Квиток, с. Нижняя Заимка, с. Мирный, с.Джогино, д.Тремина), здание водонапорной башни (с. Половино-Черемхово), нежилое здание котельной (р.п. Новобирюсинский), здание котельной (р.п.Новобирюсинский),  автомобильные дороги (подъезд к д.Черемшанка, Тайшет-Парижская коммуна)</t>
  </si>
  <si>
    <t>20.1.3</t>
  </si>
  <si>
    <t>Автомобильная  дорога Гоголевка-Борисово, объекты сельхозназначения, расположенные в д.Сафроновка Тайшетского района (коровник, ферма, трансформаторная); и в с.Рождественка Тайшетского района (коровник №1, коровник №2, коровник №3, административно-бытовое здание, склад, гараж, силовые хранилища, здание кормодробилки)</t>
  </si>
  <si>
    <t>20.1.4</t>
  </si>
  <si>
    <t>Автомобильная дорога (подъезд к п.Полинчет, здания: столярки, лесоцеха, соцкультбыта, автогаража), водонапорная башня в п.Шиткино Тайшетского района</t>
  </si>
  <si>
    <t>20.1.5</t>
  </si>
  <si>
    <t>Автомобильная дорога (подъезд к с.Талая), здания зерноскладов, фермы, машинный двор, водонапорная башня (с.Шелаево), здание гаража (с.Борисово)</t>
  </si>
  <si>
    <t>20.1.6</t>
  </si>
  <si>
    <t>Здание машиноведения, здание художественной школы (п.Шиткино), здание гаража (п.Юрты), здание гаража (с.Талая)</t>
  </si>
  <si>
    <t>20.1.7</t>
  </si>
  <si>
    <t>Автомобильная дорога Талая-Георгиевка, здание магазина (п.Шиткино),  здание школы (с.Рождественка), здание (с.Сереброво)</t>
  </si>
  <si>
    <t>20.1.8</t>
  </si>
  <si>
    <t>Автомобильная дорога Новобирюсинский-Горевая-Тамтачет</t>
  </si>
  <si>
    <t>20.2</t>
  </si>
  <si>
    <t xml:space="preserve"> Выполнение кадастровых работ по формированию земельных участков</t>
  </si>
  <si>
    <t>20.2.1</t>
  </si>
  <si>
    <t>Земельный участок под автомобильной дорогой  Мирный Шелаево (подъзд к паромной переправе на р.Бирюса с.Мирный)</t>
  </si>
  <si>
    <t>20.2.2</t>
  </si>
  <si>
    <t>Земельный участок под автомобильной дорогой  Туманшет-Венгерка;формирование земельных участков для строительства объектов - средней школы на 154 места и детского сада на 110 мест в с.Бирюса Тайшетского района</t>
  </si>
  <si>
    <t>20.2.3</t>
  </si>
  <si>
    <t>Земельный участок под автомобильной дорогой  Гоголевка-Борисово</t>
  </si>
  <si>
    <t>20.2.4</t>
  </si>
  <si>
    <t>Земельный участок под автомобильной дорогой  подъезд к с.Полинчет</t>
  </si>
  <si>
    <t>20.2.5</t>
  </si>
  <si>
    <t>Земельный участок под автомобильной дорогой  подъезд к с.Талая</t>
  </si>
  <si>
    <t>20.2.6</t>
  </si>
  <si>
    <t>Земельный участок под автомобильной дорогой  Тайшет-Парижская Коммуна, подъезд к д.Черемшанка</t>
  </si>
  <si>
    <t>20.2.7</t>
  </si>
  <si>
    <t>Земельный участок под автомобильной дорогой  Талая-Георгиевка</t>
  </si>
  <si>
    <t>20.2.8</t>
  </si>
  <si>
    <t>Земельный участок под автомобильной дорогой  Новобирюсинский-Горевая-Тамтачет</t>
  </si>
  <si>
    <t>21.1.</t>
  </si>
  <si>
    <t>Повышение квалификации муниципальных служащих (без отрыва от производства, с отрывом от производства, дистационно с применением современных образовательных технологий), включая участие в краткосрочных семинарах</t>
  </si>
  <si>
    <t>Проект МП "Муниципальное управление"</t>
  </si>
  <si>
    <t>21.2.</t>
  </si>
  <si>
    <t>Совершенствование и развитие ЕДДС Тайшетского района, в том числе укомплектование и обучения высококвалифицированными специалистами, развитие систем 112</t>
  </si>
  <si>
    <t>МКУ "Служба ГО и ЧС"</t>
  </si>
  <si>
    <t>21.3.</t>
  </si>
  <si>
    <t>Развитие и значимая поддержка института старост населенных пунктов Тайшетского района</t>
  </si>
  <si>
    <t>22</t>
  </si>
  <si>
    <t>Безопасность</t>
  </si>
  <si>
    <t>МП "Безопасность"</t>
  </si>
  <si>
    <t>22.1</t>
  </si>
  <si>
    <t>Создание  системы звукового оповещения населения на территории Тайшетского района</t>
  </si>
  <si>
    <t>22.2</t>
  </si>
  <si>
    <t>Организация и проведение на территории Тайшетского района мероприятий по предупреждению и ликвидации чрезвычайных ситуаций  природного и техногенного характера</t>
  </si>
  <si>
    <t>проект МП "Безопасность"</t>
  </si>
  <si>
    <t>22.3.</t>
  </si>
  <si>
    <t>Профессиональная переподготовка и повышение квалификации специалистов ЕДДС</t>
  </si>
  <si>
    <t>Начальник Управления экономики и промышленной политики</t>
  </si>
  <si>
    <t>Н.В. Климанова</t>
  </si>
  <si>
    <t xml:space="preserve">Приложение  
к постановлению администрации Тайшетского района
от "   "           2021  № 
</t>
  </si>
  <si>
    <t xml:space="preserve">фонд содействия реформированию жкх </t>
  </si>
  <si>
    <t xml:space="preserve"> МП "Развитие культуры, спорта и молодежной политики" </t>
  </si>
  <si>
    <t>Приобретение жилых помещений для  специалистов, в работе которых имеется острая необходимость на территории Тайшетского района</t>
  </si>
  <si>
    <t>МП "Повышение эффективности управления муниципальным имуществом муниципального образования "Тайшетский район" на 2020-2025 годы</t>
  </si>
  <si>
    <t xml:space="preserve">МП "Развитие образования"  </t>
  </si>
  <si>
    <t xml:space="preserve"> МП "Развитие сельского хозяйства и регулирование рынков сельскохозяйственной продукции, сырья и продовольствия" </t>
  </si>
  <si>
    <t>2.7.</t>
  </si>
  <si>
    <t>Создание Центров естественно-научного и технологического профилей "Точка роста"</t>
  </si>
  <si>
    <t>30 центров</t>
  </si>
  <si>
    <t>2.8.</t>
  </si>
  <si>
    <t>Оснащение современным оборудованием кабинетов ОБЖ в общеобразовательных организациях</t>
  </si>
  <si>
    <t>18 общеобразовательных организаций</t>
  </si>
  <si>
    <t>2.9.</t>
  </si>
  <si>
    <t>2.9.1</t>
  </si>
  <si>
    <t>2.9.2</t>
  </si>
  <si>
    <t>2.9.3</t>
  </si>
  <si>
    <t>2.9.4</t>
  </si>
  <si>
    <t>2.10.</t>
  </si>
  <si>
    <t>Строительство детского сада в г. Тайшете</t>
  </si>
  <si>
    <t>Строительство объекта "Детское дошкольное учреждение на 120 мест, расположенное по адресу: Иркутская область, Тайшетский район, г.Тайшет, ул.Зои Космодемьянской, 7 "</t>
  </si>
  <si>
    <t>Строительство МКДОУ Соляновская средняя общеобразовательная школа</t>
  </si>
  <si>
    <t>ГП Иркутской области по восстановлению жилья, объектов связи, социальной, коммунальной, энергетической и транспортной инфраструктур, гидротехнических сооружений, административных зданий, поврежденных или утраченных в результате наводнения на территории Иркутской области,  подпрограмма "Строительство, реконструкция и капитальный ремонт объектов образования"</t>
  </si>
  <si>
    <t>Строительство  МКДОУ Соляновский детский сад</t>
  </si>
  <si>
    <t>Строительство МКОУ Соляновская средняя общеобразовательная школа  детский сад на 128 мест</t>
  </si>
  <si>
    <t>128 мест</t>
  </si>
  <si>
    <t>Строительство школы-сад на 128 мест, с.Бирюса Тайшетского района</t>
  </si>
  <si>
    <t>Строительство детского сада на 140 мест, р.п.Шиткино Тайшетского района</t>
  </si>
  <si>
    <t>140 мест</t>
  </si>
  <si>
    <t>250 мест</t>
  </si>
  <si>
    <t>ООО "РУСАЛ Тайшетский Алюминиевый Завод"</t>
  </si>
  <si>
    <t>Строительство объекта "Детское дошкольное учреждение на 250 мест в с.Старый Акульшет, Тайшетского района Иркутской области"</t>
  </si>
  <si>
    <t>Строительство  образовательной организации "Средняя общеобразовательная школа на 1275 учащихся, расположенная по адресу: Иркутская область, г.Тайшет, ул.Горького, 21"</t>
  </si>
  <si>
    <t>1275 мест</t>
  </si>
  <si>
    <t>2.47.</t>
  </si>
  <si>
    <t>Капитальный ремонт МКДОУ Шиткинский детский сад "Петушок"</t>
  </si>
  <si>
    <t>2.48.</t>
  </si>
  <si>
    <t>Капитальный ремонт МКОУ Невельская СОШ</t>
  </si>
  <si>
    <t>2.49.</t>
  </si>
  <si>
    <t>Капитальный ремонт МКОУ СОШ №10 г. Бирюсинск</t>
  </si>
  <si>
    <t>2.50.</t>
  </si>
  <si>
    <t>Капитальный ремонт МКОУ Новобирюсинская СОШ</t>
  </si>
  <si>
    <t>2.51.</t>
  </si>
  <si>
    <t>Капитальный ремонт МКОУ Тамтачетская СОШ</t>
  </si>
  <si>
    <t>2.52.</t>
  </si>
  <si>
    <t xml:space="preserve">Капитальный ремонт  МКОУ СОШ № 23 г.Тайшета </t>
  </si>
  <si>
    <t>2.53.</t>
  </si>
  <si>
    <t>Капитальный ремонт здания МКУ ДМШ №2, расположенного по адресу: г.Тайшет, ул. Чапаева, 1</t>
  </si>
  <si>
    <t>2.54.</t>
  </si>
  <si>
    <t>2.55.</t>
  </si>
  <si>
    <t>2.56.</t>
  </si>
  <si>
    <t>2.57.</t>
  </si>
  <si>
    <t>3.5.</t>
  </si>
  <si>
    <t>Строительство фельдшерско (акушерского) пункта в п.Полинчет</t>
  </si>
  <si>
    <t xml:space="preserve"> проект ГП Иркутской области "Развитие сельского хозяйства и регулирование рынков сельскохозяйственной продукции, сырья и продовольствия"</t>
  </si>
  <si>
    <t>3.6.</t>
  </si>
  <si>
    <t>Строительство фельдшерско (акушерского) пункта в с.Кондратьево</t>
  </si>
  <si>
    <t>3.7.</t>
  </si>
  <si>
    <t>МП "Муниципальное управление" на 2020-2025 годы</t>
  </si>
  <si>
    <t xml:space="preserve"> ГП "Развитие культуры" </t>
  </si>
  <si>
    <t xml:space="preserve">ГП "Развитие культуры" </t>
  </si>
  <si>
    <t>4.6.</t>
  </si>
  <si>
    <t>Капитальный ремонт здания бассейна, расположенного по адресу: Иркутская область, г.Тайшет, ул.Мира 4А -1</t>
  </si>
  <si>
    <t>4.19.</t>
  </si>
  <si>
    <t>4.20.</t>
  </si>
  <si>
    <t xml:space="preserve">ГП "Развитие сельского хозяйства и регулирование рынков сельскохозяйственной продукции, сырья и продовольствия"  </t>
  </si>
  <si>
    <t>4.24.</t>
  </si>
  <si>
    <t>4.25.</t>
  </si>
  <si>
    <t>4.26.</t>
  </si>
  <si>
    <t>Строительство Дома культуры в п.Полинчет</t>
  </si>
  <si>
    <t>ГП "Развитие сельского хозяйства и регулирование рынков сельскохозяйственной продукции, сырья и продовольствия"</t>
  </si>
  <si>
    <t>100 пос/мест</t>
  </si>
  <si>
    <t>4.27.</t>
  </si>
  <si>
    <t>Строительство Дома культуры в с.Кондратьево</t>
  </si>
  <si>
    <t>4.28.</t>
  </si>
  <si>
    <t xml:space="preserve">МО "Рождественское сельское поселение" </t>
  </si>
  <si>
    <t>позв.</t>
  </si>
  <si>
    <t>4.29.</t>
  </si>
  <si>
    <t>Строительство Рождественского   Дома культуры</t>
  </si>
  <si>
    <t>60 мест</t>
  </si>
  <si>
    <t>Министерство строительства, дорожного хозяйства Иркутской области,    МО "Шиткинское городское поселение"</t>
  </si>
  <si>
    <t xml:space="preserve"> Строительство спортивного плосткостного сооружения в с. Половино-Черемхово (спортивная площадка)</t>
  </si>
  <si>
    <t>Строительство спортивного плоскостного сооружения в с.Старый Акульшет (хокейный корт)</t>
  </si>
  <si>
    <t>5.10.</t>
  </si>
  <si>
    <t>5.11.</t>
  </si>
  <si>
    <t>5.12.</t>
  </si>
  <si>
    <t>5.13.</t>
  </si>
  <si>
    <t>МО " Тайшетское городское поселение"</t>
  </si>
  <si>
    <t>ГП Иркутской области "Реализация государственной политики в сфере строительства, дорожного хозяйства", МП  Бирюсинского городского поселения" Развитие дорожного хозяйства"</t>
  </si>
  <si>
    <t xml:space="preserve">ГП "Реализация государственной  политики в сфере строительства, дорожного хозяйства " </t>
  </si>
  <si>
    <t>Капитальный ремонт  автомобильной дороги Тайшет-Шиткино-Шелаево на участке 82+490 км. 84+050 в Тайшетском районе Иркутской области (с.Бузыканово)</t>
  </si>
  <si>
    <t>ОГКУ "Дирекция по строительству и эксплуатации автомобильных дорог Иркутской области"</t>
  </si>
  <si>
    <t>1,56 км</t>
  </si>
  <si>
    <t>8.7.</t>
  </si>
  <si>
    <t>8.8.</t>
  </si>
  <si>
    <t xml:space="preserve">МП "Развитие дорожного хозяйства" </t>
  </si>
  <si>
    <t>8.9.</t>
  </si>
  <si>
    <t>8.10.</t>
  </si>
  <si>
    <t>Реконструкция и ремонт  проезжей части дорог,  ямочный ремонт дорог</t>
  </si>
  <si>
    <t xml:space="preserve">МП "Повышение безопасности дорожного движения в Николаевском муниципальном образовании </t>
  </si>
  <si>
    <t>МО "Николаевкое сельское поселение"</t>
  </si>
  <si>
    <t>н</t>
  </si>
  <si>
    <t>8.11.</t>
  </si>
  <si>
    <t xml:space="preserve">Текущий ремонт участка автомобильной дороги в асфальтобетонном исполнении </t>
  </si>
  <si>
    <t>МП "Развитие автомобильных дорог и осуществление дорожной деятельности на территории Квитокского муниципального образования в части содержания, модернизации, капитального ремонта и ремонта автомобильных дорог общего пользования местного значения, дворовых территорий "</t>
  </si>
  <si>
    <t>1 км</t>
  </si>
  <si>
    <t xml:space="preserve"> 1 км</t>
  </si>
  <si>
    <t xml:space="preserve"> МП "Градостроительная политика на территории Тайшетского района", Государственная программа Иркутской области "Развитие и управление имущественным комплексом и земельными ресурсами Иркутской области"</t>
  </si>
  <si>
    <t>Актуализация документов территориального планирования, актуализация документов градостроительного зонирования</t>
  </si>
  <si>
    <t>ГП Иркутской области "Развитие сельского хозяйства и регулирование рынков сельскохозяйственной продукции, сырья и продовольствия", "Комплексное развитие социальной
инфраструктуры Тимирязевского муниципального
образования "</t>
  </si>
  <si>
    <t>12.12.</t>
  </si>
  <si>
    <t>Бурение скважины в с.Конторка с  установкой водоочистительной системы</t>
  </si>
  <si>
    <t>105 м</t>
  </si>
  <si>
    <t>12.13.</t>
  </si>
  <si>
    <t>Реконструкция объектов водоснабжения, водопроводных сетей в с.Березовка</t>
  </si>
  <si>
    <t xml:space="preserve"> ГП  Иркутской области "Развитие жилищно-коммунального хозяйства и повышение энергоэффективности Иркутской области";
МП Комплексного развития коммунальной инфраструктуры на территории Березовского муниципального образования до 2032 года</t>
  </si>
  <si>
    <t>12.14.</t>
  </si>
  <si>
    <t>12.15.</t>
  </si>
  <si>
    <t>12.15.7</t>
  </si>
  <si>
    <t>12.15.8</t>
  </si>
  <si>
    <t>12.15.9</t>
  </si>
  <si>
    <t>12.15.10</t>
  </si>
  <si>
    <t>12.15.11.</t>
  </si>
  <si>
    <t>12.15.12.</t>
  </si>
  <si>
    <t>12.15.13.</t>
  </si>
  <si>
    <t>12.16.</t>
  </si>
  <si>
    <t>12.17.1</t>
  </si>
  <si>
    <t>12.17.1.1.</t>
  </si>
  <si>
    <t>12.17.2.</t>
  </si>
  <si>
    <t>12.17.2.1.</t>
  </si>
  <si>
    <t>12.17.3.</t>
  </si>
  <si>
    <t>12.17.3.1.</t>
  </si>
  <si>
    <t>12.17.4.</t>
  </si>
  <si>
    <t>12.17.4.1.</t>
  </si>
  <si>
    <t>12.17.5.</t>
  </si>
  <si>
    <t>12.17.5.1.</t>
  </si>
  <si>
    <t>12.18.</t>
  </si>
  <si>
    <t>12.19.</t>
  </si>
  <si>
    <t xml:space="preserve">МП "Переселение граждан, проживающих на территории Тайшетского городского поселения  из  аварийного жилищного фонда, признанного таковым до 1 января 2017 года " </t>
  </si>
  <si>
    <t>Переселение  граждан из непригодного для проживания жилищного фонда</t>
  </si>
  <si>
    <t>12.21.</t>
  </si>
  <si>
    <t>12.22.</t>
  </si>
  <si>
    <t>12.23.</t>
  </si>
  <si>
    <t>12.24.</t>
  </si>
  <si>
    <t>Строительство водовода от ул.Крупской до ул.Энергетиков в г.Бирюсинске</t>
  </si>
  <si>
    <t>ГП Иркутской области "Развитие жилищно-коммунального хозяйства и повышение энергоэффективности Иркутской области" ; МП Бирюсинского муниципального образования "Бирюсинское городское поселение" "Чистая вода"</t>
  </si>
  <si>
    <t>12.25.</t>
  </si>
  <si>
    <t>Строительство центральной канализационной сети по ул.Советская</t>
  </si>
  <si>
    <t xml:space="preserve">ГП Иркутской области "Развитие жилищно-коммунального хозяйства и повышение энергоэффективности Иркутской области"; МП Бирюсинского муниципального образования "Бирюсинское городское поселение" "Чистая вода" </t>
  </si>
  <si>
    <t>12.26.</t>
  </si>
  <si>
    <t xml:space="preserve">ГП Иркутской области "Развитие жилищно-коммунального хозяйства и повышение энергоэффективности Иркутской области" 
</t>
  </si>
  <si>
    <t>12.27.</t>
  </si>
  <si>
    <t>Приобретение крана гидроманипулятора с грейфером, насоса</t>
  </si>
  <si>
    <t>12.28.</t>
  </si>
  <si>
    <t>Строительство объекта "Демонтаж водонапорной башня и возведение водонапорной башни Рожновского V=30 по улице Чапаева, 14 А"</t>
  </si>
  <si>
    <t>Формирование современной городской среды</t>
  </si>
  <si>
    <t>Благоустройство детской площадки, приобретение и установка металлического ограждения, с.Березовка</t>
  </si>
  <si>
    <t xml:space="preserve">Проект МП "Благоустройство территории Березовкого сельского поселения" </t>
  </si>
  <si>
    <t>13.2.</t>
  </si>
  <si>
    <t xml:space="preserve">Благоустройство общественной территории, расположенной по адресу: Иркутская область, р.п. Квиток, ул. Первомайская, 52 </t>
  </si>
  <si>
    <t>ГП Иркутской области "Формирование современной городской среды" ; МП "Формирование современной городской среды Квитокского муниципального образования "</t>
  </si>
  <si>
    <t>Благоустройство придомовых  территорий в г.Бирюсинск</t>
  </si>
  <si>
    <t xml:space="preserve">ГП Иркутской области "Формирование современной городской среды" ; МП "Формирование современной городской среды  на территории Бирюсинского муниципального образования "Бирюсинское городское поселение" </t>
  </si>
  <si>
    <t>МО "Бирюсинское  городское поселение"</t>
  </si>
  <si>
    <t xml:space="preserve">ГП Иркутской области "Формирование современной городской среды";  МП "Формирование современной городской среды Новобирюсинского муниципального образования" </t>
  </si>
  <si>
    <t>МО "Новобирюсинское   городское поселение"</t>
  </si>
  <si>
    <t>Благоустройство  дворовой территории мкр.Новый   г.Тайшета</t>
  </si>
  <si>
    <t xml:space="preserve">ГП Иркутской области "Формирование современной городской среды"   МП "Формирование современной городской среды " </t>
  </si>
  <si>
    <t>МО "Тайшетское   городское поселение"</t>
  </si>
  <si>
    <t>13.6.</t>
  </si>
  <si>
    <t>Благоустройство  фасадной  части Городского парка в г.Тайшете по ул.Пушкина, 14</t>
  </si>
  <si>
    <t>13.7.</t>
  </si>
  <si>
    <t>Благоустройство общественных территорий в р.п.Юрты</t>
  </si>
  <si>
    <t xml:space="preserve">ГП Иркутской области "Формирование современной городской среды" </t>
  </si>
  <si>
    <t>МО "Юртинское   городское поселение"</t>
  </si>
  <si>
    <t xml:space="preserve">ГП "Охрана  окружающей среды" </t>
  </si>
  <si>
    <t>МО "Шелеховское сельское поселение", министерство  природных реурсов и экологии Иркутской области</t>
  </si>
  <si>
    <t>14.3.</t>
  </si>
  <si>
    <t>МО "Соляновское сельское поселение"</t>
  </si>
  <si>
    <t>Расчистка русла р.Бирюса в пределах населенного пункта Соляная Тайшетского района Иркутской области</t>
  </si>
  <si>
    <t>ФГУ "Востсибрегионводхоз"</t>
  </si>
  <si>
    <t>14.5.</t>
  </si>
  <si>
    <t>Министерство  природных реурсов и экологии Иркутской области</t>
  </si>
  <si>
    <t>14.6.</t>
  </si>
  <si>
    <t>Инженерная защита  от затопления водами р.Бирюса в  с.Талая Тайшетского района Иркутской области</t>
  </si>
  <si>
    <t>14.7.</t>
  </si>
  <si>
    <t>МО "Шиткинское  городское поселение", министерство  природных реурсов и экологии Иркутской области</t>
  </si>
  <si>
    <t>Повышение эксплуатационной надежности гидротехнических сооружений путем их приведения к безопасному техническому состоянию</t>
  </si>
  <si>
    <t>Проект  МП "Развитие водохозяйственного комплекса на территории Тайшетского муниципального образования "Тайшетское городское поселение"</t>
  </si>
  <si>
    <t>14.8.</t>
  </si>
  <si>
    <t>14.9.</t>
  </si>
  <si>
    <t>Создание мест (площадок) накопления твердых коммунальных отходов</t>
  </si>
  <si>
    <t xml:space="preserve">ГП "Охрана  окружающей среды" , МП "Обращение с отходами, в том числе твердыми коммунальными отходами, натерритории Бирюсинского муниципального образования "Бирюсинское городское поселение" </t>
  </si>
  <si>
    <t>14.10.</t>
  </si>
  <si>
    <t xml:space="preserve">ГП "Охрана  окружающей среды",  МП "Развитие и модернизация объектов коммунальной инфраструктуры Тайшетского муниципального образования Тайшетское городское поселение" </t>
  </si>
  <si>
    <t>14.11.</t>
  </si>
  <si>
    <t>ГП "Охрана  окружающей среды" , "Охрана окружающей среды   на территории
Тимирязевского муниципального образования "</t>
  </si>
  <si>
    <t>5 площадок на 11 контейнеров</t>
  </si>
  <si>
    <t>14.12.</t>
  </si>
  <si>
    <t xml:space="preserve">ГП "Охрана  окружающей среды" ;МП "Развитие и модернизация объектов коммунальной инфраструктуры Юртинского муниципального образования "Юртинское городское поселение" </t>
  </si>
  <si>
    <t>15.</t>
  </si>
  <si>
    <t>15.1.</t>
  </si>
  <si>
    <t>15.5.</t>
  </si>
  <si>
    <t>Профилактика социального сиротства</t>
  </si>
  <si>
    <t>16.</t>
  </si>
  <si>
    <t>16.1.</t>
  </si>
  <si>
    <t>16.2.</t>
  </si>
  <si>
    <t>16.3.</t>
  </si>
  <si>
    <t>16.4.</t>
  </si>
  <si>
    <t>16.5</t>
  </si>
  <si>
    <t>Грант "Строительство семейной животноводческой фермы"</t>
  </si>
  <si>
    <t>5000 т</t>
  </si>
  <si>
    <t>16.6</t>
  </si>
  <si>
    <t>16.7.</t>
  </si>
  <si>
    <t>16.8.</t>
  </si>
  <si>
    <t>16.9.</t>
  </si>
  <si>
    <t>16.10.</t>
  </si>
  <si>
    <t>16.11.</t>
  </si>
  <si>
    <t>16.12.</t>
  </si>
  <si>
    <t>16.13.</t>
  </si>
  <si>
    <t>16.14.</t>
  </si>
  <si>
    <t>Инвестиционный проект "Строительство  животноводческой фермы "  ИП глава КФХ Михайлов в с.Джогино</t>
  </si>
  <si>
    <t xml:space="preserve"> ИП глава КФХ Михайлов </t>
  </si>
  <si>
    <t>16.15.</t>
  </si>
  <si>
    <t>Инвестиционный проект "Строительство  животноводческой фермы "  ИП глава КФХ Лупекин И.В. В с.Шелехово</t>
  </si>
  <si>
    <t xml:space="preserve"> ИП глава КФХ Лупекин </t>
  </si>
  <si>
    <t>16.16.</t>
  </si>
  <si>
    <t>Инвестиционный проект "Строительство  животноводческой фермы "  ИП глава КФХ Иванов В.И.. в с.Шелехово</t>
  </si>
  <si>
    <t xml:space="preserve"> ИП глава КФХ Иванов </t>
  </si>
  <si>
    <t>17.</t>
  </si>
  <si>
    <t>17.1.</t>
  </si>
  <si>
    <t>17.1.1</t>
  </si>
  <si>
    <t>до 242 тыс.тонн обожженных анодов в год, 161 тыс. тонн прокаленного кокса в год</t>
  </si>
  <si>
    <t>17.1.2</t>
  </si>
  <si>
    <t>Строительство  ОК РУСАЛ Алюминиевого завода (с.Ст.Акульшет) , в том числе  строительство жилых домов мкр. Центральный</t>
  </si>
  <si>
    <t xml:space="preserve">  428,5 тыс.тонн в год аллюминия</t>
  </si>
  <si>
    <t>17.1.3.</t>
  </si>
  <si>
    <t xml:space="preserve">МП "Развитие экономического потенциала на территории Тайшетского района" </t>
  </si>
  <si>
    <t>17.1.4</t>
  </si>
  <si>
    <t>17.2</t>
  </si>
  <si>
    <t>17.2.1</t>
  </si>
  <si>
    <t>17.3</t>
  </si>
  <si>
    <t>17.3.1</t>
  </si>
  <si>
    <t>17.4</t>
  </si>
  <si>
    <t>17.4.1</t>
  </si>
  <si>
    <t xml:space="preserve">МП "Управление муниципальными финансами в муниципальном образовании "Тайшетский район" </t>
  </si>
  <si>
    <t>19.3.</t>
  </si>
  <si>
    <t>19.4.</t>
  </si>
  <si>
    <t xml:space="preserve">проект МП "Социальная поддержка отдельных категорий населения муниципального образования "Тайшетский район" </t>
  </si>
  <si>
    <t>20.2.</t>
  </si>
  <si>
    <t>20.3</t>
  </si>
  <si>
    <t>20.3.1.</t>
  </si>
  <si>
    <t>20.3.2</t>
  </si>
  <si>
    <t>20.3.3</t>
  </si>
  <si>
    <t>20.3.4</t>
  </si>
  <si>
    <t>20.4</t>
  </si>
  <si>
    <t>Повышение доступности спортивных  объектов для  инвалидов и других маломобильных групп населения</t>
  </si>
  <si>
    <t>20.5</t>
  </si>
  <si>
    <t>20.6.</t>
  </si>
  <si>
    <t xml:space="preserve">Повышение доступности  образовательных организаций для детей-инвалидов и других маломобильных групп населения </t>
  </si>
  <si>
    <t>20.7.</t>
  </si>
  <si>
    <t xml:space="preserve"> Оснащение оборудованием   помещений для детей с ограниченными возможностями здоровья в образовательных организациях</t>
  </si>
  <si>
    <t>21</t>
  </si>
  <si>
    <t>21.1</t>
  </si>
  <si>
    <t>21.1.1</t>
  </si>
  <si>
    <t>21.1.2</t>
  </si>
  <si>
    <t xml:space="preserve">МП "Повышение эффективности управления муниципальным имуществом муниципального образования "Тайшетский район"  </t>
  </si>
  <si>
    <t>21.1.3</t>
  </si>
  <si>
    <t>Здание водонапорной башни, здание автогаража, здание конторы (п. Шиткино), здание водонапорной башни (с. Короленко), здание гаража (с. Борисово), помещение администрации (с. Березовка), нежилое здание, помещение в  здании, водонапорная башня (с. Джогино), водонапорная башня ( д. Тремино), здание администрации, 2 нежилых зданий (с. Бузыканово), 2 водонапорных башни (с. Половино-Черемхово), водонапорная башня, здание клуба, , нежилое здание (с. Талая), памятник (г. Тайшет), тепловые сети, здание администрации (с. Мирный), 2 помещения (п ж/д ст Разгон), 2 помещения (п ж/д ст Облепиха), помещение (д. Тимирязево), нежилое здание, здание клуба (с. Рождественка), водонапорная башня (с. Нижняя Заимка), электростанция (с.Заречное)</t>
  </si>
  <si>
    <t>21.1.4</t>
  </si>
  <si>
    <t>Картофелехранилище, водонапорная башня, нежилое здание , здание гаража, здание кормоцеха (с. Рождественка), линии электропередач (г. Бирюсинск), телятник, зернослад 1500, здание гаража (с. Шелаево), остановочный комплекс (г. Тайшет), сооружение, трансформаторная подстанция (д. Сафроновка), музей (п. Шиткино)</t>
  </si>
  <si>
    <t>21.1.5</t>
  </si>
  <si>
    <t>6 теплотрас (г. Тайшет), скважина (п ж/д ст Разгон), 2 скважины (г. Бирюсинск), скважина (с. Шелехово), скважина (с. Борисово)</t>
  </si>
  <si>
    <t>21.1.6</t>
  </si>
  <si>
    <t>Здание гаража (с. Талая), здание гаража (г. Бирюсинск), здание библиотеки,  здание мастерских, помещение в здании (г. Бирюсинск), здание спортивного зала, здание гаража (рп Квиток), здание гаража, 2 склада (г. Тайшет),  здание овещехранилища (п ж/д ст Невельская), 2 здание овощехранилища (г. Бирюсинск)</t>
  </si>
  <si>
    <t>21.1.7</t>
  </si>
  <si>
    <t>5 нежилых здания (д. Байроновка), автомобильная дорога  Новобирюсинский-Горевая-Тамтачет, автомобильная дорога Тайшет-Парижская коммуна</t>
  </si>
  <si>
    <t>21.2</t>
  </si>
  <si>
    <t>21.2.1</t>
  </si>
  <si>
    <t>21.2.2</t>
  </si>
  <si>
    <t>21.2.3</t>
  </si>
  <si>
    <t>21.2.4</t>
  </si>
  <si>
    <t>Земельный участок под автомобильной дорогой  подъезд к д. Черемшанка</t>
  </si>
  <si>
    <t>21.2.5</t>
  </si>
  <si>
    <t>Земельный участок под автомобильной дорогой  Тайшет-Парижская Коммуна</t>
  </si>
  <si>
    <t>21.2.6</t>
  </si>
  <si>
    <t>Земельный участок под автомобильной дорогой  подъезд на р. Бирюса (с. Мирный)</t>
  </si>
  <si>
    <t>21.2.7</t>
  </si>
  <si>
    <t>Земельный участок под автомобильной дорогой  М-53 -спортивный оздоровительный лагерь "Олимп", подъезд к г. Тайшет, подъезд к с. Бирюса</t>
  </si>
  <si>
    <t>Оценка недвижимости, признание прав и регулирование отношений по государственной и муниципальной собственности</t>
  </si>
  <si>
    <t>22.1.</t>
  </si>
  <si>
    <t xml:space="preserve">МП Муниципальное управление </t>
  </si>
  <si>
    <t>22.2.</t>
  </si>
  <si>
    <t>23</t>
  </si>
  <si>
    <t xml:space="preserve">МП "Безопасность" </t>
  </si>
  <si>
    <t>23.1</t>
  </si>
  <si>
    <t>23.2</t>
  </si>
  <si>
    <t>23.3.</t>
  </si>
  <si>
    <t xml:space="preserve"> Начальник Управления экономики и промышленной политики</t>
  </si>
  <si>
    <t>Строительство МКОУ Бирюсинская средняя общеобразовательная школа детский сад на 128 мест</t>
  </si>
  <si>
    <t>на 140 мест</t>
  </si>
  <si>
    <t>МП "Развитие образования"  на 2020-2025 годы</t>
  </si>
  <si>
    <t xml:space="preserve"> ГП "Развитие культуры" на 2019-2024 годы</t>
  </si>
  <si>
    <t>ГП "Развитие культуры" на 2019-2024 годы</t>
  </si>
  <si>
    <t xml:space="preserve"> МП "Развитие культуры, спорта и молодежной политики" на 2020-2025 годы</t>
  </si>
  <si>
    <t>ГП "Развитие сельского хозяйства и регулирование рынков сельскохозяйственной продукции, сырья и продовольствия"  на 2019-2024 годы</t>
  </si>
  <si>
    <t>ГП "Развитие сельского хозяйства и регулирование рынков сельскохозяйственной продукции, сырья и продовольствия" на 2019-2024 годы</t>
  </si>
  <si>
    <t>МП "Молодым семьям-доступное жилье"  на 2020-2025 годы</t>
  </si>
  <si>
    <t xml:space="preserve">ГП "Реализация государственной  политики в сфере строительства, дорожного хозяйства на 2019-2024 годы" </t>
  </si>
  <si>
    <t>МП "Развитие дорожного хозяйства" на 2020-2025 годы</t>
  </si>
  <si>
    <t>ГП Иркутской области "Развитие сельского хозяйства и регулирование рынков сельскохозяйственной продукции, сырья и продовольствия", "Комплексное развитие социальной
инфраструктуры Тимирязевского муниципального
образования  на 2020 – 2030 годы"</t>
  </si>
  <si>
    <t>12.18.1.</t>
  </si>
  <si>
    <t>12.18.2</t>
  </si>
  <si>
    <t>12.18.2.1</t>
  </si>
  <si>
    <t>12.18.3</t>
  </si>
  <si>
    <t>12.18.3.1</t>
  </si>
  <si>
    <t>12.19.1</t>
  </si>
  <si>
    <t>12.19.2</t>
  </si>
  <si>
    <t>12.19.3</t>
  </si>
  <si>
    <t xml:space="preserve">МП "Переселение граждан, проживающих на территории Тайшетского городского поселения  из  аварийного жилищного фонда, признанного таковым до 1 января 2017 года в 2019-2025 годах " </t>
  </si>
  <si>
    <t>МП "Переселение граждан из ветхого и аварийного жилищного фонда в Бирюсинском муниципальном образовании "Бирюсинское городское поселение" на 2019-2024 годы</t>
  </si>
  <si>
    <t>ГП Иркутской области "Развитие жилищно-коммунального хозяйства и повышение энергоэффективности Иркутской области" на 2019-2024 годы; МП Бирюсинского муниципального образования "Бирюсинское городское поселение" "Чистая вода" на 2019-2024 годы</t>
  </si>
  <si>
    <t>ГП Иркутской области "Развитие жилищно-коммунального хозяйства и повышение энергоэффективности Иркутской области"; МП Бирюсинского муниципального образования "Бирюсинское городское поселение" "Чистая вода" на 2019-2024 годы</t>
  </si>
  <si>
    <t xml:space="preserve">ГП Иркутской области "Развитие жилищно-коммунального хозяйства и повышение энергоэффективности Иркутской области" на 2019-2024 годы
</t>
  </si>
  <si>
    <t>12.29.</t>
  </si>
  <si>
    <t>12.30.</t>
  </si>
  <si>
    <t>Проект МП "Благоустройство территории Березовкого сельского поселения" на 2021-2026 годы</t>
  </si>
  <si>
    <t>ГП Иркутской области "Формирование современной городской среды" на 2018-2024 годы; МП "Формирование современной городской среды Квитокского муниципального образования на 2018-2024 годы"</t>
  </si>
  <si>
    <t>ГП Иркутской области "Формирование современной городской среды" на 2018-2024 годы; МП "Формирование современной городской среды  на территории Бирюсинского муниципального образования "Бирюсинское городское поселение" на 2018-2024 г.г.</t>
  </si>
  <si>
    <t xml:space="preserve">ГП Иркутской области "Формирование современной городской среды" на 2018-2024 годы;  МП "Формирование современной городской среды Новобирюсинского муниципального образования" </t>
  </si>
  <si>
    <t>ГП Иркутской области "Формирование современной городской среды" на 2018-2024 годы;  МП "Формирование современной городской среды " на 2018-2024 годы</t>
  </si>
  <si>
    <t>ГП Иркутской области "Формирование современной городской среды" на 2018-2024 годы</t>
  </si>
  <si>
    <t>ГП "Охрана  окружающей среды" на 2019-2024 годы</t>
  </si>
  <si>
    <t xml:space="preserve">Проект  МП «Развитие водохозяйственного комплекса на территории Тайшетского муниципального образования «Тайшетское городское поселение» </t>
  </si>
  <si>
    <t>ГП "Охрана  окружающей среды" на 2019-2024 годы, МП "Обращение с отходами, в том числе твердыми коммунальными отходами, натерритории Бирюсинского муниципального образования "Бирюсинское городское поселение" на 2019-2024 годы</t>
  </si>
  <si>
    <t>ГП "Охрана  окружающей среды" на 2019-2024 годы, МП "Развитие и модернизация объектов коммунальной инфраструктуры Тайшетского муниципального образования Тайшетское городское поселение" на 2021-2023 годы"</t>
  </si>
  <si>
    <t>ГП "Охрана  окружающей среды" на 2019-2024 годы, "Охрана окружающей среды   на территории
Тимирязевского муниципального образования на 2020-2022 годы"</t>
  </si>
  <si>
    <t>ГП "Охрана  окружающей среды" на 2019-2024 годы;МП "Развитие и модернизация объектов коммунальной инфраструктуры Юртинского муниципального образования "Юртинское городское поселение" на 2018-2021 годы</t>
  </si>
  <si>
    <t>МП "Обеспечение общественной безопасности, профилактики правонарушений и социального сиротства на территории Тайшетского района" на  2020-2025 годы</t>
  </si>
  <si>
    <t>МП "Развитие экономического потенциала на территории Тайшетского района" на 2020-2025 годы</t>
  </si>
  <si>
    <t>МП "Управление муниципальными финансами в муниципальном образовании "Тайшетский район" на 2014-2019 годы</t>
  </si>
  <si>
    <t>МП "Управление муниципальными финансами в муниципальном образовании "Тайшетский район" на 2020-2025 годы</t>
  </si>
  <si>
    <t xml:space="preserve">МП "Социальная поддержка отдельных категорий населения муниципального образования "Тайшетский район" н 2020-2025 годы </t>
  </si>
  <si>
    <t>МП "Повышение эффективности управления муниципальным имуществом муниципального образования "Тайшетский район"  на 2020-2025 годы</t>
  </si>
  <si>
    <t>МП "Безопасность" на 2020-2025 годы</t>
  </si>
  <si>
    <t>Капитальный ремонт здания плавательного бассейна, расположенного по адресу: Тайшетский район, г.Бирюсинск, ул.Партизанская, д.2</t>
  </si>
  <si>
    <t>Капитальный ремонт МКДОУ детский сад № 3 г. Бирюсинска, ул. Советская,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</si>
</sst>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_р_._-;\-* #,##0.00_р_._-;_-* &quot;-&quot;??_р_._-;_-@_-"/>
    <numFmt numFmtId="165" formatCode="0.000"/>
    <numFmt numFmtId="166" formatCode="#,##0.000"/>
    <numFmt numFmtId="167" formatCode="0.0000"/>
    <numFmt numFmtId="168" formatCode="_-* #,##0.0000_р_._-;\-* #,##0.0000_р_._-;_-* &quot;-&quot;??_р_._-;_-@_-"/>
    <numFmt numFmtId="169" formatCode="0.0"/>
    <numFmt numFmtId="170" formatCode="0.000000"/>
    <numFmt numFmtId="171" formatCode="0.00000"/>
  </numFmts>
  <fonts count="37">
    <font>
      <sz val="10"/>
      <name val="Arial Cyr"/>
      <charset val="204"/>
    </font>
    <font>
      <sz val="8"/>
      <name val="Times New Roman"/>
      <charset val="204"/>
    </font>
    <font>
      <sz val="10"/>
      <name val="Times New Roman"/>
      <charset val="204"/>
    </font>
    <font>
      <sz val="10"/>
      <color rgb="FFFF0000"/>
      <name val="Times New Roman"/>
      <charset val="204"/>
    </font>
    <font>
      <b/>
      <sz val="10"/>
      <name val="Times New Roman"/>
      <charset val="204"/>
    </font>
    <font>
      <b/>
      <i/>
      <sz val="10"/>
      <name val="Times New Roman"/>
      <charset val="204"/>
    </font>
    <font>
      <b/>
      <sz val="10"/>
      <color rgb="FFFF0000"/>
      <name val="Times New Roman"/>
      <charset val="204"/>
    </font>
    <font>
      <b/>
      <sz val="12"/>
      <name val="Times New Roman"/>
      <charset val="204"/>
    </font>
    <font>
      <sz val="10"/>
      <color rgb="FF000000"/>
      <name val="Times New Roman"/>
      <charset val="204"/>
    </font>
    <font>
      <b/>
      <sz val="12"/>
      <color rgb="FF000000"/>
      <name val="Times New Roman"/>
      <charset val="204"/>
    </font>
    <font>
      <b/>
      <sz val="10"/>
      <color rgb="FF000000"/>
      <name val="Times New Roman"/>
      <charset val="204"/>
    </font>
    <font>
      <sz val="9"/>
      <name val="Times New Roman"/>
      <charset val="204"/>
    </font>
    <font>
      <sz val="10"/>
      <color rgb="FFFFFFFF"/>
      <name val="Times New Roman"/>
      <charset val="204"/>
    </font>
    <font>
      <sz val="10"/>
      <name val="Arial Cyr"/>
      <charset val="204"/>
    </font>
    <font>
      <sz val="12"/>
      <name val="Times New Roman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sz val="12"/>
      <name val="Arial Cyr"/>
      <charset val="204"/>
    </font>
    <font>
      <sz val="8"/>
      <name val="Arial Cyr"/>
      <charset val="204"/>
    </font>
    <font>
      <sz val="11"/>
      <name val="Times New Roman"/>
      <charset val="204"/>
    </font>
    <font>
      <sz val="10"/>
      <color rgb="FFFF0000"/>
      <name val="Times New Roman CYR"/>
      <charset val="204"/>
    </font>
    <font>
      <b/>
      <sz val="10"/>
      <name val="Times New Roman CYR"/>
      <charset val="204"/>
    </font>
    <font>
      <b/>
      <sz val="8"/>
      <name val="Times New Roman"/>
      <charset val="204"/>
    </font>
    <font>
      <b/>
      <sz val="8"/>
      <name val="Arial Cyr"/>
      <charset val="204"/>
    </font>
    <font>
      <sz val="10"/>
      <name val="Times New Roman CYR"/>
      <charset val="204"/>
    </font>
    <font>
      <sz val="8"/>
      <name val="Times New Roman CYR"/>
      <charset val="204"/>
    </font>
    <font>
      <sz val="10"/>
      <color rgb="FF000000"/>
      <name val="Times New Roman CYR"/>
      <charset val="204"/>
    </font>
    <font>
      <sz val="10"/>
      <name val="Times New Roman"/>
      <charset val="1"/>
    </font>
    <font>
      <b/>
      <sz val="10"/>
      <name val="Times New Roman"/>
      <charset val="1"/>
    </font>
    <font>
      <b/>
      <sz val="12"/>
      <name val="Times New Roman CYR"/>
      <charset val="204"/>
    </font>
    <font>
      <b/>
      <sz val="9"/>
      <name val="Times New Roman"/>
      <charset val="204"/>
    </font>
    <font>
      <b/>
      <sz val="11"/>
      <name val="Times New Roman"/>
      <charset val="204"/>
    </font>
    <font>
      <sz val="10"/>
      <name val="Arial Cyr"/>
      <charset val="1"/>
    </font>
    <font>
      <sz val="11"/>
      <color rgb="FF000000"/>
      <name val="Times New Roman"/>
      <charset val="204"/>
    </font>
    <font>
      <b/>
      <sz val="9"/>
      <name val="Tahoma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DBEEF4"/>
        <bgColor rgb="FFDBEEF4"/>
      </patternFill>
    </fill>
    <fill>
      <patternFill patternType="solid">
        <fgColor rgb="FFB9CDE5"/>
        <bgColor rgb="FFB9CDE5"/>
      </patternFill>
    </fill>
    <fill>
      <patternFill patternType="solid">
        <fgColor rgb="FFD7E4BD"/>
        <bgColor rgb="FFD7E4BD"/>
      </patternFill>
    </fill>
    <fill>
      <patternFill patternType="solid">
        <fgColor rgb="FFB7DEE8"/>
        <bgColor rgb="FFB7DEE8"/>
      </patternFill>
    </fill>
    <fill>
      <patternFill patternType="solid">
        <fgColor rgb="FFDCE6F2"/>
        <bgColor rgb="FFDCE6F2"/>
      </patternFill>
    </fill>
    <fill>
      <patternFill patternType="solid">
        <fgColor rgb="FFC6D9F1"/>
        <bgColor rgb="FFC6D9F1"/>
      </patternFill>
    </fill>
    <fill>
      <patternFill patternType="solid">
        <fgColor rgb="FFC3D69B"/>
        <bgColor rgb="FFC3D69B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1352">
    <xf numFmtId="0" fontId="0" fillId="0" borderId="0" xfId="0"/>
    <xf numFmtId="49" fontId="1" fillId="2" borderId="0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vertical="center"/>
    </xf>
    <xf numFmtId="0" fontId="2" fillId="2" borderId="0" xfId="0" applyNumberFormat="1" applyFont="1" applyFill="1" applyBorder="1" applyAlignment="1" applyProtection="1">
      <alignment horizontal="center"/>
    </xf>
    <xf numFmtId="0" fontId="2" fillId="2" borderId="0" xfId="0" applyNumberFormat="1" applyFont="1" applyFill="1" applyBorder="1" applyAlignment="1" applyProtection="1">
      <alignment horizontal="center" vertical="center"/>
    </xf>
    <xf numFmtId="0" fontId="3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/>
    <xf numFmtId="49" fontId="1" fillId="2" borderId="0" xfId="0" applyNumberFormat="1" applyFont="1" applyFill="1" applyBorder="1" applyAlignment="1" applyProtection="1">
      <alignment horizontal="center" vertical="center" wrapText="1"/>
    </xf>
    <xf numFmtId="0" fontId="3" fillId="2" borderId="0" xfId="0" applyNumberFormat="1" applyFont="1" applyFill="1" applyBorder="1" applyAlignment="1" applyProtection="1">
      <alignment wrapText="1"/>
    </xf>
    <xf numFmtId="0" fontId="2" fillId="2" borderId="0" xfId="0" applyNumberFormat="1" applyFont="1" applyFill="1" applyBorder="1" applyAlignment="1" applyProtection="1">
      <alignment vertical="center" wrapText="1"/>
    </xf>
    <xf numFmtId="0" fontId="2" fillId="2" borderId="0" xfId="0" applyNumberFormat="1" applyFont="1" applyFill="1" applyBorder="1" applyAlignment="1" applyProtection="1">
      <alignment horizontal="center" wrapText="1"/>
    </xf>
    <xf numFmtId="49" fontId="1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2" fontId="2" fillId="2" borderId="1" xfId="0" applyNumberFormat="1" applyFont="1" applyFill="1" applyBorder="1" applyAlignment="1" applyProtection="1">
      <alignment horizontal="center" vertical="center" wrapText="1"/>
    </xf>
    <xf numFmtId="0" fontId="4" fillId="2" borderId="0" xfId="0" applyNumberFormat="1" applyFont="1" applyFill="1" applyBorder="1" applyAlignment="1" applyProtection="1"/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NumberFormat="1" applyFont="1" applyFill="1" applyBorder="1" applyAlignment="1" applyProtection="1">
      <alignment horizontal="center" vertical="center" wrapText="1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165" fontId="6" fillId="2" borderId="0" xfId="0" applyNumberFormat="1" applyFont="1" applyFill="1" applyBorder="1" applyAlignment="1" applyProtection="1"/>
    <xf numFmtId="0" fontId="2" fillId="2" borderId="1" xfId="0" applyNumberFormat="1" applyFont="1" applyFill="1" applyBorder="1" applyAlignment="1" applyProtection="1">
      <alignment vertical="center" wrapText="1"/>
    </xf>
    <xf numFmtId="165" fontId="2" fillId="2" borderId="1" xfId="0" applyNumberFormat="1" applyFont="1" applyFill="1" applyBorder="1" applyAlignment="1" applyProtection="1">
      <alignment horizontal="center" vertical="center" wrapText="1"/>
    </xf>
    <xf numFmtId="165" fontId="2" fillId="2" borderId="1" xfId="0" applyNumberFormat="1" applyFont="1" applyFill="1" applyBorder="1" applyAlignment="1" applyProtection="1">
      <alignment horizontal="center"/>
    </xf>
    <xf numFmtId="165" fontId="2" fillId="2" borderId="1" xfId="0" applyNumberFormat="1" applyFont="1" applyFill="1" applyBorder="1" applyAlignment="1" applyProtection="1">
      <alignment horizontal="center" vertical="center"/>
    </xf>
    <xf numFmtId="165" fontId="8" fillId="2" borderId="1" xfId="0" applyNumberFormat="1" applyFont="1" applyFill="1" applyBorder="1" applyAlignment="1" applyProtection="1">
      <alignment horizontal="center" vertical="center" wrapText="1"/>
    </xf>
    <xf numFmtId="0" fontId="10" fillId="2" borderId="0" xfId="0" applyNumberFormat="1" applyFont="1" applyFill="1" applyBorder="1" applyAlignment="1" applyProtection="1">
      <alignment vertical="center" wrapText="1"/>
    </xf>
    <xf numFmtId="2" fontId="8" fillId="2" borderId="1" xfId="0" applyNumberFormat="1" applyFont="1" applyFill="1" applyBorder="1" applyAlignment="1" applyProtection="1">
      <alignment horizontal="center" vertical="center" wrapText="1"/>
    </xf>
    <xf numFmtId="2" fontId="8" fillId="2" borderId="0" xfId="0" applyNumberFormat="1" applyFont="1" applyFill="1" applyBorder="1" applyAlignment="1" applyProtection="1">
      <alignment horizontal="center" vertical="center" wrapText="1"/>
    </xf>
    <xf numFmtId="166" fontId="8" fillId="2" borderId="1" xfId="0" applyNumberFormat="1" applyFont="1" applyFill="1" applyBorder="1" applyAlignment="1" applyProtection="1">
      <alignment horizontal="center" vertical="center" wrapText="1"/>
    </xf>
    <xf numFmtId="0" fontId="8" fillId="2" borderId="1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/>
    <xf numFmtId="165" fontId="4" fillId="2" borderId="1" xfId="0" applyNumberFormat="1" applyFont="1" applyFill="1" applyBorder="1" applyAlignment="1" applyProtection="1">
      <alignment horizontal="center"/>
    </xf>
    <xf numFmtId="0" fontId="2" fillId="2" borderId="1" xfId="0" applyNumberFormat="1" applyFont="1" applyFill="1" applyBorder="1" applyAlignment="1" applyProtection="1">
      <alignment horizontal="center"/>
    </xf>
    <xf numFmtId="165" fontId="7" fillId="2" borderId="0" xfId="0" applyNumberFormat="1" applyFont="1" applyFill="1" applyBorder="1" applyAlignment="1" applyProtection="1"/>
    <xf numFmtId="165" fontId="2" fillId="3" borderId="1" xfId="0" applyNumberFormat="1" applyFont="1" applyFill="1" applyBorder="1" applyAlignment="1" applyProtection="1">
      <alignment horizontal="center"/>
    </xf>
    <xf numFmtId="165" fontId="8" fillId="3" borderId="1" xfId="0" applyNumberFormat="1" applyFont="1" applyFill="1" applyBorder="1" applyAlignment="1" applyProtection="1">
      <alignment horizontal="center" vertical="center" wrapText="1"/>
    </xf>
    <xf numFmtId="166" fontId="2" fillId="2" borderId="1" xfId="0" applyNumberFormat="1" applyFont="1" applyFill="1" applyBorder="1" applyAlignment="1" applyProtection="1">
      <alignment horizontal="center" vertical="center" wrapText="1"/>
    </xf>
    <xf numFmtId="166" fontId="2" fillId="2" borderId="1" xfId="0" applyNumberFormat="1" applyFont="1" applyFill="1" applyBorder="1" applyAlignment="1" applyProtection="1">
      <alignment horizontal="center"/>
    </xf>
    <xf numFmtId="166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/>
    <xf numFmtId="166" fontId="4" fillId="2" borderId="1" xfId="0" applyNumberFormat="1" applyFont="1" applyFill="1" applyBorder="1" applyAlignment="1" applyProtection="1">
      <alignment horizontal="center" vertical="center"/>
    </xf>
    <xf numFmtId="166" fontId="10" fillId="2" borderId="1" xfId="0" applyNumberFormat="1" applyFont="1" applyFill="1" applyBorder="1" applyAlignment="1" applyProtection="1">
      <alignment horizontal="center" vertical="center" wrapText="1"/>
    </xf>
    <xf numFmtId="0" fontId="10" fillId="2" borderId="5" xfId="0" applyNumberFormat="1" applyFont="1" applyFill="1" applyBorder="1" applyAlignment="1" applyProtection="1">
      <alignment vertical="center" wrapText="1"/>
    </xf>
    <xf numFmtId="0" fontId="10" fillId="2" borderId="6" xfId="0" applyNumberFormat="1" applyFont="1" applyFill="1" applyBorder="1" applyAlignment="1" applyProtection="1">
      <alignment vertical="center" wrapText="1"/>
    </xf>
    <xf numFmtId="49" fontId="1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 applyProtection="1">
      <alignment horizontal="center"/>
    </xf>
    <xf numFmtId="167" fontId="2" fillId="0" borderId="0" xfId="0" applyNumberFormat="1" applyFont="1" applyFill="1" applyBorder="1" applyAlignment="1" applyProtection="1">
      <alignment horizontal="center"/>
    </xf>
    <xf numFmtId="167" fontId="2" fillId="0" borderId="0" xfId="0" applyNumberFormat="1" applyFont="1" applyFill="1" applyBorder="1" applyAlignment="1" applyProtection="1">
      <alignment horizontal="center" vertical="center"/>
    </xf>
    <xf numFmtId="167" fontId="2" fillId="4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/>
    <xf numFmtId="1" fontId="2" fillId="0" borderId="0" xfId="0" applyNumberFormat="1" applyFont="1" applyFill="1" applyBorder="1" applyAlignment="1" applyProtection="1">
      <alignment horizontal="center"/>
    </xf>
    <xf numFmtId="0" fontId="2" fillId="0" borderId="1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>
      <alignment horizontal="center"/>
    </xf>
    <xf numFmtId="0" fontId="4" fillId="4" borderId="0" xfId="0" applyNumberFormat="1" applyFont="1" applyFill="1" applyBorder="1" applyAlignment="1" applyProtection="1">
      <alignment horizontal="center"/>
    </xf>
    <xf numFmtId="49" fontId="1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horizontal="center" wrapText="1"/>
    </xf>
    <xf numFmtId="167" fontId="2" fillId="0" borderId="0" xfId="0" applyNumberFormat="1" applyFont="1" applyFill="1" applyBorder="1" applyAlignment="1" applyProtection="1">
      <alignment horizontal="center" wrapText="1"/>
    </xf>
    <xf numFmtId="167" fontId="2" fillId="4" borderId="0" xfId="0" applyNumberFormat="1" applyFont="1" applyFill="1" applyBorder="1" applyAlignment="1" applyProtection="1">
      <alignment horizont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67" fontId="2" fillId="0" borderId="1" xfId="0" applyNumberFormat="1" applyFont="1" applyFill="1" applyBorder="1" applyAlignment="1" applyProtection="1">
      <alignment horizontal="center" vertical="center" wrapText="1"/>
    </xf>
    <xf numFmtId="167" fontId="2" fillId="0" borderId="7" xfId="0" applyNumberFormat="1" applyFont="1" applyFill="1" applyBorder="1" applyAlignment="1" applyProtection="1">
      <alignment vertical="center" wrapText="1"/>
    </xf>
    <xf numFmtId="167" fontId="2" fillId="0" borderId="8" xfId="0" applyNumberFormat="1" applyFont="1" applyFill="1" applyBorder="1" applyAlignment="1" applyProtection="1">
      <alignment vertical="center" wrapText="1"/>
    </xf>
    <xf numFmtId="167" fontId="2" fillId="0" borderId="9" xfId="0" applyNumberFormat="1" applyFont="1" applyFill="1" applyBorder="1" applyAlignment="1" applyProtection="1">
      <alignment vertical="center" wrapText="1"/>
    </xf>
    <xf numFmtId="167" fontId="2" fillId="4" borderId="9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Fill="1" applyBorder="1" applyAlignment="1" applyProtection="1"/>
    <xf numFmtId="0" fontId="2" fillId="0" borderId="3" xfId="0" applyNumberFormat="1" applyFont="1" applyFill="1" applyBorder="1" applyAlignment="1" applyProtection="1">
      <alignment vertical="center" wrapText="1"/>
    </xf>
    <xf numFmtId="167" fontId="2" fillId="0" borderId="10" xfId="0" applyNumberFormat="1" applyFont="1" applyFill="1" applyBorder="1" applyAlignment="1" applyProtection="1">
      <alignment vertical="center" wrapText="1"/>
    </xf>
    <xf numFmtId="167" fontId="2" fillId="0" borderId="11" xfId="0" applyNumberFormat="1" applyFont="1" applyFill="1" applyBorder="1" applyAlignment="1" applyProtection="1">
      <alignment vertical="center" wrapText="1"/>
    </xf>
    <xf numFmtId="167" fontId="2" fillId="0" borderId="12" xfId="0" applyNumberFormat="1" applyFont="1" applyFill="1" applyBorder="1" applyAlignment="1" applyProtection="1">
      <alignment vertical="center" wrapText="1"/>
    </xf>
    <xf numFmtId="167" fontId="2" fillId="4" borderId="13" xfId="0" applyNumberFormat="1" applyFont="1" applyFill="1" applyBorder="1" applyAlignment="1" applyProtection="1">
      <alignment vertical="center" wrapText="1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wrapText="1"/>
    </xf>
    <xf numFmtId="167" fontId="2" fillId="0" borderId="14" xfId="0" applyNumberFormat="1" applyFont="1" applyFill="1" applyBorder="1" applyAlignment="1" applyProtection="1">
      <alignment horizontal="center" vertical="center" wrapText="1"/>
    </xf>
    <xf numFmtId="167" fontId="2" fillId="0" borderId="6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167" fontId="2" fillId="4" borderId="4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center" wrapText="1"/>
    </xf>
    <xf numFmtId="0" fontId="4" fillId="0" borderId="1" xfId="0" applyNumberFormat="1" applyFont="1" applyFill="1" applyBorder="1" applyAlignment="1" applyProtection="1"/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67" fontId="4" fillId="0" borderId="1" xfId="0" applyNumberFormat="1" applyFont="1" applyFill="1" applyBorder="1" applyAlignment="1" applyProtection="1">
      <alignment horizontal="center" vertical="center" wrapText="1"/>
    </xf>
    <xf numFmtId="167" fontId="4" fillId="4" borderId="14" xfId="0" applyNumberFormat="1" applyFont="1" applyFill="1" applyBorder="1" applyAlignment="1" applyProtection="1">
      <alignment horizontal="center"/>
    </xf>
    <xf numFmtId="167" fontId="6" fillId="0" borderId="1" xfId="0" applyNumberFormat="1" applyFont="1" applyFill="1" applyBorder="1" applyAlignment="1" applyProtection="1"/>
    <xf numFmtId="167" fontId="4" fillId="0" borderId="14" xfId="0" applyNumberFormat="1" applyFont="1" applyFill="1" applyBorder="1" applyAlignment="1" applyProtection="1"/>
    <xf numFmtId="1" fontId="4" fillId="0" borderId="14" xfId="0" applyNumberFormat="1" applyFont="1" applyFill="1" applyBorder="1" applyAlignment="1" applyProtection="1">
      <alignment horizontal="center"/>
    </xf>
    <xf numFmtId="167" fontId="4" fillId="0" borderId="1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/>
    <xf numFmtId="0" fontId="4" fillId="0" borderId="6" xfId="0" applyNumberFormat="1" applyFont="1" applyFill="1" applyBorder="1" applyAlignment="1" applyProtection="1"/>
    <xf numFmtId="0" fontId="13" fillId="0" borderId="3" xfId="0" applyNumberFormat="1" applyFont="1" applyFill="1" applyBorder="1" applyAlignment="1" applyProtection="1">
      <alignment horizontal="center" vertical="center" wrapText="1"/>
    </xf>
    <xf numFmtId="0" fontId="13" fillId="0" borderId="3" xfId="0" applyNumberFormat="1" applyFont="1" applyFill="1" applyBorder="1" applyAlignment="1" applyProtection="1">
      <alignment vertical="center" wrapText="1"/>
    </xf>
    <xf numFmtId="0" fontId="13" fillId="0" borderId="4" xfId="0" applyNumberFormat="1" applyFont="1" applyFill="1" applyBorder="1" applyAlignment="1" applyProtection="1">
      <alignment horizontal="center" vertical="center" wrapText="1"/>
    </xf>
    <xf numFmtId="0" fontId="13" fillId="0" borderId="4" xfId="0" applyNumberFormat="1" applyFont="1" applyFill="1" applyBorder="1" applyAlignment="1" applyProtection="1">
      <alignment vertical="center" wrapText="1"/>
    </xf>
    <xf numFmtId="0" fontId="7" fillId="0" borderId="3" xfId="0" applyNumberFormat="1" applyFont="1" applyFill="1" applyBorder="1" applyAlignment="1" applyProtection="1">
      <alignment horizontal="center" vertical="center" wrapText="1"/>
    </xf>
    <xf numFmtId="0" fontId="7" fillId="0" borderId="3" xfId="0" applyNumberFormat="1" applyFont="1" applyFill="1" applyBorder="1" applyAlignment="1" applyProtection="1">
      <alignment vertical="center" wrapText="1"/>
    </xf>
    <xf numFmtId="167" fontId="4" fillId="0" borderId="14" xfId="0" applyNumberFormat="1" applyFont="1" applyFill="1" applyBorder="1" applyAlignment="1" applyProtection="1">
      <alignment horizontal="center"/>
    </xf>
    <xf numFmtId="0" fontId="13" fillId="0" borderId="1" xfId="0" applyNumberFormat="1" applyFont="1" applyFill="1" applyBorder="1" applyAlignment="1" applyProtection="1">
      <alignment vertical="center"/>
    </xf>
    <xf numFmtId="0" fontId="14" fillId="0" borderId="3" xfId="0" applyNumberFormat="1" applyFont="1" applyFill="1" applyBorder="1" applyAlignment="1" applyProtection="1">
      <alignment horizontal="center" vertical="center" wrapText="1"/>
    </xf>
    <xf numFmtId="0" fontId="14" fillId="0" borderId="3" xfId="0" applyNumberFormat="1" applyFont="1" applyFill="1" applyBorder="1" applyAlignment="1" applyProtection="1">
      <alignment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13" fillId="0" borderId="1" xfId="0" applyNumberFormat="1" applyFont="1" applyFill="1" applyBorder="1" applyAlignment="1" applyProtection="1">
      <alignment vertical="center" wrapText="1"/>
    </xf>
    <xf numFmtId="0" fontId="13" fillId="0" borderId="3" xfId="0" applyNumberFormat="1" applyFont="1" applyFill="1" applyBorder="1" applyAlignment="1" applyProtection="1">
      <alignment vertical="center"/>
    </xf>
    <xf numFmtId="0" fontId="13" fillId="0" borderId="3" xfId="0" applyNumberFormat="1" applyFont="1" applyFill="1" applyBorder="1" applyAlignment="1" applyProtection="1">
      <alignment vertical="top"/>
    </xf>
    <xf numFmtId="0" fontId="4" fillId="0" borderId="2" xfId="0" applyNumberFormat="1" applyFont="1" applyFill="1" applyBorder="1" applyAlignment="1" applyProtection="1"/>
    <xf numFmtId="167" fontId="2" fillId="0" borderId="2" xfId="0" applyNumberFormat="1" applyFont="1" applyFill="1" applyBorder="1" applyAlignment="1" applyProtection="1">
      <alignment horizontal="center" vertical="center" wrapText="1"/>
    </xf>
    <xf numFmtId="167" fontId="4" fillId="0" borderId="7" xfId="0" applyNumberFormat="1" applyFont="1" applyFill="1" applyBorder="1" applyAlignment="1" applyProtection="1">
      <alignment horizontal="center"/>
    </xf>
    <xf numFmtId="167" fontId="4" fillId="0" borderId="7" xfId="0" applyNumberFormat="1" applyFont="1" applyFill="1" applyBorder="1" applyAlignment="1" applyProtection="1"/>
    <xf numFmtId="1" fontId="4" fillId="0" borderId="7" xfId="0" applyNumberFormat="1" applyFont="1" applyFill="1" applyBorder="1" applyAlignment="1" applyProtection="1">
      <alignment horizontal="center"/>
    </xf>
    <xf numFmtId="0" fontId="13" fillId="0" borderId="4" xfId="0" applyNumberFormat="1" applyFont="1" applyFill="1" applyBorder="1" applyAlignment="1" applyProtection="1">
      <alignment vertical="top"/>
    </xf>
    <xf numFmtId="0" fontId="4" fillId="0" borderId="9" xfId="0" applyNumberFormat="1" applyFont="1" applyFill="1" applyBorder="1" applyAlignment="1" applyProtection="1"/>
    <xf numFmtId="0" fontId="4" fillId="0" borderId="2" xfId="0" applyNumberFormat="1" applyFont="1" applyFill="1" applyBorder="1" applyAlignment="1" applyProtection="1">
      <alignment horizontal="center" vertical="center" wrapText="1"/>
    </xf>
    <xf numFmtId="167" fontId="4" fillId="0" borderId="2" xfId="0" applyNumberFormat="1" applyFont="1" applyFill="1" applyBorder="1" applyAlignment="1" applyProtection="1">
      <alignment horizontal="center" vertical="center" wrapText="1"/>
    </xf>
    <xf numFmtId="0" fontId="4" fillId="5" borderId="2" xfId="0" applyNumberFormat="1" applyFont="1" applyFill="1" applyBorder="1" applyAlignment="1" applyProtection="1"/>
    <xf numFmtId="0" fontId="2" fillId="5" borderId="2" xfId="0" applyNumberFormat="1" applyFont="1" applyFill="1" applyBorder="1" applyAlignment="1" applyProtection="1">
      <alignment vertical="center" wrapText="1"/>
    </xf>
    <xf numFmtId="0" fontId="2" fillId="5" borderId="2" xfId="0" applyNumberFormat="1" applyFont="1" applyFill="1" applyBorder="1" applyAlignment="1" applyProtection="1">
      <alignment horizontal="center" vertical="center" wrapText="1"/>
    </xf>
    <xf numFmtId="167" fontId="2" fillId="5" borderId="2" xfId="0" applyNumberFormat="1" applyFont="1" applyFill="1" applyBorder="1" applyAlignment="1" applyProtection="1">
      <alignment horizontal="center" vertical="center" wrapText="1"/>
    </xf>
    <xf numFmtId="167" fontId="4" fillId="5" borderId="14" xfId="0" applyNumberFormat="1" applyFont="1" applyFill="1" applyBorder="1" applyAlignment="1" applyProtection="1">
      <alignment horizontal="center"/>
    </xf>
    <xf numFmtId="167" fontId="4" fillId="5" borderId="7" xfId="0" applyNumberFormat="1" applyFont="1" applyFill="1" applyBorder="1" applyAlignment="1" applyProtection="1">
      <alignment horizontal="center"/>
    </xf>
    <xf numFmtId="167" fontId="4" fillId="5" borderId="7" xfId="0" applyNumberFormat="1" applyFont="1" applyFill="1" applyBorder="1" applyAlignment="1" applyProtection="1"/>
    <xf numFmtId="1" fontId="4" fillId="5" borderId="7" xfId="0" applyNumberFormat="1" applyFont="1" applyFill="1" applyBorder="1" applyAlignment="1" applyProtection="1">
      <alignment horizontal="center"/>
    </xf>
    <xf numFmtId="0" fontId="4" fillId="5" borderId="0" xfId="0" applyNumberFormat="1" applyFont="1" applyFill="1" applyBorder="1" applyAlignment="1" applyProtection="1"/>
    <xf numFmtId="0" fontId="4" fillId="5" borderId="9" xfId="0" applyNumberFormat="1" applyFont="1" applyFill="1" applyBorder="1" applyAlignment="1" applyProtection="1"/>
    <xf numFmtId="0" fontId="4" fillId="6" borderId="2" xfId="0" applyNumberFormat="1" applyFont="1" applyFill="1" applyBorder="1" applyAlignment="1" applyProtection="1"/>
    <xf numFmtId="0" fontId="2" fillId="6" borderId="2" xfId="0" applyNumberFormat="1" applyFont="1" applyFill="1" applyBorder="1" applyAlignment="1" applyProtection="1">
      <alignment horizontal="center" vertical="center" wrapText="1"/>
    </xf>
    <xf numFmtId="167" fontId="2" fillId="6" borderId="2" xfId="0" applyNumberFormat="1" applyFont="1" applyFill="1" applyBorder="1" applyAlignment="1" applyProtection="1">
      <alignment horizontal="center" vertical="center" wrapText="1"/>
    </xf>
    <xf numFmtId="167" fontId="4" fillId="6" borderId="14" xfId="0" applyNumberFormat="1" applyFont="1" applyFill="1" applyBorder="1" applyAlignment="1" applyProtection="1">
      <alignment horizontal="center"/>
    </xf>
    <xf numFmtId="167" fontId="4" fillId="6" borderId="7" xfId="0" applyNumberFormat="1" applyFont="1" applyFill="1" applyBorder="1" applyAlignment="1" applyProtection="1">
      <alignment horizontal="center"/>
    </xf>
    <xf numFmtId="167" fontId="4" fillId="6" borderId="7" xfId="0" applyNumberFormat="1" applyFont="1" applyFill="1" applyBorder="1" applyAlignment="1" applyProtection="1"/>
    <xf numFmtId="1" fontId="4" fillId="6" borderId="7" xfId="0" applyNumberFormat="1" applyFont="1" applyFill="1" applyBorder="1" applyAlignment="1" applyProtection="1">
      <alignment horizontal="center"/>
    </xf>
    <xf numFmtId="0" fontId="4" fillId="6" borderId="0" xfId="0" applyNumberFormat="1" applyFont="1" applyFill="1" applyBorder="1" applyAlignment="1" applyProtection="1"/>
    <xf numFmtId="0" fontId="4" fillId="6" borderId="9" xfId="0" applyNumberFormat="1" applyFont="1" applyFill="1" applyBorder="1" applyAlignment="1" applyProtection="1"/>
    <xf numFmtId="0" fontId="2" fillId="6" borderId="4" xfId="0" applyNumberFormat="1" applyFont="1" applyFill="1" applyBorder="1" applyAlignment="1" applyProtection="1">
      <alignment horizontal="left" vertical="center" wrapText="1"/>
    </xf>
    <xf numFmtId="167" fontId="4" fillId="0" borderId="1" xfId="0" applyNumberFormat="1" applyFont="1" applyFill="1" applyBorder="1" applyAlignment="1" applyProtection="1">
      <alignment horizontal="center"/>
    </xf>
    <xf numFmtId="1" fontId="4" fillId="0" borderId="1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/>
    <xf numFmtId="0" fontId="7" fillId="0" borderId="2" xfId="0" applyNumberFormat="1" applyFont="1" applyFill="1" applyBorder="1" applyAlignment="1" applyProtection="1">
      <alignment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167" fontId="4" fillId="0" borderId="4" xfId="0" applyNumberFormat="1" applyFont="1" applyFill="1" applyBorder="1" applyAlignment="1" applyProtection="1">
      <alignment horizontal="center" vertical="center" wrapText="1"/>
    </xf>
    <xf numFmtId="167" fontId="4" fillId="0" borderId="10" xfId="0" applyNumberFormat="1" applyFont="1" applyFill="1" applyBorder="1" applyAlignment="1" applyProtection="1">
      <alignment horizontal="center"/>
    </xf>
    <xf numFmtId="167" fontId="4" fillId="0" borderId="10" xfId="0" applyNumberFormat="1" applyFont="1" applyFill="1" applyBorder="1" applyAlignment="1" applyProtection="1"/>
    <xf numFmtId="1" fontId="4" fillId="0" borderId="10" xfId="0" applyNumberFormat="1" applyFont="1" applyFill="1" applyBorder="1" applyAlignment="1" applyProtection="1">
      <alignment horizontal="center"/>
    </xf>
    <xf numFmtId="167" fontId="4" fillId="0" borderId="4" xfId="0" applyNumberFormat="1" applyFont="1" applyFill="1" applyBorder="1" applyAlignment="1" applyProtection="1"/>
    <xf numFmtId="0" fontId="4" fillId="0" borderId="12" xfId="0" applyNumberFormat="1" applyFont="1" applyFill="1" applyBorder="1" applyAlignment="1" applyProtection="1"/>
    <xf numFmtId="0" fontId="15" fillId="0" borderId="3" xfId="0" applyNumberFormat="1" applyFont="1" applyFill="1" applyBorder="1" applyAlignment="1" applyProtection="1">
      <alignment horizontal="center" vertical="center" wrapText="1"/>
    </xf>
    <xf numFmtId="167" fontId="4" fillId="0" borderId="14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top" wrapText="1"/>
    </xf>
    <xf numFmtId="9" fontId="4" fillId="0" borderId="14" xfId="0" applyNumberFormat="1" applyFont="1" applyFill="1" applyBorder="1" applyAlignment="1" applyProtection="1">
      <alignment horizontal="center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0" fontId="13" fillId="0" borderId="3" xfId="0" applyNumberFormat="1" applyFont="1" applyFill="1" applyBorder="1" applyAlignment="1" applyProtection="1">
      <alignment vertical="top" wrapText="1"/>
    </xf>
    <xf numFmtId="9" fontId="2" fillId="0" borderId="14" xfId="0" applyNumberFormat="1" applyFont="1" applyFill="1" applyBorder="1" applyAlignment="1" applyProtection="1">
      <alignment horizontal="center"/>
    </xf>
    <xf numFmtId="167" fontId="2" fillId="0" borderId="3" xfId="0" applyNumberFormat="1" applyFont="1" applyFill="1" applyBorder="1" applyAlignment="1" applyProtection="1">
      <alignment wrapText="1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0" fontId="13" fillId="0" borderId="4" xfId="0" applyNumberFormat="1" applyFont="1" applyFill="1" applyBorder="1" applyAlignment="1" applyProtection="1">
      <alignment vertical="top" wrapText="1"/>
    </xf>
    <xf numFmtId="167" fontId="2" fillId="0" borderId="4" xfId="0" applyNumberFormat="1" applyFont="1" applyFill="1" applyBorder="1" applyAlignment="1" applyProtection="1">
      <alignment wrapText="1"/>
    </xf>
    <xf numFmtId="0" fontId="2" fillId="7" borderId="1" xfId="0" applyNumberFormat="1" applyFont="1" applyFill="1" applyBorder="1" applyAlignment="1" applyProtection="1"/>
    <xf numFmtId="0" fontId="4" fillId="7" borderId="1" xfId="0" applyNumberFormat="1" applyFont="1" applyFill="1" applyBorder="1" applyAlignment="1" applyProtection="1">
      <alignment horizontal="center" vertical="center" wrapText="1"/>
    </xf>
    <xf numFmtId="167" fontId="4" fillId="7" borderId="1" xfId="0" applyNumberFormat="1" applyFont="1" applyFill="1" applyBorder="1" applyAlignment="1" applyProtection="1">
      <alignment horizontal="center" vertical="center" wrapText="1"/>
    </xf>
    <xf numFmtId="167" fontId="4" fillId="7" borderId="14" xfId="0" applyNumberFormat="1" applyFont="1" applyFill="1" applyBorder="1" applyAlignment="1" applyProtection="1">
      <alignment horizontal="center"/>
    </xf>
    <xf numFmtId="9" fontId="4" fillId="7" borderId="14" xfId="0" applyNumberFormat="1" applyFont="1" applyFill="1" applyBorder="1" applyAlignment="1" applyProtection="1">
      <alignment horizontal="center"/>
    </xf>
    <xf numFmtId="167" fontId="4" fillId="7" borderId="14" xfId="0" applyNumberFormat="1" applyFont="1" applyFill="1" applyBorder="1" applyAlignment="1" applyProtection="1"/>
    <xf numFmtId="1" fontId="4" fillId="7" borderId="14" xfId="0" applyNumberFormat="1" applyFont="1" applyFill="1" applyBorder="1" applyAlignment="1" applyProtection="1">
      <alignment horizontal="center"/>
    </xf>
    <xf numFmtId="167" fontId="2" fillId="0" borderId="2" xfId="0" applyNumberFormat="1" applyFont="1" applyFill="1" applyBorder="1" applyAlignment="1" applyProtection="1">
      <alignment vertical="center" wrapText="1"/>
    </xf>
    <xf numFmtId="0" fontId="2" fillId="7" borderId="0" xfId="0" applyNumberFormat="1" applyFont="1" applyFill="1" applyBorder="1" applyAlignment="1" applyProtection="1"/>
    <xf numFmtId="0" fontId="2" fillId="7" borderId="6" xfId="0" applyNumberFormat="1" applyFont="1" applyFill="1" applyBorder="1" applyAlignment="1" applyProtection="1"/>
    <xf numFmtId="0" fontId="2" fillId="0" borderId="3" xfId="0" applyNumberFormat="1" applyFont="1" applyFill="1" applyBorder="1" applyAlignment="1" applyProtection="1">
      <alignment vertical="top" wrapText="1"/>
    </xf>
    <xf numFmtId="0" fontId="2" fillId="7" borderId="2" xfId="0" applyNumberFormat="1" applyFont="1" applyFill="1" applyBorder="1" applyAlignment="1" applyProtection="1"/>
    <xf numFmtId="0" fontId="2" fillId="7" borderId="1" xfId="0" applyNumberFormat="1" applyFont="1" applyFill="1" applyBorder="1" applyAlignment="1" applyProtection="1">
      <alignment horizontal="center" vertical="center" wrapText="1"/>
    </xf>
    <xf numFmtId="167" fontId="2" fillId="7" borderId="1" xfId="0" applyNumberFormat="1" applyFont="1" applyFill="1" applyBorder="1" applyAlignment="1" applyProtection="1">
      <alignment horizontal="center" vertical="center" wrapText="1"/>
    </xf>
    <xf numFmtId="167" fontId="2" fillId="0" borderId="3" xfId="0" applyNumberFormat="1" applyFont="1" applyFill="1" applyBorder="1" applyAlignment="1" applyProtection="1">
      <alignment vertical="center" wrapText="1"/>
    </xf>
    <xf numFmtId="9" fontId="2" fillId="7" borderId="14" xfId="0" applyNumberFormat="1" applyFont="1" applyFill="1" applyBorder="1" applyAlignment="1" applyProtection="1">
      <alignment horizontal="center"/>
    </xf>
    <xf numFmtId="167" fontId="2" fillId="2" borderId="1" xfId="0" applyNumberFormat="1" applyFont="1" applyFill="1" applyBorder="1" applyAlignment="1" applyProtection="1">
      <alignment horizontal="center" vertical="center" wrapText="1"/>
    </xf>
    <xf numFmtId="167" fontId="4" fillId="2" borderId="14" xfId="0" applyNumberFormat="1" applyFont="1" applyFill="1" applyBorder="1" applyAlignment="1" applyProtection="1">
      <alignment horizontal="center"/>
    </xf>
    <xf numFmtId="9" fontId="2" fillId="2" borderId="14" xfId="0" applyNumberFormat="1" applyFont="1" applyFill="1" applyBorder="1" applyAlignment="1" applyProtection="1">
      <alignment horizontal="center"/>
    </xf>
    <xf numFmtId="167" fontId="4" fillId="2" borderId="14" xfId="0" applyNumberFormat="1" applyFont="1" applyFill="1" applyBorder="1" applyAlignment="1" applyProtection="1"/>
    <xf numFmtId="1" fontId="4" fillId="2" borderId="14" xfId="0" applyNumberFormat="1" applyFont="1" applyFill="1" applyBorder="1" applyAlignment="1" applyProtection="1">
      <alignment horizontal="center"/>
    </xf>
    <xf numFmtId="0" fontId="2" fillId="2" borderId="6" xfId="0" applyNumberFormat="1" applyFont="1" applyFill="1" applyBorder="1" applyAlignment="1" applyProtection="1"/>
    <xf numFmtId="0" fontId="2" fillId="0" borderId="4" xfId="0" applyNumberFormat="1" applyFont="1" applyFill="1" applyBorder="1" applyAlignment="1" applyProtection="1">
      <alignment vertical="top" wrapText="1"/>
    </xf>
    <xf numFmtId="49" fontId="2" fillId="0" borderId="4" xfId="0" applyNumberFormat="1" applyFont="1" applyFill="1" applyBorder="1" applyAlignment="1" applyProtection="1">
      <alignment vertical="top" wrapText="1"/>
    </xf>
    <xf numFmtId="0" fontId="2" fillId="0" borderId="1" xfId="0" applyNumberFormat="1" applyFont="1" applyFill="1" applyBorder="1" applyAlignment="1" applyProtection="1">
      <alignment vertical="top" wrapText="1"/>
    </xf>
    <xf numFmtId="0" fontId="2" fillId="0" borderId="2" xfId="0" applyNumberFormat="1" applyFont="1" applyFill="1" applyBorder="1" applyAlignment="1" applyProtection="1">
      <alignment horizontal="left" vertical="top" wrapText="1"/>
    </xf>
    <xf numFmtId="0" fontId="2" fillId="0" borderId="3" xfId="0" applyNumberFormat="1" applyFont="1" applyFill="1" applyBorder="1" applyAlignment="1" applyProtection="1">
      <alignment horizontal="left" vertical="top" wrapText="1"/>
    </xf>
    <xf numFmtId="167" fontId="2" fillId="0" borderId="14" xfId="0" applyNumberFormat="1" applyFont="1" applyFill="1" applyBorder="1" applyAlignment="1" applyProtection="1">
      <alignment horizontal="center"/>
    </xf>
    <xf numFmtId="49" fontId="2" fillId="0" borderId="1" xfId="0" applyNumberFormat="1" applyFont="1" applyFill="1" applyBorder="1" applyAlignment="1" applyProtection="1">
      <alignment vertical="top" wrapText="1"/>
    </xf>
    <xf numFmtId="0" fontId="2" fillId="0" borderId="2" xfId="0" applyNumberFormat="1" applyFont="1" applyFill="1" applyBorder="1" applyAlignment="1" applyProtection="1"/>
    <xf numFmtId="0" fontId="2" fillId="0" borderId="2" xfId="0" applyNumberFormat="1" applyFont="1" applyFill="1" applyBorder="1" applyAlignment="1" applyProtection="1">
      <alignment horizontal="left" vertical="center" wrapText="1"/>
    </xf>
    <xf numFmtId="49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left" vertical="center" wrapText="1"/>
    </xf>
    <xf numFmtId="167" fontId="2" fillId="0" borderId="7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4" fillId="6" borderId="1" xfId="0" applyNumberFormat="1" applyFont="1" applyFill="1" applyBorder="1" applyAlignment="1" applyProtection="1">
      <alignment horizontal="center" vertical="center" wrapText="1"/>
    </xf>
    <xf numFmtId="167" fontId="4" fillId="6" borderId="1" xfId="0" applyNumberFormat="1" applyFont="1" applyFill="1" applyBorder="1" applyAlignment="1" applyProtection="1">
      <alignment horizontal="center" vertical="center" wrapText="1"/>
    </xf>
    <xf numFmtId="167" fontId="4" fillId="0" borderId="1" xfId="0" applyNumberFormat="1" applyFont="1" applyFill="1" applyBorder="1" applyAlignment="1" applyProtection="1">
      <alignment vertical="center" wrapText="1"/>
    </xf>
    <xf numFmtId="1" fontId="4" fillId="0" borderId="2" xfId="0" applyNumberFormat="1" applyFont="1" applyFill="1" applyBorder="1" applyAlignment="1" applyProtection="1">
      <alignment horizontal="center"/>
    </xf>
    <xf numFmtId="0" fontId="2" fillId="6" borderId="1" xfId="0" applyNumberFormat="1" applyFont="1" applyFill="1" applyBorder="1" applyAlignment="1" applyProtection="1">
      <alignment horizontal="center" vertical="center" wrapText="1"/>
    </xf>
    <xf numFmtId="167" fontId="2" fillId="6" borderId="1" xfId="0" applyNumberFormat="1" applyFont="1" applyFill="1" applyBorder="1" applyAlignment="1" applyProtection="1">
      <alignment horizontal="center" vertical="center" wrapText="1"/>
    </xf>
    <xf numFmtId="0" fontId="13" fillId="0" borderId="3" xfId="0" applyNumberFormat="1" applyFont="1" applyFill="1" applyBorder="1" applyAlignment="1" applyProtection="1">
      <alignment horizontal="center"/>
    </xf>
    <xf numFmtId="1" fontId="4" fillId="0" borderId="3" xfId="0" applyNumberFormat="1" applyFont="1" applyFill="1" applyBorder="1" applyAlignment="1" applyProtection="1">
      <alignment horizontal="center"/>
    </xf>
    <xf numFmtId="0" fontId="2" fillId="6" borderId="3" xfId="0" applyNumberFormat="1" applyFont="1" applyFill="1" applyBorder="1" applyAlignment="1" applyProtection="1">
      <alignment vertical="top" wrapText="1"/>
    </xf>
    <xf numFmtId="0" fontId="2" fillId="5" borderId="1" xfId="0" applyNumberFormat="1" applyFont="1" applyFill="1" applyBorder="1" applyAlignment="1" applyProtection="1"/>
    <xf numFmtId="0" fontId="13" fillId="5" borderId="3" xfId="0" applyNumberFormat="1" applyFont="1" applyFill="1" applyBorder="1" applyAlignment="1" applyProtection="1">
      <alignment vertical="center" wrapText="1"/>
    </xf>
    <xf numFmtId="0" fontId="4" fillId="5" borderId="1" xfId="0" applyNumberFormat="1" applyFont="1" applyFill="1" applyBorder="1" applyAlignment="1" applyProtection="1">
      <alignment horizontal="center" vertical="center" wrapText="1"/>
    </xf>
    <xf numFmtId="167" fontId="4" fillId="5" borderId="1" xfId="0" applyNumberFormat="1" applyFont="1" applyFill="1" applyBorder="1" applyAlignment="1" applyProtection="1">
      <alignment horizontal="center" vertical="center" wrapText="1"/>
    </xf>
    <xf numFmtId="167" fontId="4" fillId="5" borderId="14" xfId="0" applyNumberFormat="1" applyFont="1" applyFill="1" applyBorder="1" applyAlignment="1" applyProtection="1"/>
    <xf numFmtId="0" fontId="2" fillId="5" borderId="0" xfId="0" applyNumberFormat="1" applyFont="1" applyFill="1" applyBorder="1" applyAlignment="1" applyProtection="1"/>
    <xf numFmtId="0" fontId="2" fillId="5" borderId="6" xfId="0" applyNumberFormat="1" applyFont="1" applyFill="1" applyBorder="1" applyAlignment="1" applyProtection="1"/>
    <xf numFmtId="49" fontId="1" fillId="5" borderId="3" xfId="0" applyNumberFormat="1" applyFont="1" applyFill="1" applyBorder="1" applyAlignment="1" applyProtection="1">
      <alignment horizontal="center" vertical="center" wrapText="1"/>
    </xf>
    <xf numFmtId="0" fontId="2" fillId="5" borderId="3" xfId="0" applyNumberFormat="1" applyFont="1" applyFill="1" applyBorder="1" applyAlignment="1" applyProtection="1">
      <alignment vertical="top" wrapText="1"/>
    </xf>
    <xf numFmtId="0" fontId="2" fillId="5" borderId="1" xfId="0" applyNumberFormat="1" applyFont="1" applyFill="1" applyBorder="1" applyAlignment="1" applyProtection="1">
      <alignment horizontal="center" vertical="center" wrapText="1"/>
    </xf>
    <xf numFmtId="167" fontId="2" fillId="5" borderId="1" xfId="0" applyNumberFormat="1" applyFont="1" applyFill="1" applyBorder="1" applyAlignment="1" applyProtection="1">
      <alignment horizontal="center" vertical="center" wrapText="1"/>
    </xf>
    <xf numFmtId="167" fontId="4" fillId="5" borderId="3" xfId="0" applyNumberFormat="1" applyFont="1" applyFill="1" applyBorder="1" applyAlignment="1" applyProtection="1">
      <alignment horizontal="center" vertical="center"/>
    </xf>
    <xf numFmtId="0" fontId="8" fillId="5" borderId="1" xfId="0" applyNumberFormat="1" applyFont="1" applyFill="1" applyBorder="1" applyAlignment="1" applyProtection="1">
      <alignment horizontal="center" vertical="center" wrapText="1"/>
    </xf>
    <xf numFmtId="167" fontId="8" fillId="5" borderId="1" xfId="0" applyNumberFormat="1" applyFont="1" applyFill="1" applyBorder="1" applyAlignment="1" applyProtection="1">
      <alignment horizontal="center" vertical="center" wrapText="1"/>
    </xf>
    <xf numFmtId="167" fontId="4" fillId="0" borderId="2" xfId="0" applyNumberFormat="1" applyFont="1" applyFill="1" applyBorder="1" applyAlignment="1" applyProtection="1">
      <alignment horizontal="center"/>
    </xf>
    <xf numFmtId="167" fontId="4" fillId="0" borderId="3" xfId="0" applyNumberFormat="1" applyFont="1" applyFill="1" applyBorder="1" applyAlignment="1" applyProtection="1">
      <alignment horizontal="center"/>
    </xf>
    <xf numFmtId="0" fontId="2" fillId="5" borderId="3" xfId="0" applyNumberFormat="1" applyFont="1" applyFill="1" applyBorder="1" applyAlignment="1" applyProtection="1">
      <alignment vertical="center" wrapText="1"/>
    </xf>
    <xf numFmtId="0" fontId="2" fillId="6" borderId="1" xfId="0" applyNumberFormat="1" applyFont="1" applyFill="1" applyBorder="1" applyAlignment="1" applyProtection="1"/>
    <xf numFmtId="167" fontId="4" fillId="6" borderId="14" xfId="0" applyNumberFormat="1" applyFont="1" applyFill="1" applyBorder="1" applyAlignment="1" applyProtection="1"/>
    <xf numFmtId="0" fontId="2" fillId="6" borderId="0" xfId="0" applyNumberFormat="1" applyFont="1" applyFill="1" applyBorder="1" applyAlignment="1" applyProtection="1"/>
    <xf numFmtId="0" fontId="2" fillId="6" borderId="6" xfId="0" applyNumberFormat="1" applyFont="1" applyFill="1" applyBorder="1" applyAlignment="1" applyProtection="1"/>
    <xf numFmtId="167" fontId="4" fillId="0" borderId="4" xfId="0" applyNumberFormat="1" applyFont="1" applyFill="1" applyBorder="1" applyAlignment="1" applyProtection="1">
      <alignment horizontal="center"/>
    </xf>
    <xf numFmtId="0" fontId="16" fillId="0" borderId="3" xfId="0" applyNumberFormat="1" applyFont="1" applyFill="1" applyBorder="1" applyAlignment="1" applyProtection="1">
      <alignment horizontal="center" vertical="center" wrapText="1"/>
    </xf>
    <xf numFmtId="1" fontId="4" fillId="6" borderId="14" xfId="0" applyNumberFormat="1" applyFont="1" applyFill="1" applyBorder="1" applyAlignment="1" applyProtection="1">
      <alignment horizontal="center"/>
    </xf>
    <xf numFmtId="167" fontId="2" fillId="5" borderId="4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167" fontId="2" fillId="2" borderId="2" xfId="0" applyNumberFormat="1" applyFont="1" applyFill="1" applyBorder="1" applyAlignment="1" applyProtection="1">
      <alignment horizontal="center" vertical="center" wrapText="1"/>
    </xf>
    <xf numFmtId="167" fontId="2" fillId="2" borderId="3" xfId="0" applyNumberFormat="1" applyFont="1" applyFill="1" applyBorder="1" applyAlignment="1" applyProtection="1">
      <alignment horizontal="center" vertical="center" wrapText="1"/>
    </xf>
    <xf numFmtId="0" fontId="8" fillId="2" borderId="2" xfId="0" applyNumberFormat="1" applyFont="1" applyFill="1" applyBorder="1" applyAlignment="1" applyProtection="1">
      <alignment vertical="top" wrapText="1"/>
    </xf>
    <xf numFmtId="0" fontId="8" fillId="2" borderId="3" xfId="0" applyNumberFormat="1" applyFont="1" applyFill="1" applyBorder="1" applyAlignment="1" applyProtection="1">
      <alignment vertical="top" wrapText="1"/>
    </xf>
    <xf numFmtId="0" fontId="8" fillId="2" borderId="4" xfId="0" applyNumberFormat="1" applyFont="1" applyFill="1" applyBorder="1" applyAlignment="1" applyProtection="1">
      <alignment vertical="top" wrapText="1"/>
    </xf>
    <xf numFmtId="1" fontId="4" fillId="6" borderId="1" xfId="0" applyNumberFormat="1" applyFont="1" applyFill="1" applyBorder="1" applyAlignment="1" applyProtection="1">
      <alignment horizontal="center" vertical="center"/>
    </xf>
    <xf numFmtId="0" fontId="13" fillId="0" borderId="3" xfId="0" applyNumberFormat="1" applyFont="1" applyFill="1" applyBorder="1" applyAlignment="1" applyProtection="1"/>
    <xf numFmtId="167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0" fontId="13" fillId="0" borderId="3" xfId="0" applyNumberFormat="1" applyFont="1" applyFill="1" applyBorder="1" applyAlignment="1" applyProtection="1">
      <alignment horizontal="center" vertical="center"/>
    </xf>
    <xf numFmtId="0" fontId="16" fillId="0" borderId="3" xfId="0" applyNumberFormat="1" applyFont="1" applyFill="1" applyBorder="1" applyAlignment="1" applyProtection="1">
      <alignment horizontal="center" vertical="center"/>
    </xf>
    <xf numFmtId="0" fontId="13" fillId="0" borderId="4" xfId="0" applyNumberFormat="1" applyFont="1" applyFill="1" applyBorder="1" applyAlignment="1" applyProtection="1">
      <alignment horizontal="center" vertical="center"/>
    </xf>
    <xf numFmtId="0" fontId="16" fillId="0" borderId="4" xfId="0" applyNumberFormat="1" applyFont="1" applyFill="1" applyBorder="1" applyAlignment="1" applyProtection="1">
      <alignment horizontal="center" vertical="center"/>
    </xf>
    <xf numFmtId="167" fontId="4" fillId="6" borderId="2" xfId="0" applyNumberFormat="1" applyFont="1" applyFill="1" applyBorder="1" applyAlignment="1" applyProtection="1">
      <alignment horizontal="center"/>
    </xf>
    <xf numFmtId="49" fontId="1" fillId="6" borderId="3" xfId="0" applyNumberFormat="1" applyFont="1" applyFill="1" applyBorder="1" applyAlignment="1" applyProtection="1">
      <alignment horizontal="center" vertical="center" wrapText="1"/>
    </xf>
    <xf numFmtId="167" fontId="4" fillId="6" borderId="3" xfId="0" applyNumberFormat="1" applyFont="1" applyFill="1" applyBorder="1" applyAlignment="1" applyProtection="1">
      <alignment horizontal="center"/>
    </xf>
    <xf numFmtId="1" fontId="4" fillId="6" borderId="2" xfId="0" applyNumberFormat="1" applyFont="1" applyFill="1" applyBorder="1" applyAlignment="1" applyProtection="1">
      <alignment horizontal="center" vertical="center"/>
    </xf>
    <xf numFmtId="0" fontId="2" fillId="5" borderId="3" xfId="0" applyNumberFormat="1" applyFont="1" applyFill="1" applyBorder="1" applyAlignment="1" applyProtection="1">
      <alignment horizontal="left" vertical="top" wrapText="1"/>
    </xf>
    <xf numFmtId="0" fontId="13" fillId="5" borderId="3" xfId="0" applyNumberFormat="1" applyFont="1" applyFill="1" applyBorder="1" applyAlignment="1" applyProtection="1"/>
    <xf numFmtId="1" fontId="4" fillId="5" borderId="15" xfId="0" applyNumberFormat="1" applyFont="1" applyFill="1" applyBorder="1" applyAlignment="1" applyProtection="1">
      <alignment horizontal="center" vertical="center"/>
    </xf>
    <xf numFmtId="0" fontId="2" fillId="9" borderId="1" xfId="0" applyNumberFormat="1" applyFont="1" applyFill="1" applyBorder="1" applyAlignment="1" applyProtection="1"/>
    <xf numFmtId="0" fontId="13" fillId="9" borderId="3" xfId="0" applyNumberFormat="1" applyFont="1" applyFill="1" applyBorder="1" applyAlignment="1" applyProtection="1"/>
    <xf numFmtId="0" fontId="4" fillId="9" borderId="1" xfId="0" applyNumberFormat="1" applyFont="1" applyFill="1" applyBorder="1" applyAlignment="1" applyProtection="1">
      <alignment horizontal="center" vertical="center" wrapText="1"/>
    </xf>
    <xf numFmtId="167" fontId="4" fillId="9" borderId="1" xfId="0" applyNumberFormat="1" applyFont="1" applyFill="1" applyBorder="1" applyAlignment="1" applyProtection="1">
      <alignment horizontal="center" vertical="center" wrapText="1"/>
    </xf>
    <xf numFmtId="167" fontId="4" fillId="9" borderId="14" xfId="0" applyNumberFormat="1" applyFont="1" applyFill="1" applyBorder="1" applyAlignment="1" applyProtection="1">
      <alignment horizontal="center"/>
    </xf>
    <xf numFmtId="167" fontId="4" fillId="9" borderId="14" xfId="0" applyNumberFormat="1" applyFont="1" applyFill="1" applyBorder="1" applyAlignment="1" applyProtection="1"/>
    <xf numFmtId="1" fontId="4" fillId="9" borderId="14" xfId="0" applyNumberFormat="1" applyFont="1" applyFill="1" applyBorder="1" applyAlignment="1" applyProtection="1">
      <alignment horizontal="center"/>
    </xf>
    <xf numFmtId="0" fontId="2" fillId="9" borderId="0" xfId="0" applyNumberFormat="1" applyFont="1" applyFill="1" applyBorder="1" applyAlignment="1" applyProtection="1"/>
    <xf numFmtId="0" fontId="2" fillId="9" borderId="6" xfId="0" applyNumberFormat="1" applyFont="1" applyFill="1" applyBorder="1" applyAlignment="1" applyProtection="1"/>
    <xf numFmtId="49" fontId="1" fillId="9" borderId="3" xfId="0" applyNumberFormat="1" applyFont="1" applyFill="1" applyBorder="1" applyAlignment="1" applyProtection="1">
      <alignment horizontal="center" vertical="center" wrapText="1"/>
    </xf>
    <xf numFmtId="0" fontId="2" fillId="9" borderId="3" xfId="0" applyNumberFormat="1" applyFont="1" applyFill="1" applyBorder="1" applyAlignment="1" applyProtection="1">
      <alignment vertical="top" wrapText="1"/>
    </xf>
    <xf numFmtId="0" fontId="2" fillId="9" borderId="1" xfId="0" applyNumberFormat="1" applyFont="1" applyFill="1" applyBorder="1" applyAlignment="1" applyProtection="1">
      <alignment vertical="top" wrapText="1"/>
    </xf>
    <xf numFmtId="0" fontId="2" fillId="9" borderId="1" xfId="0" applyNumberFormat="1" applyFont="1" applyFill="1" applyBorder="1" applyAlignment="1" applyProtection="1">
      <alignment horizontal="center" vertical="center" wrapText="1"/>
    </xf>
    <xf numFmtId="167" fontId="2" fillId="9" borderId="1" xfId="0" applyNumberFormat="1" applyFont="1" applyFill="1" applyBorder="1" applyAlignment="1" applyProtection="1">
      <alignment horizontal="center" vertical="center" wrapText="1"/>
    </xf>
    <xf numFmtId="167" fontId="4" fillId="5" borderId="10" xfId="0" applyNumberFormat="1" applyFont="1" applyFill="1" applyBorder="1" applyAlignment="1" applyProtection="1">
      <alignment horizontal="center"/>
    </xf>
    <xf numFmtId="1" fontId="4" fillId="5" borderId="14" xfId="0" applyNumberFormat="1" applyFont="1" applyFill="1" applyBorder="1" applyAlignment="1" applyProtection="1">
      <alignment horizontal="center"/>
    </xf>
    <xf numFmtId="167" fontId="4" fillId="6" borderId="10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6" borderId="3" xfId="0" applyNumberFormat="1" applyFont="1" applyFill="1" applyBorder="1" applyAlignment="1" applyProtection="1">
      <alignment vertical="center" wrapText="1"/>
    </xf>
    <xf numFmtId="167" fontId="4" fillId="9" borderId="10" xfId="0" applyNumberFormat="1" applyFont="1" applyFill="1" applyBorder="1" applyAlignment="1" applyProtection="1">
      <alignment horizontal="center"/>
    </xf>
    <xf numFmtId="0" fontId="2" fillId="9" borderId="3" xfId="0" applyNumberFormat="1" applyFont="1" applyFill="1" applyBorder="1" applyAlignment="1" applyProtection="1">
      <alignment vertical="center" wrapText="1"/>
    </xf>
    <xf numFmtId="0" fontId="2" fillId="9" borderId="2" xfId="0" applyNumberFormat="1" applyFont="1" applyFill="1" applyBorder="1" applyAlignment="1" applyProtection="1">
      <alignment vertical="center" wrapText="1"/>
    </xf>
    <xf numFmtId="0" fontId="2" fillId="6" borderId="2" xfId="0" applyNumberFormat="1" applyFont="1" applyFill="1" applyBorder="1" applyAlignment="1" applyProtection="1">
      <alignment vertical="center" wrapText="1"/>
    </xf>
    <xf numFmtId="0" fontId="2" fillId="6" borderId="4" xfId="0" applyNumberFormat="1" applyFont="1" applyFill="1" applyBorder="1" applyAlignment="1" applyProtection="1">
      <alignment vertical="center" wrapText="1"/>
    </xf>
    <xf numFmtId="0" fontId="13" fillId="5" borderId="3" xfId="0" applyNumberFormat="1" applyFont="1" applyFill="1" applyBorder="1" applyAlignment="1" applyProtection="1">
      <alignment vertical="top" wrapText="1"/>
    </xf>
    <xf numFmtId="0" fontId="2" fillId="5" borderId="4" xfId="0" applyNumberFormat="1" applyFont="1" applyFill="1" applyBorder="1" applyAlignment="1" applyProtection="1">
      <alignment horizontal="left" vertical="center" wrapText="1"/>
    </xf>
    <xf numFmtId="167" fontId="4" fillId="5" borderId="4" xfId="0" applyNumberFormat="1" applyFont="1" applyFill="1" applyBorder="1" applyAlignment="1" applyProtection="1"/>
    <xf numFmtId="1" fontId="2" fillId="5" borderId="4" xfId="0" applyNumberFormat="1" applyFont="1" applyFill="1" applyBorder="1" applyAlignment="1" applyProtection="1">
      <alignment horizontal="center" wrapText="1"/>
    </xf>
    <xf numFmtId="0" fontId="13" fillId="5" borderId="10" xfId="0" applyNumberFormat="1" applyFont="1" applyFill="1" applyBorder="1" applyAlignment="1" applyProtection="1">
      <alignment horizontal="center" vertical="center"/>
    </xf>
    <xf numFmtId="0" fontId="13" fillId="6" borderId="10" xfId="0" applyNumberFormat="1" applyFont="1" applyFill="1" applyBorder="1" applyAlignment="1" applyProtection="1">
      <alignment horizontal="center" vertical="center"/>
    </xf>
    <xf numFmtId="0" fontId="13" fillId="6" borderId="3" xfId="0" applyNumberFormat="1" applyFont="1" applyFill="1" applyBorder="1" applyAlignment="1" applyProtection="1"/>
    <xf numFmtId="0" fontId="7" fillId="0" borderId="2" xfId="0" applyNumberFormat="1" applyFont="1" applyFill="1" applyBorder="1" applyAlignment="1" applyProtection="1">
      <alignment horizontal="center" vertical="center" wrapText="1"/>
    </xf>
    <xf numFmtId="0" fontId="13" fillId="0" borderId="4" xfId="0" applyNumberFormat="1" applyFont="1" applyFill="1" applyBorder="1" applyAlignment="1" applyProtection="1"/>
    <xf numFmtId="0" fontId="7" fillId="0" borderId="4" xfId="0" applyNumberFormat="1" applyFont="1" applyFill="1" applyBorder="1" applyAlignment="1" applyProtection="1">
      <alignment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16" fillId="0" borderId="3" xfId="0" applyNumberFormat="1" applyFont="1" applyFill="1" applyBorder="1" applyAlignment="1" applyProtection="1">
      <alignment vertical="center" wrapText="1"/>
    </xf>
    <xf numFmtId="0" fontId="16" fillId="0" borderId="4" xfId="0" applyNumberFormat="1" applyFont="1" applyFill="1" applyBorder="1" applyAlignment="1" applyProtection="1">
      <alignment vertical="center" wrapText="1"/>
    </xf>
    <xf numFmtId="167" fontId="4" fillId="0" borderId="14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13" fillId="0" borderId="3" xfId="0" applyNumberFormat="1" applyFont="1" applyFill="1" applyBorder="1" applyAlignment="1" applyProtection="1">
      <alignment wrapText="1"/>
    </xf>
    <xf numFmtId="1" fontId="2" fillId="0" borderId="2" xfId="0" applyNumberFormat="1" applyFont="1" applyFill="1" applyBorder="1" applyAlignment="1" applyProtection="1">
      <alignment horizontal="center"/>
    </xf>
    <xf numFmtId="1" fontId="2" fillId="0" borderId="3" xfId="0" applyNumberFormat="1" applyFont="1" applyFill="1" applyBorder="1" applyAlignment="1" applyProtection="1">
      <alignment horizontal="center"/>
    </xf>
    <xf numFmtId="167" fontId="2" fillId="0" borderId="2" xfId="0" applyNumberFormat="1" applyFont="1" applyFill="1" applyBorder="1" applyAlignment="1" applyProtection="1">
      <alignment horizontal="center"/>
    </xf>
    <xf numFmtId="167" fontId="2" fillId="0" borderId="4" xfId="0" applyNumberFormat="1" applyFont="1" applyFill="1" applyBorder="1" applyAlignment="1" applyProtection="1">
      <alignment horizontal="center"/>
    </xf>
    <xf numFmtId="167" fontId="4" fillId="0" borderId="3" xfId="0" applyNumberFormat="1" applyFont="1" applyFill="1" applyBorder="1" applyAlignment="1" applyProtection="1">
      <alignment horizontal="center" vertical="center"/>
    </xf>
    <xf numFmtId="167" fontId="4" fillId="0" borderId="15" xfId="0" applyNumberFormat="1" applyFont="1" applyFill="1" applyBorder="1" applyAlignment="1" applyProtection="1">
      <alignment horizontal="center" vertical="center"/>
    </xf>
    <xf numFmtId="1" fontId="2" fillId="0" borderId="15" xfId="0" applyNumberFormat="1" applyFont="1" applyFill="1" applyBorder="1" applyAlignment="1" applyProtection="1">
      <alignment horizontal="center"/>
    </xf>
    <xf numFmtId="167" fontId="4" fillId="5" borderId="15" xfId="0" applyNumberFormat="1" applyFont="1" applyFill="1" applyBorder="1" applyAlignment="1" applyProtection="1">
      <alignment horizontal="center" vertical="center"/>
    </xf>
    <xf numFmtId="1" fontId="2" fillId="5" borderId="15" xfId="0" applyNumberFormat="1" applyFont="1" applyFill="1" applyBorder="1" applyAlignment="1" applyProtection="1">
      <alignment horizontal="center"/>
    </xf>
    <xf numFmtId="0" fontId="13" fillId="5" borderId="3" xfId="0" applyNumberFormat="1" applyFont="1" applyFill="1" applyBorder="1" applyAlignment="1" applyProtection="1">
      <alignment wrapText="1"/>
    </xf>
    <xf numFmtId="0" fontId="2" fillId="5" borderId="3" xfId="0" applyNumberFormat="1" applyFont="1" applyFill="1" applyBorder="1" applyAlignment="1" applyProtection="1">
      <alignment horizontal="center" vertical="center" wrapText="1"/>
    </xf>
    <xf numFmtId="1" fontId="2" fillId="0" borderId="14" xfId="0" applyNumberFormat="1" applyFont="1" applyFill="1" applyBorder="1" applyAlignment="1" applyProtection="1">
      <alignment horizontal="center"/>
    </xf>
    <xf numFmtId="49" fontId="1" fillId="0" borderId="3" xfId="0" applyNumberFormat="1" applyFont="1" applyFill="1" applyBorder="1" applyAlignment="1" applyProtection="1">
      <alignment horizontal="center" vertical="top" wrapText="1"/>
    </xf>
    <xf numFmtId="1" fontId="2" fillId="6" borderId="14" xfId="0" applyNumberFormat="1" applyFont="1" applyFill="1" applyBorder="1" applyAlignment="1" applyProtection="1">
      <alignment horizontal="center"/>
    </xf>
    <xf numFmtId="9" fontId="2" fillId="0" borderId="7" xfId="0" applyNumberFormat="1" applyFont="1" applyFill="1" applyBorder="1" applyAlignment="1" applyProtection="1">
      <alignment horizontal="center"/>
    </xf>
    <xf numFmtId="1" fontId="2" fillId="0" borderId="7" xfId="0" applyNumberFormat="1" applyFont="1" applyFill="1" applyBorder="1" applyAlignment="1" applyProtection="1">
      <alignment horizontal="center"/>
    </xf>
    <xf numFmtId="49" fontId="1" fillId="5" borderId="3" xfId="0" applyNumberFormat="1" applyFont="1" applyFill="1" applyBorder="1" applyAlignment="1" applyProtection="1">
      <alignment horizontal="center" vertical="top" wrapText="1"/>
    </xf>
    <xf numFmtId="9" fontId="2" fillId="5" borderId="7" xfId="0" applyNumberFormat="1" applyFont="1" applyFill="1" applyBorder="1" applyAlignment="1" applyProtection="1">
      <alignment horizontal="center"/>
    </xf>
    <xf numFmtId="1" fontId="2" fillId="5" borderId="7" xfId="0" applyNumberFormat="1" applyFont="1" applyFill="1" applyBorder="1" applyAlignment="1" applyProtection="1">
      <alignment horizontal="center"/>
    </xf>
    <xf numFmtId="1" fontId="2" fillId="0" borderId="14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vertical="center"/>
    </xf>
    <xf numFmtId="0" fontId="2" fillId="5" borderId="3" xfId="0" applyNumberFormat="1" applyFont="1" applyFill="1" applyBorder="1" applyAlignment="1" applyProtection="1">
      <alignment vertical="center"/>
    </xf>
    <xf numFmtId="0" fontId="4" fillId="5" borderId="1" xfId="0" applyNumberFormat="1" applyFont="1" applyFill="1" applyBorder="1" applyAlignment="1" applyProtection="1">
      <alignment horizontal="center"/>
    </xf>
    <xf numFmtId="167" fontId="4" fillId="0" borderId="1" xfId="0" applyNumberFormat="1" applyFont="1" applyFill="1" applyBorder="1" applyAlignment="1" applyProtection="1">
      <alignment horizontal="center" vertical="center"/>
    </xf>
    <xf numFmtId="167" fontId="2" fillId="0" borderId="4" xfId="0" applyNumberFormat="1" applyFont="1" applyFill="1" applyBorder="1" applyAlignment="1" applyProtection="1">
      <alignment horizontal="center" vertical="center" wrapText="1"/>
    </xf>
    <xf numFmtId="167" fontId="2" fillId="0" borderId="1" xfId="0" applyNumberFormat="1" applyFont="1" applyFill="1" applyBorder="1" applyAlignment="1" applyProtection="1">
      <alignment vertical="center" wrapText="1"/>
    </xf>
    <xf numFmtId="167" fontId="2" fillId="0" borderId="4" xfId="0" applyNumberFormat="1" applyFont="1" applyFill="1" applyBorder="1" applyAlignment="1" applyProtection="1">
      <alignment horizontal="center" vertical="center"/>
    </xf>
    <xf numFmtId="0" fontId="13" fillId="0" borderId="2" xfId="0" applyNumberFormat="1" applyFont="1" applyFill="1" applyBorder="1" applyAlignment="1" applyProtection="1">
      <alignment vertical="center" wrapText="1"/>
    </xf>
    <xf numFmtId="0" fontId="13" fillId="0" borderId="1" xfId="0" applyNumberFormat="1" applyFont="1" applyFill="1" applyBorder="1" applyAlignment="1" applyProtection="1">
      <alignment wrapText="1"/>
    </xf>
    <xf numFmtId="167" fontId="2" fillId="0" borderId="4" xfId="0" applyNumberFormat="1" applyFont="1" applyFill="1" applyBorder="1" applyAlignment="1" applyProtection="1">
      <alignment vertical="center" wrapText="1"/>
    </xf>
    <xf numFmtId="0" fontId="2" fillId="0" borderId="1" xfId="0" applyNumberFormat="1" applyFont="1" applyFill="1" applyBorder="1" applyAlignment="1" applyProtection="1">
      <alignment horizont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67" fontId="4" fillId="0" borderId="4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 applyProtection="1">
      <alignment horizontal="center" vertical="center"/>
    </xf>
    <xf numFmtId="0" fontId="13" fillId="0" borderId="2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left" wrapText="1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168" fontId="2" fillId="0" borderId="1" xfId="0" applyNumberFormat="1" applyFont="1" applyFill="1" applyBorder="1" applyAlignment="1" applyProtection="1">
      <alignment vertical="center"/>
    </xf>
    <xf numFmtId="0" fontId="2" fillId="0" borderId="4" xfId="0" applyNumberFormat="1" applyFont="1" applyFill="1" applyBorder="1" applyAlignment="1" applyProtection="1">
      <alignment horizontal="left" wrapText="1"/>
    </xf>
    <xf numFmtId="0" fontId="13" fillId="0" borderId="10" xfId="0" applyNumberFormat="1" applyFont="1" applyFill="1" applyBorder="1" applyAlignment="1" applyProtection="1">
      <alignment horizontal="center" vertical="center"/>
    </xf>
    <xf numFmtId="167" fontId="2" fillId="0" borderId="2" xfId="0" applyNumberFormat="1" applyFont="1" applyFill="1" applyBorder="1" applyAlignment="1" applyProtection="1">
      <alignment horizontal="left" vertical="center" wrapText="1"/>
    </xf>
    <xf numFmtId="167" fontId="2" fillId="0" borderId="4" xfId="0" applyNumberFormat="1" applyFont="1" applyFill="1" applyBorder="1" applyAlignment="1" applyProtection="1">
      <alignment horizontal="left" vertical="center" wrapText="1"/>
    </xf>
    <xf numFmtId="0" fontId="2" fillId="0" borderId="11" xfId="0" applyNumberFormat="1" applyFont="1" applyFill="1" applyBorder="1" applyAlignment="1" applyProtection="1"/>
    <xf numFmtId="0" fontId="2" fillId="0" borderId="4" xfId="0" applyNumberFormat="1" applyFont="1" applyFill="1" applyBorder="1" applyAlignment="1" applyProtection="1"/>
    <xf numFmtId="1" fontId="2" fillId="0" borderId="10" xfId="0" applyNumberFormat="1" applyFont="1" applyFill="1" applyBorder="1" applyAlignment="1" applyProtection="1">
      <alignment horizontal="center"/>
    </xf>
    <xf numFmtId="0" fontId="2" fillId="0" borderId="12" xfId="0" applyNumberFormat="1" applyFont="1" applyFill="1" applyBorder="1" applyAlignment="1" applyProtection="1"/>
    <xf numFmtId="0" fontId="4" fillId="0" borderId="10" xfId="0" applyNumberFormat="1" applyFont="1" applyFill="1" applyBorder="1" applyAlignment="1" applyProtection="1">
      <alignment horizontal="center" vertical="center"/>
    </xf>
    <xf numFmtId="167" fontId="4" fillId="0" borderId="3" xfId="0" applyNumberFormat="1" applyFont="1" applyFill="1" applyBorder="1" applyAlignment="1" applyProtection="1">
      <alignment wrapText="1"/>
    </xf>
    <xf numFmtId="167" fontId="2" fillId="5" borderId="1" xfId="0" applyNumberFormat="1" applyFont="1" applyFill="1" applyBorder="1" applyAlignment="1" applyProtection="1">
      <alignment horizontal="center" vertical="center"/>
    </xf>
    <xf numFmtId="167" fontId="2" fillId="5" borderId="14" xfId="0" applyNumberFormat="1" applyFont="1" applyFill="1" applyBorder="1" applyAlignment="1" applyProtection="1">
      <alignment horizontal="center"/>
    </xf>
    <xf numFmtId="167" fontId="2" fillId="0" borderId="1" xfId="0" applyNumberFormat="1" applyFont="1" applyFill="1" applyBorder="1" applyAlignment="1" applyProtection="1">
      <alignment horizontal="center" vertical="center"/>
    </xf>
    <xf numFmtId="49" fontId="13" fillId="5" borderId="3" xfId="0" applyNumberFormat="1" applyFont="1" applyFill="1" applyBorder="1" applyAlignment="1" applyProtection="1">
      <alignment horizontal="center" vertical="center" wrapText="1"/>
    </xf>
    <xf numFmtId="0" fontId="2" fillId="5" borderId="1" xfId="0" applyNumberFormat="1" applyFont="1" applyFill="1" applyBorder="1" applyAlignment="1" applyProtection="1">
      <alignment vertical="center" wrapText="1"/>
    </xf>
    <xf numFmtId="167" fontId="2" fillId="5" borderId="1" xfId="0" applyNumberFormat="1" applyFont="1" applyFill="1" applyBorder="1" applyAlignment="1" applyProtection="1">
      <alignment horizontal="center"/>
    </xf>
    <xf numFmtId="167" fontId="2" fillId="5" borderId="4" xfId="0" applyNumberFormat="1" applyFont="1" applyFill="1" applyBorder="1" applyAlignment="1" applyProtection="1">
      <alignment wrapText="1"/>
    </xf>
    <xf numFmtId="49" fontId="13" fillId="0" borderId="3" xfId="0" applyNumberFormat="1" applyFont="1" applyFill="1" applyBorder="1" applyAlignment="1" applyProtection="1">
      <alignment horizontal="center" vertical="center" wrapText="1"/>
    </xf>
    <xf numFmtId="167" fontId="2" fillId="0" borderId="1" xfId="0" applyNumberFormat="1" applyFont="1" applyFill="1" applyBorder="1" applyAlignment="1" applyProtection="1">
      <alignment horizontal="center"/>
    </xf>
    <xf numFmtId="0" fontId="7" fillId="0" borderId="2" xfId="0" applyNumberFormat="1" applyFont="1" applyFill="1" applyBorder="1" applyAlignment="1" applyProtection="1">
      <alignment horizontal="left" vertical="center" wrapText="1"/>
    </xf>
    <xf numFmtId="167" fontId="4" fillId="0" borderId="2" xfId="0" applyNumberFormat="1" applyFont="1" applyFill="1" applyBorder="1" applyAlignment="1" applyProtection="1"/>
    <xf numFmtId="0" fontId="7" fillId="0" borderId="4" xfId="0" applyNumberFormat="1" applyFont="1" applyFill="1" applyBorder="1" applyAlignment="1" applyProtection="1">
      <alignment horizontal="center" vertical="center" wrapText="1"/>
    </xf>
    <xf numFmtId="167" fontId="2" fillId="0" borderId="2" xfId="0" applyNumberFormat="1" applyFont="1" applyFill="1" applyBorder="1" applyAlignment="1" applyProtection="1">
      <alignment horizontal="center" wrapText="1"/>
    </xf>
    <xf numFmtId="1" fontId="4" fillId="0" borderId="4" xfId="0" applyNumberFormat="1" applyFont="1" applyFill="1" applyBorder="1" applyAlignment="1" applyProtection="1">
      <alignment horizontal="center" wrapText="1"/>
    </xf>
    <xf numFmtId="167" fontId="2" fillId="0" borderId="3" xfId="0" applyNumberFormat="1" applyFont="1" applyFill="1" applyBorder="1" applyAlignment="1" applyProtection="1">
      <alignment horizontal="center" wrapText="1"/>
    </xf>
    <xf numFmtId="167" fontId="4" fillId="0" borderId="10" xfId="0" applyNumberFormat="1" applyFont="1" applyFill="1" applyBorder="1" applyAlignment="1" applyProtection="1">
      <alignment vertical="center" wrapText="1"/>
    </xf>
    <xf numFmtId="1" fontId="4" fillId="0" borderId="10" xfId="0" applyNumberFormat="1" applyFont="1" applyFill="1" applyBorder="1" applyAlignment="1" applyProtection="1">
      <alignment horizontal="center" wrapText="1"/>
    </xf>
    <xf numFmtId="167" fontId="4" fillId="0" borderId="2" xfId="0" applyNumberFormat="1" applyFont="1" applyFill="1" applyBorder="1" applyAlignment="1" applyProtection="1">
      <alignment horizontal="center" wrapText="1"/>
    </xf>
    <xf numFmtId="0" fontId="4" fillId="0" borderId="3" xfId="0" applyNumberFormat="1" applyFont="1" applyFill="1" applyBorder="1" applyAlignment="1" applyProtection="1">
      <alignment horizontal="center" wrapText="1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center" wrapText="1"/>
    </xf>
    <xf numFmtId="167" fontId="2" fillId="0" borderId="3" xfId="0" applyNumberFormat="1" applyFont="1" applyFill="1" applyBorder="1" applyAlignment="1" applyProtection="1">
      <alignment horizontal="left" vertical="center" wrapText="1"/>
    </xf>
    <xf numFmtId="0" fontId="2" fillId="6" borderId="10" xfId="0" applyNumberFormat="1" applyFont="1" applyFill="1" applyBorder="1" applyAlignment="1" applyProtection="1">
      <alignment horizontal="center" wrapText="1"/>
    </xf>
    <xf numFmtId="167" fontId="2" fillId="6" borderId="10" xfId="0" applyNumberFormat="1" applyFont="1" applyFill="1" applyBorder="1" applyAlignment="1" applyProtection="1">
      <alignment vertical="center" wrapText="1"/>
    </xf>
    <xf numFmtId="1" fontId="4" fillId="6" borderId="10" xfId="0" applyNumberFormat="1" applyFont="1" applyFill="1" applyBorder="1" applyAlignment="1" applyProtection="1">
      <alignment horizontal="center" wrapText="1"/>
    </xf>
    <xf numFmtId="49" fontId="2" fillId="6" borderId="3" xfId="0" applyNumberFormat="1" applyFont="1" applyFill="1" applyBorder="1" applyAlignment="1" applyProtection="1">
      <alignment horizontal="center" vertical="top" wrapText="1"/>
    </xf>
    <xf numFmtId="167" fontId="2" fillId="6" borderId="3" xfId="0" applyNumberFormat="1" applyFont="1" applyFill="1" applyBorder="1" applyAlignment="1" applyProtection="1">
      <alignment vertical="center" wrapText="1"/>
    </xf>
    <xf numFmtId="167" fontId="2" fillId="0" borderId="10" xfId="0" applyNumberFormat="1" applyFont="1" applyFill="1" applyBorder="1" applyAlignment="1" applyProtection="1">
      <alignment horizontal="center" wrapText="1"/>
    </xf>
    <xf numFmtId="0" fontId="7" fillId="0" borderId="1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/>
    <xf numFmtId="0" fontId="7" fillId="0" borderId="6" xfId="0" applyNumberFormat="1" applyFont="1" applyFill="1" applyBorder="1" applyAlignment="1" applyProtection="1"/>
    <xf numFmtId="167" fontId="2" fillId="0" borderId="3" xfId="0" applyNumberFormat="1" applyFont="1" applyFill="1" applyBorder="1" applyAlignment="1" applyProtection="1">
      <alignment horizontal="center" vertical="top" wrapText="1"/>
    </xf>
    <xf numFmtId="167" fontId="2" fillId="6" borderId="14" xfId="0" applyNumberFormat="1" applyFont="1" applyFill="1" applyBorder="1" applyAlignment="1" applyProtection="1">
      <alignment horizontal="center"/>
    </xf>
    <xf numFmtId="0" fontId="13" fillId="6" borderId="3" xfId="0" applyNumberFormat="1" applyFont="1" applyFill="1" applyBorder="1" applyAlignment="1" applyProtection="1">
      <alignment vertical="center" wrapText="1"/>
    </xf>
    <xf numFmtId="0" fontId="4" fillId="0" borderId="1" xfId="0" applyNumberFormat="1" applyFont="1" applyFill="1" applyBorder="1" applyAlignment="1" applyProtection="1">
      <alignment horizontal="center" vertical="center"/>
    </xf>
    <xf numFmtId="169" fontId="4" fillId="0" borderId="4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169" fontId="13" fillId="0" borderId="1" xfId="0" applyNumberFormat="1" applyFont="1" applyFill="1" applyBorder="1" applyAlignment="1" applyProtection="1">
      <alignment horizontal="center" vertical="center"/>
    </xf>
    <xf numFmtId="167" fontId="2" fillId="6" borderId="10" xfId="0" applyNumberFormat="1" applyFont="1" applyFill="1" applyBorder="1" applyAlignment="1" applyProtection="1">
      <alignment horizontal="center" vertical="center"/>
    </xf>
    <xf numFmtId="169" fontId="13" fillId="6" borderId="15" xfId="0" applyNumberFormat="1" applyFont="1" applyFill="1" applyBorder="1" applyAlignment="1" applyProtection="1">
      <alignment horizontal="center" vertical="center"/>
    </xf>
    <xf numFmtId="0" fontId="2" fillId="5" borderId="10" xfId="0" applyNumberFormat="1" applyFont="1" applyFill="1" applyBorder="1" applyAlignment="1" applyProtection="1">
      <alignment horizontal="center" vertical="center"/>
    </xf>
    <xf numFmtId="169" fontId="13" fillId="5" borderId="1" xfId="0" applyNumberFormat="1" applyFont="1" applyFill="1" applyBorder="1" applyAlignment="1" applyProtection="1">
      <alignment horizontal="center" vertical="center"/>
    </xf>
    <xf numFmtId="2" fontId="2" fillId="0" borderId="7" xfId="0" applyNumberFormat="1" applyFont="1" applyFill="1" applyBorder="1" applyAlignment="1" applyProtection="1">
      <alignment horizontal="center" vertical="center"/>
    </xf>
    <xf numFmtId="167" fontId="2" fillId="0" borderId="2" xfId="0" applyNumberFormat="1" applyFont="1" applyFill="1" applyBorder="1" applyAlignment="1" applyProtection="1">
      <alignment horizontal="center" vertical="center"/>
    </xf>
    <xf numFmtId="1" fontId="2" fillId="0" borderId="2" xfId="0" applyNumberFormat="1" applyFont="1" applyFill="1" applyBorder="1" applyAlignment="1" applyProtection="1">
      <alignment horizontal="center" vertical="center"/>
    </xf>
    <xf numFmtId="167" fontId="2" fillId="0" borderId="3" xfId="0" applyNumberFormat="1" applyFont="1" applyFill="1" applyBorder="1" applyAlignment="1" applyProtection="1">
      <alignment horizontal="center" vertical="center"/>
    </xf>
    <xf numFmtId="167" fontId="2" fillId="0" borderId="3" xfId="0" applyNumberFormat="1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0" fontId="16" fillId="6" borderId="3" xfId="0" applyNumberFormat="1" applyFont="1" applyFill="1" applyBorder="1" applyAlignment="1" applyProtection="1">
      <alignment vertical="center" wrapText="1"/>
    </xf>
    <xf numFmtId="167" fontId="2" fillId="6" borderId="4" xfId="0" applyNumberFormat="1" applyFont="1" applyFill="1" applyBorder="1" applyAlignment="1" applyProtection="1">
      <alignment vertical="center" wrapText="1"/>
    </xf>
    <xf numFmtId="167" fontId="2" fillId="0" borderId="3" xfId="0" applyNumberFormat="1" applyFont="1" applyFill="1" applyBorder="1" applyAlignment="1" applyProtection="1">
      <alignment vertical="top" wrapText="1"/>
    </xf>
    <xf numFmtId="0" fontId="4" fillId="0" borderId="1" xfId="0" applyNumberFormat="1" applyFont="1" applyFill="1" applyBorder="1" applyAlignment="1" applyProtection="1">
      <alignment vertical="center" wrapText="1"/>
    </xf>
    <xf numFmtId="49" fontId="1" fillId="0" borderId="2" xfId="0" applyNumberFormat="1" applyFont="1" applyFill="1" applyBorder="1" applyAlignment="1" applyProtection="1">
      <alignment horizontal="center" vertical="center"/>
    </xf>
    <xf numFmtId="167" fontId="4" fillId="0" borderId="3" xfId="0" applyNumberFormat="1" applyFont="1" applyFill="1" applyBorder="1" applyAlignment="1" applyProtection="1">
      <alignment horizontal="center" vertical="top" wrapText="1"/>
    </xf>
    <xf numFmtId="1" fontId="4" fillId="0" borderId="3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/>
    </xf>
    <xf numFmtId="1" fontId="4" fillId="0" borderId="4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/>
    <xf numFmtId="49" fontId="1" fillId="0" borderId="4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/>
    </xf>
    <xf numFmtId="1" fontId="4" fillId="0" borderId="1" xfId="0" applyNumberFormat="1" applyFont="1" applyFill="1" applyBorder="1" applyAlignment="1" applyProtection="1">
      <alignment horizontal="center" vertical="center" wrapText="1"/>
    </xf>
    <xf numFmtId="167" fontId="2" fillId="0" borderId="14" xfId="0" applyNumberFormat="1" applyFont="1" applyFill="1" applyBorder="1" applyAlignment="1" applyProtection="1">
      <alignment horizontal="center" vertical="center"/>
    </xf>
    <xf numFmtId="167" fontId="2" fillId="0" borderId="10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2" fillId="0" borderId="10" xfId="0" applyNumberFormat="1" applyFont="1" applyFill="1" applyBorder="1" applyAlignment="1" applyProtection="1">
      <alignment horizontal="center" vertical="center"/>
    </xf>
    <xf numFmtId="0" fontId="13" fillId="0" borderId="4" xfId="0" applyNumberFormat="1" applyFont="1" applyFill="1" applyBorder="1" applyAlignment="1" applyProtection="1">
      <alignment vertical="center"/>
    </xf>
    <xf numFmtId="49" fontId="18" fillId="0" borderId="3" xfId="0" applyNumberFormat="1" applyFont="1" applyFill="1" applyBorder="1" applyAlignment="1" applyProtection="1">
      <alignment horizontal="center" vertical="center" wrapText="1"/>
    </xf>
    <xf numFmtId="167" fontId="4" fillId="0" borderId="10" xfId="0" applyNumberFormat="1" applyFont="1" applyFill="1" applyBorder="1" applyAlignment="1" applyProtection="1">
      <alignment horizontal="center" wrapText="1"/>
    </xf>
    <xf numFmtId="1" fontId="4" fillId="0" borderId="10" xfId="0" applyNumberFormat="1" applyFont="1" applyFill="1" applyBorder="1" applyAlignment="1" applyProtection="1">
      <alignment horizontal="center" vertical="center" wrapText="1"/>
    </xf>
    <xf numFmtId="167" fontId="4" fillId="5" borderId="10" xfId="0" applyNumberFormat="1" applyFont="1" applyFill="1" applyBorder="1" applyAlignment="1" applyProtection="1">
      <alignment horizontal="center" wrapText="1"/>
    </xf>
    <xf numFmtId="1" fontId="4" fillId="5" borderId="10" xfId="0" applyNumberFormat="1" applyFont="1" applyFill="1" applyBorder="1" applyAlignment="1" applyProtection="1">
      <alignment horizontal="center" vertical="center" wrapText="1"/>
    </xf>
    <xf numFmtId="0" fontId="19" fillId="0" borderId="1" xfId="0" applyNumberFormat="1" applyFont="1" applyFill="1" applyBorder="1" applyAlignment="1" applyProtection="1"/>
    <xf numFmtId="167" fontId="4" fillId="0" borderId="1" xfId="0" applyNumberFormat="1" applyFont="1" applyFill="1" applyBorder="1" applyAlignment="1" applyProtection="1">
      <alignment horizontal="center" wrapText="1"/>
    </xf>
    <xf numFmtId="167" fontId="4" fillId="6" borderId="10" xfId="0" applyNumberFormat="1" applyFont="1" applyFill="1" applyBorder="1" applyAlignment="1" applyProtection="1">
      <alignment horizontal="center" wrapText="1"/>
    </xf>
    <xf numFmtId="1" fontId="4" fillId="6" borderId="10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 wrapText="1"/>
    </xf>
    <xf numFmtId="0" fontId="2" fillId="8" borderId="1" xfId="0" applyNumberFormat="1" applyFont="1" applyFill="1" applyBorder="1" applyAlignment="1" applyProtection="1"/>
    <xf numFmtId="0" fontId="2" fillId="8" borderId="1" xfId="0" applyNumberFormat="1" applyFont="1" applyFill="1" applyBorder="1" applyAlignment="1" applyProtection="1">
      <alignment horizontal="center" vertical="center" wrapText="1"/>
    </xf>
    <xf numFmtId="167" fontId="2" fillId="8" borderId="1" xfId="0" applyNumberFormat="1" applyFont="1" applyFill="1" applyBorder="1" applyAlignment="1" applyProtection="1">
      <alignment horizontal="center" vertical="center" wrapText="1"/>
    </xf>
    <xf numFmtId="167" fontId="4" fillId="8" borderId="14" xfId="0" applyNumberFormat="1" applyFont="1" applyFill="1" applyBorder="1" applyAlignment="1" applyProtection="1">
      <alignment horizontal="center"/>
    </xf>
    <xf numFmtId="167" fontId="4" fillId="8" borderId="10" xfId="0" applyNumberFormat="1" applyFont="1" applyFill="1" applyBorder="1" applyAlignment="1" applyProtection="1">
      <alignment horizontal="center" wrapText="1"/>
    </xf>
    <xf numFmtId="167" fontId="4" fillId="8" borderId="14" xfId="0" applyNumberFormat="1" applyFont="1" applyFill="1" applyBorder="1" applyAlignment="1" applyProtection="1"/>
    <xf numFmtId="1" fontId="4" fillId="8" borderId="10" xfId="0" applyNumberFormat="1" applyFont="1" applyFill="1" applyBorder="1" applyAlignment="1" applyProtection="1">
      <alignment horizontal="center" vertical="center" wrapText="1"/>
    </xf>
    <xf numFmtId="0" fontId="2" fillId="8" borderId="0" xfId="0" applyNumberFormat="1" applyFont="1" applyFill="1" applyBorder="1" applyAlignment="1" applyProtection="1"/>
    <xf numFmtId="0" fontId="2" fillId="8" borderId="6" xfId="0" applyNumberFormat="1" applyFont="1" applyFill="1" applyBorder="1" applyAlignment="1" applyProtection="1"/>
    <xf numFmtId="0" fontId="4" fillId="0" borderId="2" xfId="0" applyNumberFormat="1" applyFont="1" applyFill="1" applyBorder="1" applyAlignment="1" applyProtection="1">
      <alignment vertical="center" wrapText="1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5" borderId="1" xfId="0" applyNumberFormat="1" applyFont="1" applyFill="1" applyBorder="1" applyAlignment="1" applyProtection="1">
      <alignment horizontal="center"/>
    </xf>
    <xf numFmtId="0" fontId="2" fillId="5" borderId="3" xfId="0" applyNumberFormat="1" applyFont="1" applyFill="1" applyBorder="1" applyAlignment="1" applyProtection="1">
      <alignment horizontal="center" vertical="top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left" vertical="top" wrapText="1"/>
    </xf>
    <xf numFmtId="167" fontId="4" fillId="5" borderId="1" xfId="0" applyNumberFormat="1" applyFont="1" applyFill="1" applyBorder="1" applyAlignment="1" applyProtection="1">
      <alignment horizontal="center"/>
    </xf>
    <xf numFmtId="0" fontId="13" fillId="5" borderId="3" xfId="0" applyNumberFormat="1" applyFont="1" applyFill="1" applyBorder="1" applyAlignment="1" applyProtection="1">
      <alignment vertical="top"/>
    </xf>
    <xf numFmtId="167" fontId="4" fillId="5" borderId="2" xfId="0" applyNumberFormat="1" applyFont="1" applyFill="1" applyBorder="1" applyAlignment="1" applyProtection="1">
      <alignment horizontal="center"/>
    </xf>
    <xf numFmtId="0" fontId="13" fillId="6" borderId="3" xfId="0" applyNumberFormat="1" applyFont="1" applyFill="1" applyBorder="1" applyAlignment="1" applyProtection="1">
      <alignment vertical="top"/>
    </xf>
    <xf numFmtId="0" fontId="18" fillId="0" borderId="3" xfId="0" applyNumberFormat="1" applyFont="1" applyFill="1" applyBorder="1" applyAlignment="1" applyProtection="1">
      <alignment horizontal="center" vertical="center"/>
    </xf>
    <xf numFmtId="0" fontId="2" fillId="10" borderId="1" xfId="0" applyNumberFormat="1" applyFont="1" applyFill="1" applyBorder="1" applyAlignment="1" applyProtection="1"/>
    <xf numFmtId="0" fontId="13" fillId="10" borderId="3" xfId="0" applyNumberFormat="1" applyFont="1" applyFill="1" applyBorder="1" applyAlignment="1" applyProtection="1">
      <alignment vertical="top"/>
    </xf>
    <xf numFmtId="0" fontId="2" fillId="10" borderId="1" xfId="0" applyNumberFormat="1" applyFont="1" applyFill="1" applyBorder="1" applyAlignment="1" applyProtection="1">
      <alignment horizontal="center" vertical="center" wrapText="1"/>
    </xf>
    <xf numFmtId="167" fontId="2" fillId="10" borderId="1" xfId="0" applyNumberFormat="1" applyFont="1" applyFill="1" applyBorder="1" applyAlignment="1" applyProtection="1">
      <alignment horizontal="center" vertical="center" wrapText="1"/>
    </xf>
    <xf numFmtId="167" fontId="4" fillId="10" borderId="14" xfId="0" applyNumberFormat="1" applyFont="1" applyFill="1" applyBorder="1" applyAlignment="1" applyProtection="1">
      <alignment horizontal="center"/>
    </xf>
    <xf numFmtId="167" fontId="4" fillId="10" borderId="14" xfId="0" applyNumberFormat="1" applyFont="1" applyFill="1" applyBorder="1" applyAlignment="1" applyProtection="1"/>
    <xf numFmtId="1" fontId="4" fillId="10" borderId="14" xfId="0" applyNumberFormat="1" applyFont="1" applyFill="1" applyBorder="1" applyAlignment="1" applyProtection="1">
      <alignment horizontal="center"/>
    </xf>
    <xf numFmtId="0" fontId="2" fillId="10" borderId="0" xfId="0" applyNumberFormat="1" applyFont="1" applyFill="1" applyBorder="1" applyAlignment="1" applyProtection="1"/>
    <xf numFmtId="0" fontId="2" fillId="10" borderId="6" xfId="0" applyNumberFormat="1" applyFont="1" applyFill="1" applyBorder="1" applyAlignment="1" applyProtection="1"/>
    <xf numFmtId="0" fontId="13" fillId="0" borderId="2" xfId="0" applyNumberFormat="1" applyFont="1" applyFill="1" applyBorder="1" applyAlignment="1" applyProtection="1">
      <alignment vertical="center"/>
    </xf>
    <xf numFmtId="0" fontId="2" fillId="0" borderId="4" xfId="0" applyNumberFormat="1" applyFont="1" applyFill="1" applyBorder="1" applyAlignment="1" applyProtection="1">
      <alignment vertical="center"/>
    </xf>
    <xf numFmtId="49" fontId="2" fillId="0" borderId="1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/>
    <xf numFmtId="0" fontId="13" fillId="0" borderId="1" xfId="0" applyNumberFormat="1" applyFont="1" applyFill="1" applyBorder="1" applyAlignment="1" applyProtection="1">
      <alignment horizontal="center"/>
    </xf>
    <xf numFmtId="0" fontId="13" fillId="0" borderId="1" xfId="0" applyNumberFormat="1" applyFont="1" applyFill="1" applyBorder="1" applyAlignment="1" applyProtection="1"/>
    <xf numFmtId="167" fontId="4" fillId="4" borderId="1" xfId="0" applyNumberFormat="1" applyFont="1" applyFill="1" applyBorder="1" applyAlignment="1" applyProtection="1">
      <alignment horizontal="center"/>
    </xf>
    <xf numFmtId="0" fontId="14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>
      <alignment horizontal="center"/>
    </xf>
    <xf numFmtId="0" fontId="14" fillId="4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>
      <alignment horizontal="center"/>
    </xf>
    <xf numFmtId="0" fontId="13" fillId="0" borderId="15" xfId="0" applyNumberFormat="1" applyFont="1" applyFill="1" applyBorder="1" applyAlignment="1" applyProtection="1"/>
    <xf numFmtId="0" fontId="13" fillId="4" borderId="0" xfId="0" applyNumberFormat="1" applyFont="1" applyFill="1" applyBorder="1" applyAlignment="1" applyProtection="1"/>
    <xf numFmtId="0" fontId="13" fillId="0" borderId="11" xfId="0" applyNumberFormat="1" applyFont="1" applyFill="1" applyBorder="1" applyAlignment="1" applyProtection="1"/>
    <xf numFmtId="0" fontId="13" fillId="0" borderId="10" xfId="0" applyNumberFormat="1" applyFont="1" applyFill="1" applyBorder="1" applyAlignment="1" applyProtection="1"/>
    <xf numFmtId="0" fontId="13" fillId="4" borderId="11" xfId="0" applyNumberFormat="1" applyFont="1" applyFill="1" applyBorder="1" applyAlignment="1" applyProtection="1"/>
    <xf numFmtId="0" fontId="13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left" vertical="center"/>
    </xf>
    <xf numFmtId="168" fontId="2" fillId="0" borderId="0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left"/>
    </xf>
    <xf numFmtId="168" fontId="4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168" fontId="2" fillId="0" borderId="0" xfId="0" applyNumberFormat="1" applyFont="1" applyFill="1" applyBorder="1" applyAlignment="1" applyProtection="1">
      <alignment horizontal="center" wrapText="1"/>
    </xf>
    <xf numFmtId="168" fontId="2" fillId="0" borderId="9" xfId="0" applyNumberFormat="1" applyFont="1" applyFill="1" applyBorder="1" applyAlignment="1" applyProtection="1">
      <alignment vertical="center" wrapText="1"/>
    </xf>
    <xf numFmtId="0" fontId="2" fillId="0" borderId="2" xfId="0" applyNumberFormat="1" applyFont="1" applyFill="1" applyBorder="1" applyAlignment="1" applyProtection="1">
      <alignment horizontal="left" wrapText="1"/>
    </xf>
    <xf numFmtId="168" fontId="2" fillId="0" borderId="13" xfId="0" applyNumberFormat="1" applyFont="1" applyFill="1" applyBorder="1" applyAlignment="1" applyProtection="1">
      <alignment vertical="center" wrapText="1"/>
    </xf>
    <xf numFmtId="168" fontId="2" fillId="0" borderId="4" xfId="0" applyNumberFormat="1" applyFont="1" applyFill="1" applyBorder="1" applyAlignment="1" applyProtection="1">
      <alignment horizontal="center" vertical="center" wrapText="1"/>
    </xf>
    <xf numFmtId="168" fontId="4" fillId="0" borderId="1" xfId="0" applyNumberFormat="1" applyFont="1" applyFill="1" applyBorder="1" applyAlignment="1" applyProtection="1">
      <alignment horizontal="center" vertical="center" wrapText="1"/>
    </xf>
    <xf numFmtId="168" fontId="4" fillId="0" borderId="1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/>
    <xf numFmtId="167" fontId="20" fillId="0" borderId="1" xfId="0" applyNumberFormat="1" applyFont="1" applyFill="1" applyBorder="1" applyAlignment="1" applyProtection="1">
      <alignment horizontal="center" vertical="center"/>
    </xf>
    <xf numFmtId="167" fontId="4" fillId="0" borderId="1" xfId="0" applyNumberFormat="1" applyFont="1" applyFill="1" applyBorder="1" applyAlignment="1" applyProtection="1">
      <alignment horizontal="left"/>
    </xf>
    <xf numFmtId="0" fontId="18" fillId="0" borderId="3" xfId="0" applyNumberFormat="1" applyFont="1" applyFill="1" applyBorder="1" applyAlignment="1" applyProtection="1">
      <alignment horizontal="center" vertical="center" wrapText="1"/>
    </xf>
    <xf numFmtId="0" fontId="13" fillId="0" borderId="3" xfId="0" applyNumberFormat="1" applyFont="1" applyFill="1" applyBorder="1" applyAlignment="1" applyProtection="1">
      <alignment horizontal="left" vertical="center" wrapText="1"/>
    </xf>
    <xf numFmtId="167" fontId="21" fillId="0" borderId="1" xfId="0" applyNumberFormat="1" applyFont="1" applyFill="1" applyBorder="1" applyAlignment="1" applyProtection="1">
      <alignment horizontal="center" vertical="center" wrapText="1"/>
    </xf>
    <xf numFmtId="168" fontId="4" fillId="0" borderId="1" xfId="0" applyNumberFormat="1" applyFont="1" applyFill="1" applyBorder="1" applyAlignment="1" applyProtection="1">
      <alignment horizontal="center" wrapText="1"/>
    </xf>
    <xf numFmtId="168" fontId="10" fillId="0" borderId="1" xfId="0" applyNumberFormat="1" applyFont="1" applyFill="1" applyBorder="1" applyAlignment="1" applyProtection="1">
      <alignment horizontal="center"/>
    </xf>
    <xf numFmtId="168" fontId="6" fillId="0" borderId="1" xfId="0" applyNumberFormat="1" applyFont="1" applyFill="1" applyBorder="1" applyAlignment="1" applyProtection="1">
      <alignment horizontal="center"/>
    </xf>
    <xf numFmtId="0" fontId="13" fillId="0" borderId="4" xfId="0" applyNumberFormat="1" applyFont="1" applyFill="1" applyBorder="1" applyAlignment="1" applyProtection="1">
      <alignment horizontal="left" vertical="center" wrapText="1"/>
    </xf>
    <xf numFmtId="0" fontId="22" fillId="0" borderId="3" xfId="0" applyNumberFormat="1" applyFont="1" applyFill="1" applyBorder="1" applyAlignment="1" applyProtection="1">
      <alignment horizontal="center" vertical="center" wrapText="1"/>
    </xf>
    <xf numFmtId="0" fontId="13" fillId="0" borderId="1" xfId="0" applyNumberFormat="1" applyFont="1" applyFill="1" applyBorder="1" applyAlignment="1" applyProtection="1">
      <alignment horizontal="left" vertical="center"/>
    </xf>
    <xf numFmtId="0" fontId="13" fillId="0" borderId="1" xfId="0" applyNumberFormat="1" applyFont="1" applyFill="1" applyBorder="1" applyAlignment="1" applyProtection="1">
      <alignment horizontal="left" vertical="center" wrapText="1"/>
    </xf>
    <xf numFmtId="0" fontId="13" fillId="0" borderId="3" xfId="0" applyNumberFormat="1" applyFont="1" applyFill="1" applyBorder="1" applyAlignment="1" applyProtection="1">
      <alignment horizontal="left" vertical="center"/>
    </xf>
    <xf numFmtId="170" fontId="2" fillId="0" borderId="1" xfId="0" applyNumberFormat="1" applyFont="1" applyFill="1" applyBorder="1" applyAlignment="1" applyProtection="1">
      <alignment horizontal="center" vertical="center" wrapText="1"/>
    </xf>
    <xf numFmtId="0" fontId="13" fillId="0" borderId="3" xfId="0" applyNumberFormat="1" applyFont="1" applyFill="1" applyBorder="1" applyAlignment="1" applyProtection="1">
      <alignment horizontal="left" vertical="top"/>
    </xf>
    <xf numFmtId="171" fontId="2" fillId="0" borderId="1" xfId="0" applyNumberFormat="1" applyFont="1" applyFill="1" applyBorder="1" applyAlignment="1" applyProtection="1">
      <alignment horizontal="center" vertical="center" wrapText="1"/>
    </xf>
    <xf numFmtId="171" fontId="2" fillId="0" borderId="2" xfId="0" applyNumberFormat="1" applyFont="1" applyFill="1" applyBorder="1" applyAlignment="1" applyProtection="1">
      <alignment horizontal="center" vertical="center" wrapText="1"/>
    </xf>
    <xf numFmtId="0" fontId="13" fillId="0" borderId="4" xfId="0" applyNumberFormat="1" applyFont="1" applyFill="1" applyBorder="1" applyAlignment="1" applyProtection="1">
      <alignment horizontal="left" vertical="top"/>
    </xf>
    <xf numFmtId="49" fontId="22" fillId="0" borderId="2" xfId="0" applyNumberFormat="1" applyFont="1" applyFill="1" applyBorder="1" applyAlignment="1" applyProtection="1">
      <alignment horizontal="center" vertical="center" wrapText="1"/>
    </xf>
    <xf numFmtId="167" fontId="4" fillId="0" borderId="4" xfId="0" applyNumberFormat="1" applyFont="1" applyFill="1" applyBorder="1" applyAlignment="1" applyProtection="1">
      <alignment horizontal="left"/>
    </xf>
    <xf numFmtId="0" fontId="23" fillId="0" borderId="3" xfId="0" applyNumberFormat="1" applyFont="1" applyFill="1" applyBorder="1" applyAlignment="1" applyProtection="1">
      <alignment horizontal="center" vertical="center" wrapText="1"/>
    </xf>
    <xf numFmtId="168" fontId="4" fillId="0" borderId="14" xfId="0" applyNumberFormat="1" applyFont="1" applyFill="1" applyBorder="1" applyAlignment="1" applyProtection="1">
      <alignment horizontal="center"/>
    </xf>
    <xf numFmtId="0" fontId="13" fillId="0" borderId="3" xfId="0" applyNumberFormat="1" applyFont="1" applyFill="1" applyBorder="1" applyAlignment="1" applyProtection="1">
      <alignment horizontal="left" vertical="top" wrapText="1"/>
    </xf>
    <xf numFmtId="167" fontId="2" fillId="0" borderId="3" xfId="0" applyNumberFormat="1" applyFont="1" applyFill="1" applyBorder="1" applyAlignment="1" applyProtection="1">
      <alignment horizontal="left" vertical="top" wrapText="1"/>
    </xf>
    <xf numFmtId="0" fontId="13" fillId="0" borderId="4" xfId="0" applyNumberFormat="1" applyFont="1" applyFill="1" applyBorder="1" applyAlignment="1" applyProtection="1">
      <alignment horizontal="left" vertical="top" wrapText="1"/>
    </xf>
    <xf numFmtId="0" fontId="13" fillId="0" borderId="2" xfId="0" applyNumberFormat="1" applyFont="1" applyFill="1" applyBorder="1" applyAlignment="1" applyProtection="1">
      <alignment horizontal="left"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wrapText="1"/>
    </xf>
    <xf numFmtId="167" fontId="8" fillId="0" borderId="1" xfId="0" applyNumberFormat="1" applyFont="1" applyFill="1" applyBorder="1" applyAlignment="1" applyProtection="1">
      <alignment horizontal="center" vertical="center" wrapText="1"/>
    </xf>
    <xf numFmtId="167" fontId="2" fillId="0" borderId="3" xfId="0" applyNumberFormat="1" applyFont="1" applyFill="1" applyBorder="1" applyAlignment="1" applyProtection="1">
      <alignment horizontal="center"/>
    </xf>
    <xf numFmtId="0" fontId="24" fillId="0" borderId="1" xfId="0" applyNumberFormat="1" applyFont="1" applyFill="1" applyBorder="1" applyAlignment="1" applyProtection="1">
      <alignment horizontal="center" vertical="center" wrapText="1"/>
    </xf>
    <xf numFmtId="167" fontId="24" fillId="0" borderId="1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/>
    <xf numFmtId="0" fontId="2" fillId="0" borderId="8" xfId="0" applyNumberFormat="1" applyFont="1" applyFill="1" applyBorder="1" applyAlignment="1" applyProtection="1"/>
    <xf numFmtId="49" fontId="25" fillId="0" borderId="2" xfId="0" applyNumberFormat="1" applyFont="1" applyFill="1" applyBorder="1" applyAlignment="1" applyProtection="1">
      <alignment horizontal="center" vertical="center" wrapText="1"/>
    </xf>
    <xf numFmtId="168" fontId="2" fillId="0" borderId="1" xfId="0" applyNumberFormat="1" applyFont="1" applyFill="1" applyBorder="1" applyAlignment="1" applyProtection="1">
      <alignment horizontal="center" vertical="center" wrapText="1"/>
    </xf>
    <xf numFmtId="167" fontId="2" fillId="0" borderId="4" xfId="0" applyNumberFormat="1" applyFont="1" applyFill="1" applyBorder="1" applyAlignment="1" applyProtection="1">
      <alignment vertical="top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15" xfId="0" applyNumberFormat="1" applyFont="1" applyFill="1" applyBorder="1" applyAlignment="1" applyProtection="1">
      <alignment horizontal="center" vertical="center"/>
    </xf>
    <xf numFmtId="167" fontId="2" fillId="0" borderId="10" xfId="0" applyNumberFormat="1" applyFont="1" applyFill="1" applyBorder="1" applyAlignment="1" applyProtection="1">
      <alignment horizontal="center"/>
    </xf>
    <xf numFmtId="0" fontId="18" fillId="0" borderId="3" xfId="0" applyNumberFormat="1" applyFont="1" applyFill="1" applyBorder="1" applyAlignment="1" applyProtection="1">
      <alignment vertical="center" wrapText="1"/>
    </xf>
    <xf numFmtId="0" fontId="18" fillId="0" borderId="4" xfId="0" applyNumberFormat="1" applyFont="1" applyFill="1" applyBorder="1" applyAlignment="1" applyProtection="1">
      <alignment vertical="center" wrapText="1"/>
    </xf>
    <xf numFmtId="0" fontId="21" fillId="0" borderId="1" xfId="0" applyNumberFormat="1" applyFont="1" applyFill="1" applyBorder="1" applyAlignment="1" applyProtection="1">
      <alignment horizontal="center" vertical="center" wrapText="1"/>
    </xf>
    <xf numFmtId="0" fontId="13" fillId="0" borderId="14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 applyProtection="1">
      <alignment horizontal="left" vertical="top"/>
    </xf>
    <xf numFmtId="0" fontId="13" fillId="0" borderId="2" xfId="0" applyNumberFormat="1" applyFont="1" applyFill="1" applyBorder="1" applyAlignment="1" applyProtection="1">
      <alignment horizontal="left" vertical="top"/>
    </xf>
    <xf numFmtId="0" fontId="13" fillId="0" borderId="4" xfId="0" applyNumberFormat="1" applyFont="1" applyFill="1" applyBorder="1" applyAlignment="1" applyProtection="1">
      <alignment horizontal="left"/>
    </xf>
    <xf numFmtId="0" fontId="13" fillId="0" borderId="1" xfId="0" applyNumberFormat="1" applyFont="1" applyFill="1" applyBorder="1" applyAlignment="1" applyProtection="1">
      <alignment horizontal="left"/>
    </xf>
    <xf numFmtId="0" fontId="13" fillId="0" borderId="2" xfId="0" applyNumberFormat="1" applyFont="1" applyFill="1" applyBorder="1" applyAlignment="1" applyProtection="1">
      <alignment horizontal="left"/>
    </xf>
    <xf numFmtId="0" fontId="22" fillId="0" borderId="2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left" wrapText="1"/>
    </xf>
    <xf numFmtId="171" fontId="4" fillId="0" borderId="1" xfId="0" applyNumberFormat="1" applyFont="1" applyFill="1" applyBorder="1" applyAlignment="1" applyProtection="1">
      <alignment horizontal="center"/>
    </xf>
    <xf numFmtId="171" fontId="4" fillId="0" borderId="1" xfId="0" applyNumberFormat="1" applyFont="1" applyFill="1" applyBorder="1" applyAlignment="1" applyProtection="1">
      <alignment horizontal="center" vertical="center"/>
    </xf>
    <xf numFmtId="171" fontId="4" fillId="0" borderId="1" xfId="0" applyNumberFormat="1" applyFont="1" applyFill="1" applyBorder="1" applyAlignment="1" applyProtection="1">
      <alignment horizontal="center" vertical="center" wrapText="1"/>
    </xf>
    <xf numFmtId="0" fontId="13" fillId="0" borderId="3" xfId="0" applyNumberFormat="1" applyFont="1" applyFill="1" applyBorder="1" applyAlignment="1" applyProtection="1">
      <alignment horizontal="left" wrapText="1"/>
    </xf>
    <xf numFmtId="167" fontId="27" fillId="0" borderId="1" xfId="0" applyNumberFormat="1" applyFont="1" applyFill="1" applyBorder="1" applyAlignment="1" applyProtection="1">
      <alignment horizontal="center" vertical="center" wrapText="1"/>
    </xf>
    <xf numFmtId="167" fontId="28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/>
    </xf>
    <xf numFmtId="0" fontId="2" fillId="0" borderId="7" xfId="0" applyNumberFormat="1" applyFont="1" applyFill="1" applyBorder="1" applyAlignment="1" applyProtection="1"/>
    <xf numFmtId="0" fontId="0" fillId="0" borderId="15" xfId="0" applyNumberFormat="1" applyFont="1" applyFill="1" applyBorder="1" applyAlignment="1" applyProtection="1"/>
    <xf numFmtId="0" fontId="2" fillId="0" borderId="10" xfId="0" applyNumberFormat="1" applyFont="1" applyFill="1" applyBorder="1" applyAlignment="1" applyProtection="1"/>
    <xf numFmtId="167" fontId="2" fillId="0" borderId="2" xfId="0" applyNumberFormat="1" applyFont="1" applyFill="1" applyBorder="1" applyAlignment="1" applyProtection="1"/>
    <xf numFmtId="1" fontId="2" fillId="0" borderId="2" xfId="0" applyNumberFormat="1" applyFont="1" applyFill="1" applyBorder="1" applyAlignment="1" applyProtection="1">
      <alignment vertical="center"/>
    </xf>
    <xf numFmtId="167" fontId="2" fillId="0" borderId="1" xfId="0" applyNumberFormat="1" applyFont="1" applyFill="1" applyBorder="1" applyAlignment="1" applyProtection="1"/>
    <xf numFmtId="167" fontId="2" fillId="0" borderId="1" xfId="0" applyNumberFormat="1" applyFont="1" applyFill="1" applyBorder="1" applyAlignment="1" applyProtection="1">
      <alignment horizontal="left" vertical="center" wrapText="1"/>
    </xf>
    <xf numFmtId="167" fontId="28" fillId="0" borderId="1" xfId="0" applyNumberFormat="1" applyFont="1" applyFill="1" applyBorder="1" applyAlignment="1" applyProtection="1">
      <alignment vertical="center" wrapText="1"/>
    </xf>
    <xf numFmtId="167" fontId="2" fillId="0" borderId="1" xfId="0" applyNumberFormat="1" applyFont="1" applyFill="1" applyBorder="1" applyAlignment="1" applyProtection="1">
      <alignment horizontal="center" wrapText="1"/>
    </xf>
    <xf numFmtId="167" fontId="27" fillId="0" borderId="1" xfId="0" applyNumberFormat="1" applyFont="1" applyFill="1" applyBorder="1" applyAlignment="1" applyProtection="1">
      <alignment vertical="center" wrapText="1"/>
    </xf>
    <xf numFmtId="167" fontId="27" fillId="0" borderId="4" xfId="0" applyNumberFormat="1" applyFont="1" applyFill="1" applyBorder="1" applyAlignment="1" applyProtection="1">
      <alignment horizontal="center" vertical="center" wrapText="1"/>
    </xf>
    <xf numFmtId="167" fontId="27" fillId="0" borderId="4" xfId="0" applyNumberFormat="1" applyFont="1" applyFill="1" applyBorder="1" applyAlignment="1" applyProtection="1">
      <alignment horizontal="center" vertical="center" wrapText="1"/>
    </xf>
    <xf numFmtId="0" fontId="1" fillId="0" borderId="4" xfId="0" applyNumberFormat="1" applyFont="1" applyFill="1" applyBorder="1" applyAlignment="1" applyProtection="1">
      <alignment vertical="center" wrapText="1"/>
    </xf>
    <xf numFmtId="167" fontId="8" fillId="0" borderId="4" xfId="0" applyNumberFormat="1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10" fillId="0" borderId="4" xfId="0" applyNumberFormat="1" applyFont="1" applyFill="1" applyBorder="1" applyAlignment="1" applyProtection="1">
      <alignment horizontal="center" vertical="center" wrapText="1"/>
    </xf>
    <xf numFmtId="167" fontId="10" fillId="0" borderId="4" xfId="0" applyNumberFormat="1" applyFont="1" applyFill="1" applyBorder="1" applyAlignment="1" applyProtection="1">
      <alignment horizontal="center"/>
    </xf>
    <xf numFmtId="167" fontId="10" fillId="0" borderId="4" xfId="0" applyNumberFormat="1" applyFont="1" applyFill="1" applyBorder="1" applyAlignment="1" applyProtection="1">
      <alignment horizontal="center" vertical="center"/>
    </xf>
    <xf numFmtId="49" fontId="22" fillId="0" borderId="3" xfId="0" applyNumberFormat="1" applyFont="1" applyFill="1" applyBorder="1" applyAlignment="1" applyProtection="1">
      <alignment horizontal="center" vertical="center" wrapText="1"/>
    </xf>
    <xf numFmtId="167" fontId="4" fillId="0" borderId="3" xfId="0" applyNumberFormat="1" applyFont="1" applyFill="1" applyBorder="1" applyAlignment="1" applyProtection="1">
      <alignment horizontal="left" wrapText="1"/>
    </xf>
    <xf numFmtId="167" fontId="2" fillId="0" borderId="3" xfId="0" applyNumberFormat="1" applyFont="1" applyFill="1" applyBorder="1" applyAlignment="1" applyProtection="1">
      <alignment horizontal="left" wrapText="1"/>
    </xf>
    <xf numFmtId="167" fontId="2" fillId="0" borderId="4" xfId="0" applyNumberFormat="1" applyFont="1" applyFill="1" applyBorder="1" applyAlignment="1" applyProtection="1">
      <alignment horizontal="left" wrapText="1"/>
    </xf>
    <xf numFmtId="167" fontId="4" fillId="0" borderId="2" xfId="0" applyNumberFormat="1" applyFont="1" applyFill="1" applyBorder="1" applyAlignment="1" applyProtection="1">
      <alignment horizontal="left"/>
    </xf>
    <xf numFmtId="49" fontId="22" fillId="0" borderId="4" xfId="0" applyNumberFormat="1" applyFont="1" applyFill="1" applyBorder="1" applyAlignment="1" applyProtection="1">
      <alignment horizontal="center" vertical="center" wrapText="1"/>
    </xf>
    <xf numFmtId="1" fontId="2" fillId="0" borderId="10" xfId="0" applyNumberFormat="1" applyFont="1" applyFill="1" applyBorder="1" applyAlignment="1" applyProtection="1">
      <alignment horizontal="center" wrapText="1"/>
    </xf>
    <xf numFmtId="0" fontId="2" fillId="0" borderId="1" xfId="0" applyNumberFormat="1" applyFont="1" applyFill="1" applyBorder="1" applyAlignment="1" applyProtection="1">
      <alignment horizont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167" fontId="8" fillId="0" borderId="1" xfId="0" applyNumberFormat="1" applyFont="1" applyFill="1" applyBorder="1" applyAlignment="1" applyProtection="1">
      <alignment horizontal="center" vertical="center"/>
    </xf>
    <xf numFmtId="168" fontId="8" fillId="0" borderId="1" xfId="0" applyNumberFormat="1" applyFont="1" applyFill="1" applyBorder="1" applyAlignment="1" applyProtection="1">
      <alignment horizontal="center" vertical="center"/>
    </xf>
    <xf numFmtId="0" fontId="16" fillId="0" borderId="2" xfId="0" applyNumberFormat="1" applyFont="1" applyFill="1" applyBorder="1" applyAlignment="1" applyProtection="1">
      <alignment horizontal="left" vertical="center" wrapText="1"/>
    </xf>
    <xf numFmtId="167" fontId="20" fillId="0" borderId="7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/>
    </xf>
    <xf numFmtId="49" fontId="22" fillId="0" borderId="1" xfId="0" applyNumberFormat="1" applyFont="1" applyFill="1" applyBorder="1" applyAlignment="1" applyProtection="1">
      <alignment horizontal="center" vertical="center" wrapText="1"/>
    </xf>
    <xf numFmtId="167" fontId="20" fillId="0" borderId="14" xfId="0" applyNumberFormat="1" applyFont="1" applyFill="1" applyBorder="1" applyAlignment="1" applyProtection="1">
      <alignment horizontal="center" vertical="center"/>
    </xf>
    <xf numFmtId="168" fontId="2" fillId="0" borderId="14" xfId="0" applyNumberFormat="1" applyFont="1" applyFill="1" applyBorder="1" applyAlignment="1" applyProtection="1"/>
    <xf numFmtId="0" fontId="2" fillId="0" borderId="14" xfId="0" applyNumberFormat="1" applyFont="1" applyFill="1" applyBorder="1" applyAlignment="1" applyProtection="1"/>
    <xf numFmtId="0" fontId="16" fillId="0" borderId="3" xfId="0" applyNumberFormat="1" applyFont="1" applyFill="1" applyBorder="1" applyAlignment="1" applyProtection="1">
      <alignment horizontal="left" vertical="center" wrapText="1"/>
    </xf>
    <xf numFmtId="171" fontId="2" fillId="0" borderId="14" xfId="0" applyNumberFormat="1" applyFont="1" applyFill="1" applyBorder="1" applyAlignment="1" applyProtection="1">
      <alignment horizontal="center"/>
    </xf>
    <xf numFmtId="1" fontId="2" fillId="0" borderId="3" xfId="0" applyNumberFormat="1" applyFont="1" applyFill="1" applyBorder="1" applyAlignment="1" applyProtection="1">
      <alignment horizontal="center" vertical="center" wrapText="1"/>
    </xf>
    <xf numFmtId="168" fontId="4" fillId="0" borderId="10" xfId="0" applyNumberFormat="1" applyFont="1" applyFill="1" applyBorder="1" applyAlignment="1" applyProtection="1">
      <alignment horizontal="center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49" fontId="22" fillId="0" borderId="2" xfId="0" applyNumberFormat="1" applyFont="1" applyFill="1" applyBorder="1" applyAlignment="1" applyProtection="1">
      <alignment horizontal="center" vertical="center"/>
    </xf>
    <xf numFmtId="167" fontId="24" fillId="0" borderId="10" xfId="0" applyNumberFormat="1" applyFont="1" applyFill="1" applyBorder="1" applyAlignment="1" applyProtection="1">
      <alignment horizontal="center" vertical="center"/>
    </xf>
    <xf numFmtId="49" fontId="22" fillId="0" borderId="4" xfId="0" applyNumberFormat="1" applyFont="1" applyFill="1" applyBorder="1" applyAlignment="1" applyProtection="1">
      <alignment horizontal="center" vertical="center"/>
    </xf>
    <xf numFmtId="0" fontId="13" fillId="0" borderId="4" xfId="0" applyNumberFormat="1" applyFont="1" applyFill="1" applyBorder="1" applyAlignment="1" applyProtection="1">
      <alignment horizontal="left" vertical="center"/>
    </xf>
    <xf numFmtId="1" fontId="2" fillId="0" borderId="10" xfId="0" applyNumberFormat="1" applyFont="1" applyFill="1" applyBorder="1" applyAlignment="1" applyProtection="1">
      <alignment horizontal="center" vertical="center" wrapText="1"/>
    </xf>
    <xf numFmtId="167" fontId="24" fillId="0" borderId="10" xfId="0" applyNumberFormat="1" applyFont="1" applyFill="1" applyBorder="1" applyAlignment="1" applyProtection="1">
      <alignment horizontal="center" wrapText="1"/>
    </xf>
    <xf numFmtId="0" fontId="1" fillId="0" borderId="3" xfId="0" applyNumberFormat="1" applyFont="1" applyFill="1" applyBorder="1" applyAlignment="1" applyProtection="1">
      <alignment vertical="center" wrapText="1"/>
    </xf>
    <xf numFmtId="0" fontId="4" fillId="0" borderId="2" xfId="0" applyNumberFormat="1" applyFont="1" applyFill="1" applyBorder="1" applyAlignment="1" applyProtection="1">
      <alignment horizontal="left" vertical="center" wrapText="1"/>
    </xf>
    <xf numFmtId="0" fontId="2" fillId="0" borderId="16" xfId="0" applyNumberFormat="1" applyFont="1" applyFill="1" applyBorder="1" applyAlignment="1" applyProtection="1">
      <alignment vertical="center" wrapText="1"/>
    </xf>
    <xf numFmtId="0" fontId="13" fillId="0" borderId="2" xfId="0" applyNumberFormat="1" applyFont="1" applyFill="1" applyBorder="1" applyAlignment="1" applyProtection="1">
      <alignment horizontal="left" vertical="center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164" fontId="13" fillId="0" borderId="0" xfId="0" applyNumberFormat="1" applyFont="1" applyFill="1" applyBorder="1" applyAlignment="1" applyProtection="1"/>
    <xf numFmtId="0" fontId="18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>
      <alignment horizontal="left"/>
    </xf>
    <xf numFmtId="167" fontId="13" fillId="0" borderId="0" xfId="0" applyNumberFormat="1" applyFont="1" applyFill="1" applyBorder="1" applyAlignment="1" applyProtection="1"/>
    <xf numFmtId="168" fontId="14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>
      <alignment horizontal="left"/>
    </xf>
    <xf numFmtId="0" fontId="14" fillId="0" borderId="0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/>
    <xf numFmtId="0" fontId="18" fillId="0" borderId="15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>
      <alignment vertical="center"/>
    </xf>
    <xf numFmtId="168" fontId="13" fillId="0" borderId="0" xfId="0" applyNumberFormat="1" applyFont="1" applyFill="1" applyBorder="1" applyAlignment="1" applyProtection="1"/>
    <xf numFmtId="0" fontId="18" fillId="0" borderId="10" xfId="0" applyNumberFormat="1" applyFont="1" applyFill="1" applyBorder="1" applyAlignment="1" applyProtection="1"/>
    <xf numFmtId="0" fontId="13" fillId="0" borderId="11" xfId="0" applyNumberFormat="1" applyFont="1" applyFill="1" applyBorder="1" applyAlignment="1" applyProtection="1">
      <alignment horizontal="left"/>
    </xf>
    <xf numFmtId="167" fontId="13" fillId="0" borderId="11" xfId="0" applyNumberFormat="1" applyFont="1" applyFill="1" applyBorder="1" applyAlignment="1" applyProtection="1"/>
    <xf numFmtId="0" fontId="13" fillId="0" borderId="11" xfId="0" applyNumberFormat="1" applyFont="1" applyFill="1" applyBorder="1" applyAlignment="1" applyProtection="1">
      <alignment vertical="center"/>
    </xf>
    <xf numFmtId="168" fontId="13" fillId="0" borderId="11" xfId="0" applyNumberFormat="1" applyFont="1" applyFill="1" applyBorder="1" applyAlignment="1" applyProtection="1"/>
    <xf numFmtId="49" fontId="22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left" vertical="center"/>
    </xf>
    <xf numFmtId="167" fontId="4" fillId="0" borderId="0" xfId="0" applyNumberFormat="1" applyFont="1" applyFill="1" applyBorder="1" applyAlignment="1" applyProtection="1">
      <alignment horizontal="center"/>
    </xf>
    <xf numFmtId="167" fontId="4" fillId="0" borderId="0" xfId="0" applyNumberFormat="1" applyFont="1" applyFill="1" applyBorder="1" applyAlignment="1" applyProtection="1">
      <alignment horizontal="center" vertical="center"/>
    </xf>
    <xf numFmtId="168" fontId="4" fillId="0" borderId="0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horizontal="left"/>
    </xf>
    <xf numFmtId="49" fontId="22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wrapText="1"/>
    </xf>
    <xf numFmtId="167" fontId="4" fillId="0" borderId="0" xfId="0" applyNumberFormat="1" applyFont="1" applyFill="1" applyBorder="1" applyAlignment="1" applyProtection="1">
      <alignment horizontal="center" wrapText="1"/>
    </xf>
    <xf numFmtId="168" fontId="4" fillId="0" borderId="0" xfId="0" applyNumberFormat="1" applyFont="1" applyFill="1" applyBorder="1" applyAlignment="1" applyProtection="1">
      <alignment horizontal="center" wrapText="1"/>
    </xf>
    <xf numFmtId="168" fontId="4" fillId="0" borderId="9" xfId="0" applyNumberFormat="1" applyFont="1" applyFill="1" applyBorder="1" applyAlignment="1" applyProtection="1">
      <alignment vertical="center" wrapText="1"/>
    </xf>
    <xf numFmtId="0" fontId="4" fillId="0" borderId="2" xfId="0" applyNumberFormat="1" applyFont="1" applyFill="1" applyBorder="1" applyAlignment="1" applyProtection="1">
      <alignment horizontal="left" wrapText="1"/>
    </xf>
    <xf numFmtId="0" fontId="4" fillId="0" borderId="3" xfId="0" applyNumberFormat="1" applyFont="1" applyFill="1" applyBorder="1" applyAlignment="1" applyProtection="1">
      <alignment horizontal="left" vertical="center" wrapText="1"/>
    </xf>
    <xf numFmtId="168" fontId="4" fillId="0" borderId="13" xfId="0" applyNumberFormat="1" applyFont="1" applyFill="1" applyBorder="1" applyAlignment="1" applyProtection="1">
      <alignment vertical="center" wrapText="1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167" fontId="4" fillId="0" borderId="2" xfId="0" applyNumberFormat="1" applyFont="1" applyFill="1" applyBorder="1" applyAlignment="1" applyProtection="1">
      <alignment vertical="center" wrapText="1"/>
    </xf>
    <xf numFmtId="168" fontId="4" fillId="0" borderId="4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left" wrapText="1"/>
    </xf>
    <xf numFmtId="167" fontId="6" fillId="0" borderId="1" xfId="0" applyNumberFormat="1" applyFont="1" applyFill="1" applyBorder="1" applyAlignment="1" applyProtection="1">
      <alignment horizontal="center" vertical="center"/>
    </xf>
    <xf numFmtId="167" fontId="4" fillId="0" borderId="14" xfId="0" applyNumberFormat="1" applyFont="1" applyFill="1" applyBorder="1" applyAlignment="1" applyProtection="1">
      <alignment horizontal="center" wrapText="1"/>
    </xf>
    <xf numFmtId="168" fontId="6" fillId="0" borderId="14" xfId="0" applyNumberFormat="1" applyFont="1" applyFill="1" applyBorder="1" applyAlignment="1" applyProtection="1">
      <alignment horizontal="center"/>
    </xf>
    <xf numFmtId="0" fontId="16" fillId="0" borderId="4" xfId="0" applyNumberFormat="1" applyFont="1" applyFill="1" applyBorder="1" applyAlignment="1" applyProtection="1">
      <alignment horizontal="left" vertical="center" wrapText="1"/>
    </xf>
    <xf numFmtId="0" fontId="16" fillId="0" borderId="1" xfId="0" applyNumberFormat="1" applyFont="1" applyFill="1" applyBorder="1" applyAlignment="1" applyProtection="1">
      <alignment horizontal="left" vertical="center"/>
    </xf>
    <xf numFmtId="0" fontId="16" fillId="0" borderId="1" xfId="0" applyNumberFormat="1" applyFont="1" applyFill="1" applyBorder="1" applyAlignment="1" applyProtection="1">
      <alignment horizontal="left" vertical="center" wrapText="1"/>
    </xf>
    <xf numFmtId="0" fontId="16" fillId="0" borderId="3" xfId="0" applyNumberFormat="1" applyFont="1" applyFill="1" applyBorder="1" applyAlignment="1" applyProtection="1">
      <alignment horizontal="left" vertical="center"/>
    </xf>
    <xf numFmtId="0" fontId="4" fillId="0" borderId="1" xfId="0" applyNumberFormat="1" applyFont="1" applyFill="1" applyBorder="1" applyAlignment="1" applyProtection="1">
      <alignment horizontal="left" vertical="center" wrapText="1"/>
    </xf>
    <xf numFmtId="170" fontId="4" fillId="0" borderId="1" xfId="0" applyNumberFormat="1" applyFont="1" applyFill="1" applyBorder="1" applyAlignment="1" applyProtection="1">
      <alignment horizontal="center" vertical="center" wrapText="1"/>
    </xf>
    <xf numFmtId="167" fontId="4" fillId="0" borderId="2" xfId="0" applyNumberFormat="1" applyFont="1" applyFill="1" applyBorder="1" applyAlignment="1" applyProtection="1">
      <alignment horizontal="left" vertical="top" wrapText="1"/>
    </xf>
    <xf numFmtId="0" fontId="16" fillId="0" borderId="3" xfId="0" applyNumberFormat="1" applyFont="1" applyFill="1" applyBorder="1" applyAlignment="1" applyProtection="1">
      <alignment horizontal="left" vertical="top"/>
    </xf>
    <xf numFmtId="171" fontId="4" fillId="0" borderId="2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vertical="top" wrapText="1"/>
    </xf>
    <xf numFmtId="0" fontId="4" fillId="0" borderId="2" xfId="0" applyNumberFormat="1" applyFont="1" applyFill="1" applyBorder="1" applyAlignment="1" applyProtection="1">
      <alignment horizontal="left" vertical="top" wrapText="1"/>
    </xf>
    <xf numFmtId="0" fontId="16" fillId="0" borderId="3" xfId="0" applyNumberFormat="1" applyFont="1" applyFill="1" applyBorder="1" applyAlignment="1" applyProtection="1">
      <alignment horizontal="left" vertical="top" wrapText="1"/>
    </xf>
    <xf numFmtId="167" fontId="4" fillId="0" borderId="3" xfId="0" applyNumberFormat="1" applyFont="1" applyFill="1" applyBorder="1" applyAlignment="1" applyProtection="1">
      <alignment horizontal="left" vertical="top" wrapText="1"/>
    </xf>
    <xf numFmtId="0" fontId="16" fillId="0" borderId="4" xfId="0" applyNumberFormat="1" applyFont="1" applyFill="1" applyBorder="1" applyAlignment="1" applyProtection="1">
      <alignment horizontal="left" vertical="top" wrapText="1"/>
    </xf>
    <xf numFmtId="0" fontId="4" fillId="0" borderId="3" xfId="0" applyNumberFormat="1" applyFont="1" applyFill="1" applyBorder="1" applyAlignment="1" applyProtection="1">
      <alignment vertical="top" wrapText="1"/>
    </xf>
    <xf numFmtId="49" fontId="4" fillId="0" borderId="4" xfId="0" applyNumberFormat="1" applyFont="1" applyFill="1" applyBorder="1" applyAlignment="1" applyProtection="1">
      <alignment vertical="top" wrapText="1"/>
    </xf>
    <xf numFmtId="0" fontId="4" fillId="0" borderId="1" xfId="0" applyNumberFormat="1" applyFont="1" applyFill="1" applyBorder="1" applyAlignment="1" applyProtection="1">
      <alignment vertical="top" wrapText="1"/>
    </xf>
    <xf numFmtId="0" fontId="4" fillId="0" borderId="3" xfId="0" applyNumberFormat="1" applyFont="1" applyFill="1" applyBorder="1" applyAlignment="1" applyProtection="1">
      <alignment horizontal="left" vertical="top" wrapText="1"/>
    </xf>
    <xf numFmtId="0" fontId="4" fillId="0" borderId="1" xfId="0" applyNumberFormat="1" applyFont="1" applyFill="1" applyBorder="1" applyAlignment="1" applyProtection="1">
      <alignment horizontal="left" vertical="top" wrapText="1"/>
    </xf>
    <xf numFmtId="49" fontId="4" fillId="0" borderId="1" xfId="0" applyNumberFormat="1" applyFont="1" applyFill="1" applyBorder="1" applyAlignment="1" applyProtection="1">
      <alignment vertical="top" wrapText="1"/>
    </xf>
    <xf numFmtId="0" fontId="4" fillId="0" borderId="3" xfId="0" applyNumberFormat="1" applyFont="1" applyFill="1" applyBorder="1" applyAlignment="1" applyProtection="1">
      <alignment vertical="center" wrapText="1"/>
    </xf>
    <xf numFmtId="0" fontId="30" fillId="0" borderId="1" xfId="0" applyNumberFormat="1" applyFont="1" applyFill="1" applyBorder="1" applyAlignment="1" applyProtection="1">
      <alignment horizontal="center" vertical="center" wrapText="1"/>
    </xf>
    <xf numFmtId="49" fontId="4" fillId="0" borderId="3" xfId="0" applyNumberFormat="1" applyFont="1" applyFill="1" applyBorder="1" applyAlignment="1" applyProtection="1">
      <alignment horizontal="center" vertical="center" wrapText="1"/>
    </xf>
    <xf numFmtId="0" fontId="16" fillId="0" borderId="3" xfId="0" applyNumberFormat="1" applyFont="1" applyFill="1" applyBorder="1" applyAlignment="1" applyProtection="1">
      <alignment horizontal="center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167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2" xfId="0" applyNumberFormat="1" applyFont="1" applyFill="1" applyBorder="1" applyAlignment="1" applyProtection="1">
      <alignment vertical="top" wrapText="1"/>
    </xf>
    <xf numFmtId="0" fontId="10" fillId="0" borderId="3" xfId="0" applyNumberFormat="1" applyFont="1" applyFill="1" applyBorder="1" applyAlignment="1" applyProtection="1">
      <alignment vertical="top" wrapText="1"/>
    </xf>
    <xf numFmtId="0" fontId="10" fillId="0" borderId="4" xfId="0" applyNumberFormat="1" applyFont="1" applyFill="1" applyBorder="1" applyAlignment="1" applyProtection="1">
      <alignment vertical="top" wrapText="1"/>
    </xf>
    <xf numFmtId="1" fontId="4" fillId="0" borderId="15" xfId="0" applyNumberFormat="1" applyFont="1" applyFill="1" applyBorder="1" applyAlignment="1" applyProtection="1">
      <alignment horizontal="center" vertical="center"/>
    </xf>
    <xf numFmtId="0" fontId="16" fillId="0" borderId="10" xfId="0" applyNumberFormat="1" applyFont="1" applyFill="1" applyBorder="1" applyAlignment="1" applyProtection="1">
      <alignment horizontal="center" vertical="center"/>
    </xf>
    <xf numFmtId="0" fontId="16" fillId="0" borderId="3" xfId="0" applyNumberFormat="1" applyFont="1" applyFill="1" applyBorder="1" applyAlignment="1" applyProtection="1">
      <alignment horizontal="left"/>
    </xf>
    <xf numFmtId="0" fontId="16" fillId="0" borderId="4" xfId="0" applyNumberFormat="1" applyFont="1" applyFill="1" applyBorder="1" applyAlignment="1" applyProtection="1">
      <alignment horizontal="left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wrapText="1"/>
    </xf>
    <xf numFmtId="0" fontId="4" fillId="0" borderId="1" xfId="0" applyNumberFormat="1" applyFont="1" applyFill="1" applyBorder="1" applyAlignment="1" applyProtection="1">
      <alignment horizontal="left" wrapText="1"/>
    </xf>
    <xf numFmtId="167" fontId="4" fillId="0" borderId="2" xfId="0" applyNumberFormat="1" applyFont="1" applyFill="1" applyBorder="1" applyAlignment="1" applyProtection="1">
      <alignment horizontal="left" vertical="center" wrapText="1"/>
    </xf>
    <xf numFmtId="0" fontId="4" fillId="0" borderId="4" xfId="0" applyNumberFormat="1" applyFont="1" applyFill="1" applyBorder="1" applyAlignment="1" applyProtection="1">
      <alignment vertical="center" wrapText="1"/>
    </xf>
    <xf numFmtId="0" fontId="16" fillId="0" borderId="3" xfId="0" applyNumberFormat="1" applyFont="1" applyFill="1" applyBorder="1" applyAlignment="1" applyProtection="1">
      <alignment horizontal="left" wrapText="1"/>
    </xf>
    <xf numFmtId="1" fontId="4" fillId="0" borderId="15" xfId="0" applyNumberFormat="1" applyFont="1" applyFill="1" applyBorder="1" applyAlignment="1" applyProtection="1">
      <alignment horizontal="center"/>
    </xf>
    <xf numFmtId="49" fontId="22" fillId="0" borderId="3" xfId="0" applyNumberFormat="1" applyFont="1" applyFill="1" applyBorder="1" applyAlignment="1" applyProtection="1">
      <alignment horizontal="center" vertical="top" wrapText="1"/>
    </xf>
    <xf numFmtId="9" fontId="4" fillId="0" borderId="7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/>
    </xf>
    <xf numFmtId="171" fontId="4" fillId="0" borderId="4" xfId="0" applyNumberFormat="1" applyFont="1" applyFill="1" applyBorder="1" applyAlignment="1" applyProtection="1">
      <alignment horizontal="center" vertical="center" wrapText="1"/>
    </xf>
    <xf numFmtId="1" fontId="4" fillId="0" borderId="2" xfId="0" applyNumberFormat="1" applyFont="1" applyFill="1" applyBorder="1" applyAlignment="1" applyProtection="1">
      <alignment vertical="center"/>
    </xf>
    <xf numFmtId="0" fontId="16" fillId="0" borderId="1" xfId="0" applyNumberFormat="1" applyFont="1" applyFill="1" applyBorder="1" applyAlignment="1" applyProtection="1">
      <alignment vertical="center"/>
    </xf>
    <xf numFmtId="167" fontId="4" fillId="0" borderId="1" xfId="0" applyNumberFormat="1" applyFont="1" applyFill="1" applyBorder="1" applyAlignment="1" applyProtection="1">
      <alignment horizontal="left" vertical="center" wrapText="1"/>
    </xf>
    <xf numFmtId="171" fontId="4" fillId="0" borderId="1" xfId="0" applyNumberFormat="1" applyFont="1" applyFill="1" applyBorder="1" applyAlignment="1" applyProtection="1">
      <alignment vertical="center" wrapText="1"/>
    </xf>
    <xf numFmtId="167" fontId="4" fillId="0" borderId="4" xfId="0" applyNumberFormat="1" applyFont="1" applyFill="1" applyBorder="1" applyAlignment="1" applyProtection="1">
      <alignment horizontal="left" vertical="center" wrapText="1"/>
    </xf>
    <xf numFmtId="167" fontId="4" fillId="0" borderId="3" xfId="0" applyNumberFormat="1" applyFont="1" applyFill="1" applyBorder="1" applyAlignment="1" applyProtection="1">
      <alignment horizontal="left" vertical="center" wrapText="1"/>
    </xf>
    <xf numFmtId="0" fontId="16" fillId="0" borderId="1" xfId="0" applyNumberFormat="1" applyFont="1" applyFill="1" applyBorder="1" applyAlignment="1" applyProtection="1">
      <alignment horizontal="center" vertical="center"/>
    </xf>
    <xf numFmtId="0" fontId="16" fillId="0" borderId="2" xfId="0" applyNumberFormat="1" applyFont="1" applyFill="1" applyBorder="1" applyAlignment="1" applyProtection="1">
      <alignment horizontal="center" vertical="center"/>
    </xf>
    <xf numFmtId="0" fontId="16" fillId="0" borderId="10" xfId="0" applyNumberFormat="1" applyFont="1" applyFill="1" applyBorder="1" applyAlignment="1" applyProtection="1">
      <alignment horizontal="center"/>
    </xf>
    <xf numFmtId="0" fontId="4" fillId="0" borderId="11" xfId="0" applyNumberFormat="1" applyFont="1" applyFill="1" applyBorder="1" applyAlignment="1" applyProtection="1"/>
    <xf numFmtId="167" fontId="10" fillId="0" borderId="4" xfId="0" applyNumberFormat="1" applyFont="1" applyFill="1" applyBorder="1" applyAlignment="1" applyProtection="1">
      <alignment horizontal="center" vertical="center" wrapText="1"/>
    </xf>
    <xf numFmtId="167" fontId="4" fillId="0" borderId="4" xfId="0" applyNumberFormat="1" applyFont="1" applyFill="1" applyBorder="1" applyAlignment="1" applyProtection="1">
      <alignment horizontal="left" wrapText="1"/>
    </xf>
    <xf numFmtId="167" fontId="4" fillId="0" borderId="3" xfId="0" applyNumberFormat="1" applyFont="1" applyFill="1" applyBorder="1" applyAlignment="1" applyProtection="1">
      <alignment horizontal="center" wrapText="1"/>
    </xf>
    <xf numFmtId="0" fontId="4" fillId="0" borderId="1" xfId="0" applyNumberFormat="1" applyFont="1" applyFill="1" applyBorder="1" applyAlignment="1" applyProtection="1">
      <alignment horizontal="center" wrapText="1"/>
    </xf>
    <xf numFmtId="0" fontId="4" fillId="0" borderId="10" xfId="0" applyNumberFormat="1" applyFont="1" applyFill="1" applyBorder="1" applyAlignment="1" applyProtection="1">
      <alignment horizontal="center" wrapText="1"/>
    </xf>
    <xf numFmtId="0" fontId="10" fillId="0" borderId="1" xfId="0" applyNumberFormat="1" applyFont="1" applyFill="1" applyBorder="1" applyAlignment="1" applyProtection="1">
      <alignment horizontal="center" vertical="center"/>
    </xf>
    <xf numFmtId="167" fontId="10" fillId="0" borderId="1" xfId="0" applyNumberFormat="1" applyFont="1" applyFill="1" applyBorder="1" applyAlignment="1" applyProtection="1">
      <alignment horizontal="center" vertical="center"/>
    </xf>
    <xf numFmtId="168" fontId="10" fillId="0" borderId="1" xfId="0" applyNumberFormat="1" applyFont="1" applyFill="1" applyBorder="1" applyAlignment="1" applyProtection="1">
      <alignment horizontal="center" vertical="center"/>
    </xf>
    <xf numFmtId="169" fontId="16" fillId="0" borderId="1" xfId="0" applyNumberFormat="1" applyFont="1" applyFill="1" applyBorder="1" applyAlignment="1" applyProtection="1">
      <alignment horizontal="center" vertical="center"/>
    </xf>
    <xf numFmtId="167" fontId="4" fillId="0" borderId="10" xfId="0" applyNumberFormat="1" applyFont="1" applyFill="1" applyBorder="1" applyAlignment="1" applyProtection="1">
      <alignment horizontal="center" vertical="center"/>
    </xf>
    <xf numFmtId="169" fontId="16" fillId="0" borderId="15" xfId="0" applyNumberFormat="1" applyFont="1" applyFill="1" applyBorder="1" applyAlignment="1" applyProtection="1">
      <alignment horizontal="center" vertical="center"/>
    </xf>
    <xf numFmtId="2" fontId="4" fillId="0" borderId="7" xfId="0" applyNumberFormat="1" applyFont="1" applyFill="1" applyBorder="1" applyAlignment="1" applyProtection="1">
      <alignment horizontal="center" vertical="center"/>
    </xf>
    <xf numFmtId="168" fontId="4" fillId="0" borderId="14" xfId="0" applyNumberFormat="1" applyFont="1" applyFill="1" applyBorder="1" applyAlignment="1" applyProtection="1"/>
    <xf numFmtId="0" fontId="4" fillId="0" borderId="14" xfId="0" applyNumberFormat="1" applyFont="1" applyFill="1" applyBorder="1" applyAlignment="1" applyProtection="1"/>
    <xf numFmtId="171" fontId="4" fillId="0" borderId="14" xfId="0" applyNumberFormat="1" applyFont="1" applyFill="1" applyBorder="1" applyAlignment="1" applyProtection="1">
      <alignment horizontal="center"/>
    </xf>
    <xf numFmtId="1" fontId="4" fillId="0" borderId="14" xfId="0" applyNumberFormat="1" applyFont="1" applyFill="1" applyBorder="1" applyAlignment="1" applyProtection="1">
      <alignment horizontal="center" vertical="center"/>
    </xf>
    <xf numFmtId="49" fontId="22" fillId="0" borderId="1" xfId="0" applyNumberFormat="1" applyFont="1" applyFill="1" applyBorder="1" applyAlignment="1" applyProtection="1">
      <alignment horizontal="center" vertical="center"/>
    </xf>
    <xf numFmtId="0" fontId="16" fillId="0" borderId="4" xfId="0" applyNumberFormat="1" applyFont="1" applyFill="1" applyBorder="1" applyAlignment="1" applyProtection="1">
      <alignment horizontal="left" vertical="center"/>
    </xf>
    <xf numFmtId="49" fontId="23" fillId="0" borderId="3" xfId="0" applyNumberFormat="1" applyFont="1" applyFill="1" applyBorder="1" applyAlignment="1" applyProtection="1">
      <alignment horizontal="center" vertical="center" wrapText="1"/>
    </xf>
    <xf numFmtId="167" fontId="4" fillId="0" borderId="3" xfId="0" applyNumberFormat="1" applyFont="1" applyFill="1" applyBorder="1" applyAlignment="1" applyProtection="1">
      <alignment horizontal="center" vertical="center" wrapText="1"/>
    </xf>
    <xf numFmtId="0" fontId="31" fillId="0" borderId="1" xfId="0" applyNumberFormat="1" applyFont="1" applyFill="1" applyBorder="1" applyAlignment="1" applyProtection="1"/>
    <xf numFmtId="0" fontId="4" fillId="0" borderId="16" xfId="0" applyNumberFormat="1" applyFont="1" applyFill="1" applyBorder="1" applyAlignment="1" applyProtection="1">
      <alignment vertical="center" wrapText="1"/>
    </xf>
    <xf numFmtId="0" fontId="16" fillId="0" borderId="2" xfId="0" applyNumberFormat="1" applyFont="1" applyFill="1" applyBorder="1" applyAlignment="1" applyProtection="1">
      <alignment horizontal="left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16" fillId="0" borderId="0" xfId="0" applyNumberFormat="1" applyFont="1" applyFill="1" applyBorder="1" applyAlignment="1" applyProtection="1"/>
    <xf numFmtId="0" fontId="16" fillId="0" borderId="1" xfId="0" applyNumberFormat="1" applyFont="1" applyFill="1" applyBorder="1" applyAlignment="1" applyProtection="1">
      <alignment horizontal="center"/>
    </xf>
    <xf numFmtId="0" fontId="16" fillId="0" borderId="1" xfId="0" applyNumberFormat="1" applyFont="1" applyFill="1" applyBorder="1" applyAlignment="1" applyProtection="1"/>
    <xf numFmtId="164" fontId="16" fillId="0" borderId="0" xfId="0" applyNumberFormat="1" applyFont="1" applyFill="1" applyBorder="1" applyAlignment="1" applyProtection="1"/>
    <xf numFmtId="0" fontId="4" fillId="0" borderId="15" xfId="0" applyNumberFormat="1" applyFont="1" applyFill="1" applyBorder="1" applyAlignment="1" applyProtection="1">
      <alignment vertical="top" wrapText="1"/>
    </xf>
    <xf numFmtId="0" fontId="4" fillId="0" borderId="10" xfId="0" applyNumberFormat="1" applyFont="1" applyFill="1" applyBorder="1" applyAlignment="1" applyProtection="1">
      <alignment vertical="top" wrapText="1"/>
    </xf>
    <xf numFmtId="0" fontId="7" fillId="0" borderId="0" xfId="0" applyNumberFormat="1" applyFont="1" applyFill="1" applyBorder="1" applyAlignment="1" applyProtection="1">
      <alignment horizontal="left"/>
    </xf>
    <xf numFmtId="167" fontId="16" fillId="0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>
      <alignment horizontal="center"/>
    </xf>
    <xf numFmtId="168" fontId="7" fillId="0" borderId="0" xfId="0" applyNumberFormat="1" applyFont="1" applyFill="1" applyBorder="1" applyAlignment="1" applyProtection="1"/>
    <xf numFmtId="0" fontId="16" fillId="0" borderId="0" xfId="0" applyNumberFormat="1" applyFont="1" applyFill="1" applyBorder="1" applyAlignment="1" applyProtection="1">
      <alignment horizontal="center"/>
    </xf>
    <xf numFmtId="0" fontId="16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vertical="center"/>
    </xf>
    <xf numFmtId="0" fontId="16" fillId="0" borderId="15" xfId="0" applyNumberFormat="1" applyFont="1" applyFill="1" applyBorder="1" applyAlignment="1" applyProtection="1"/>
    <xf numFmtId="0" fontId="16" fillId="0" borderId="0" xfId="0" applyNumberFormat="1" applyFont="1" applyFill="1" applyBorder="1" applyAlignment="1" applyProtection="1">
      <alignment vertical="center"/>
    </xf>
    <xf numFmtId="168" fontId="16" fillId="0" borderId="0" xfId="0" applyNumberFormat="1" applyFont="1" applyFill="1" applyBorder="1" applyAlignment="1" applyProtection="1"/>
    <xf numFmtId="0" fontId="16" fillId="0" borderId="11" xfId="0" applyNumberFormat="1" applyFont="1" applyFill="1" applyBorder="1" applyAlignment="1" applyProtection="1"/>
    <xf numFmtId="0" fontId="16" fillId="0" borderId="10" xfId="0" applyNumberFormat="1" applyFont="1" applyFill="1" applyBorder="1" applyAlignment="1" applyProtection="1"/>
    <xf numFmtId="0" fontId="16" fillId="0" borderId="11" xfId="0" applyNumberFormat="1" applyFont="1" applyFill="1" applyBorder="1" applyAlignment="1" applyProtection="1">
      <alignment horizontal="left"/>
    </xf>
    <xf numFmtId="167" fontId="16" fillId="0" borderId="11" xfId="0" applyNumberFormat="1" applyFont="1" applyFill="1" applyBorder="1" applyAlignment="1" applyProtection="1"/>
    <xf numFmtId="0" fontId="16" fillId="0" borderId="11" xfId="0" applyNumberFormat="1" applyFont="1" applyFill="1" applyBorder="1" applyAlignment="1" applyProtection="1">
      <alignment vertical="center"/>
    </xf>
    <xf numFmtId="168" fontId="16" fillId="0" borderId="11" xfId="0" applyNumberFormat="1" applyFont="1" applyFill="1" applyBorder="1" applyAlignment="1" applyProtection="1"/>
    <xf numFmtId="0" fontId="16" fillId="0" borderId="11" xfId="0" applyNumberFormat="1" applyFont="1" applyFill="1" applyBorder="1" applyAlignment="1" applyProtection="1">
      <alignment horizontal="center"/>
    </xf>
    <xf numFmtId="167" fontId="2" fillId="0" borderId="1" xfId="0" applyNumberFormat="1" applyFont="1" applyFill="1" applyBorder="1" applyAlignment="1" applyProtection="1">
      <alignment horizontal="center" vertical="center" wrapText="1"/>
    </xf>
    <xf numFmtId="167" fontId="2" fillId="0" borderId="14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67" fontId="4" fillId="0" borderId="1" xfId="0" applyNumberFormat="1" applyFont="1" applyFill="1" applyBorder="1" applyAlignment="1" applyProtection="1">
      <alignment horizontal="center" vertical="center" wrapText="1"/>
    </xf>
    <xf numFmtId="168" fontId="0" fillId="0" borderId="1" xfId="0" applyNumberFormat="1" applyFont="1" applyFill="1" applyBorder="1" applyAlignment="1" applyProtection="1"/>
    <xf numFmtId="49" fontId="1" fillId="0" borderId="3" xfId="0" applyNumberFormat="1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vertical="top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3" xfId="0" applyNumberFormat="1" applyFont="1" applyFill="1" applyBorder="1" applyAlignment="1" applyProtection="1">
      <alignment horizontal="left" vertical="center" wrapText="1"/>
    </xf>
    <xf numFmtId="167" fontId="2" fillId="0" borderId="1" xfId="0" applyNumberFormat="1" applyFont="1" applyFill="1" applyBorder="1" applyAlignment="1" applyProtection="1">
      <alignment horizontal="center" vertical="center" wrapText="1"/>
    </xf>
    <xf numFmtId="167" fontId="2" fillId="0" borderId="14" xfId="0" applyNumberFormat="1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left" vertical="top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67" fontId="2" fillId="0" borderId="3" xfId="0" applyNumberFormat="1" applyFont="1" applyFill="1" applyBorder="1" applyAlignment="1" applyProtection="1">
      <alignment horizontal="center" vertical="top" wrapText="1"/>
    </xf>
    <xf numFmtId="0" fontId="13" fillId="0" borderId="3" xfId="0" applyNumberFormat="1" applyFont="1" applyFill="1" applyBorder="1" applyAlignment="1" applyProtection="1">
      <alignment horizontal="left" vertical="top"/>
    </xf>
    <xf numFmtId="167" fontId="20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67" fontId="4" fillId="0" borderId="1" xfId="0" applyNumberFormat="1" applyFont="1" applyFill="1" applyBorder="1" applyAlignment="1" applyProtection="1">
      <alignment horizontal="center" vertical="center" wrapText="1"/>
    </xf>
    <xf numFmtId="167" fontId="2" fillId="0" borderId="1" xfId="0" applyNumberFormat="1" applyFont="1" applyFill="1" applyBorder="1" applyAlignment="1" applyProtection="1">
      <alignment horizontal="center" vertical="center" wrapText="1"/>
    </xf>
    <xf numFmtId="167" fontId="35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1" fillId="2" borderId="1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4" fillId="2" borderId="0" xfId="0" applyNumberFormat="1" applyFont="1" applyFill="1" applyBorder="1" applyAlignment="1" applyProtection="1">
      <alignment horizontal="center" wrapText="1"/>
    </xf>
    <xf numFmtId="0" fontId="2" fillId="2" borderId="0" xfId="0" applyNumberFormat="1" applyFont="1" applyFill="1" applyBorder="1" applyAlignment="1" applyProtection="1">
      <alignment horizont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vertical="center" wrapText="1"/>
    </xf>
    <xf numFmtId="0" fontId="2" fillId="2" borderId="3" xfId="0" applyNumberFormat="1" applyFont="1" applyFill="1" applyBorder="1" applyAlignment="1" applyProtection="1">
      <alignment vertical="center" wrapText="1"/>
    </xf>
    <xf numFmtId="0" fontId="2" fillId="2" borderId="4" xfId="0" applyNumberFormat="1" applyFont="1" applyFill="1" applyBorder="1" applyAlignment="1" applyProtection="1">
      <alignment vertical="center" wrapText="1"/>
    </xf>
    <xf numFmtId="0" fontId="7" fillId="2" borderId="1" xfId="0" applyNumberFormat="1" applyFont="1" applyFill="1" applyBorder="1" applyAlignment="1" applyProtection="1">
      <alignment vertical="center" wrapText="1"/>
    </xf>
    <xf numFmtId="0" fontId="2" fillId="2" borderId="1" xfId="0" applyNumberFormat="1" applyFont="1" applyFill="1" applyBorder="1" applyAlignment="1" applyProtection="1">
      <alignment vertical="center" wrapText="1"/>
    </xf>
    <xf numFmtId="0" fontId="2" fillId="2" borderId="1" xfId="0" applyNumberFormat="1" applyFont="1" applyFill="1" applyBorder="1" applyAlignment="1" applyProtection="1">
      <alignment vertical="top" wrapText="1"/>
    </xf>
    <xf numFmtId="0" fontId="8" fillId="2" borderId="1" xfId="0" applyNumberFormat="1" applyFont="1" applyFill="1" applyBorder="1" applyAlignment="1" applyProtection="1">
      <alignment vertical="center" wrapText="1"/>
    </xf>
    <xf numFmtId="0" fontId="8" fillId="2" borderId="1" xfId="0" applyNumberFormat="1" applyFont="1" applyFill="1" applyBorder="1" applyAlignment="1" applyProtection="1">
      <alignment vertical="center"/>
    </xf>
    <xf numFmtId="0" fontId="8" fillId="2" borderId="1" xfId="0" applyNumberFormat="1" applyFont="1" applyFill="1" applyBorder="1" applyAlignment="1" applyProtection="1">
      <alignment vertical="top" wrapText="1"/>
    </xf>
    <xf numFmtId="0" fontId="2" fillId="2" borderId="1" xfId="0" applyNumberFormat="1" applyFont="1" applyFill="1" applyBorder="1" applyAlignment="1" applyProtection="1">
      <alignment horizontal="left" vertical="center" wrapText="1"/>
    </xf>
    <xf numFmtId="0" fontId="8" fillId="2" borderId="1" xfId="0" applyNumberFormat="1" applyFont="1" applyFill="1" applyBorder="1" applyAlignment="1" applyProtection="1">
      <alignment wrapText="1"/>
    </xf>
    <xf numFmtId="0" fontId="10" fillId="2" borderId="1" xfId="0" applyNumberFormat="1" applyFont="1" applyFill="1" applyBorder="1" applyAlignment="1" applyProtection="1">
      <alignment horizontal="left" vertical="center" wrapText="1"/>
    </xf>
    <xf numFmtId="0" fontId="8" fillId="2" borderId="1" xfId="0" applyNumberFormat="1" applyFont="1" applyFill="1" applyBorder="1" applyAlignment="1" applyProtection="1">
      <alignment horizontal="left" vertical="center" wrapText="1"/>
    </xf>
    <xf numFmtId="0" fontId="9" fillId="2" borderId="1" xfId="0" applyNumberFormat="1" applyFont="1" applyFill="1" applyBorder="1" applyAlignment="1" applyProtection="1">
      <alignment horizontal="left" vertical="center" wrapText="1"/>
    </xf>
    <xf numFmtId="2" fontId="8" fillId="2" borderId="0" xfId="0" applyNumberFormat="1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vertical="center" wrapText="1"/>
    </xf>
    <xf numFmtId="0" fontId="4" fillId="2" borderId="1" xfId="0" applyNumberFormat="1" applyFont="1" applyFill="1" applyBorder="1" applyAlignment="1" applyProtection="1">
      <alignment horizontal="left" vertical="center" wrapText="1"/>
    </xf>
    <xf numFmtId="0" fontId="4" fillId="2" borderId="1" xfId="0" applyNumberFormat="1" applyFont="1" applyFill="1" applyBorder="1" applyAlignment="1" applyProtection="1">
      <alignment vertical="center" wrapText="1"/>
    </xf>
    <xf numFmtId="0" fontId="11" fillId="2" borderId="1" xfId="0" applyNumberFormat="1" applyFont="1" applyFill="1" applyBorder="1" applyAlignment="1" applyProtection="1">
      <alignment vertical="center" wrapText="1"/>
    </xf>
    <xf numFmtId="0" fontId="7" fillId="2" borderId="1" xfId="0" applyNumberFormat="1" applyFont="1" applyFill="1" applyBorder="1" applyAlignment="1" applyProtection="1">
      <alignment vertical="center"/>
    </xf>
    <xf numFmtId="0" fontId="11" fillId="2" borderId="1" xfId="0" applyNumberFormat="1" applyFont="1" applyFill="1" applyBorder="1" applyAlignment="1" applyProtection="1">
      <alignment vertical="center"/>
    </xf>
    <xf numFmtId="0" fontId="2" fillId="2" borderId="1" xfId="0" applyNumberFormat="1" applyFont="1" applyFill="1" applyBorder="1" applyAlignment="1" applyProtection="1">
      <alignment vertical="center"/>
    </xf>
    <xf numFmtId="49" fontId="1" fillId="2" borderId="2" xfId="0" applyNumberFormat="1" applyFont="1" applyFill="1" applyBorder="1" applyAlignment="1" applyProtection="1">
      <alignment horizontal="center" vertical="center" wrapText="1"/>
    </xf>
    <xf numFmtId="49" fontId="1" fillId="2" borderId="3" xfId="0" applyNumberFormat="1" applyFont="1" applyFill="1" applyBorder="1" applyAlignment="1" applyProtection="1">
      <alignment horizontal="center" vertical="center" wrapText="1"/>
    </xf>
    <xf numFmtId="49" fontId="1" fillId="2" borderId="4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left" vertical="center" wrapText="1"/>
    </xf>
    <xf numFmtId="0" fontId="2" fillId="2" borderId="3" xfId="0" applyNumberFormat="1" applyFont="1" applyFill="1" applyBorder="1" applyAlignment="1" applyProtection="1">
      <alignment horizontal="left" vertical="center" wrapText="1"/>
    </xf>
    <xf numFmtId="0" fontId="2" fillId="2" borderId="4" xfId="0" applyNumberFormat="1" applyFont="1" applyFill="1" applyBorder="1" applyAlignment="1" applyProtection="1">
      <alignment horizontal="left" vertical="center" wrapText="1"/>
    </xf>
    <xf numFmtId="0" fontId="7" fillId="2" borderId="1" xfId="0" applyNumberFormat="1" applyFont="1" applyFill="1" applyBorder="1" applyAlignment="1" applyProtection="1">
      <alignment horizontal="left" vertical="center"/>
    </xf>
    <xf numFmtId="49" fontId="1" fillId="2" borderId="1" xfId="0" applyNumberFormat="1" applyFont="1" applyFill="1" applyBorder="1" applyAlignment="1" applyProtection="1">
      <alignment horizontal="center" vertical="center"/>
    </xf>
    <xf numFmtId="2" fontId="7" fillId="2" borderId="1" xfId="0" applyNumberFormat="1" applyFont="1" applyFill="1" applyBorder="1" applyAlignment="1" applyProtection="1">
      <alignment horizontal="left" vertical="center" wrapText="1"/>
    </xf>
    <xf numFmtId="49" fontId="1" fillId="2" borderId="2" xfId="0" applyNumberFormat="1" applyFont="1" applyFill="1" applyBorder="1" applyAlignment="1" applyProtection="1">
      <alignment horizontal="center" vertical="center"/>
    </xf>
    <xf numFmtId="49" fontId="1" fillId="2" borderId="3" xfId="0" applyNumberFormat="1" applyFont="1" applyFill="1" applyBorder="1" applyAlignment="1" applyProtection="1">
      <alignment horizontal="center" vertical="center"/>
    </xf>
    <xf numFmtId="49" fontId="1" fillId="2" borderId="4" xfId="0" applyNumberFormat="1" applyFont="1" applyFill="1" applyBorder="1" applyAlignment="1" applyProtection="1">
      <alignment horizontal="center" vertical="center"/>
    </xf>
    <xf numFmtId="0" fontId="1" fillId="2" borderId="0" xfId="0" applyNumberFormat="1" applyFont="1" applyFill="1" applyBorder="1" applyAlignment="1" applyProtection="1">
      <alignment horizontal="center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0" fontId="2" fillId="6" borderId="2" xfId="0" applyNumberFormat="1" applyFont="1" applyFill="1" applyBorder="1" applyAlignment="1" applyProtection="1">
      <alignment vertical="top" wrapText="1"/>
    </xf>
    <xf numFmtId="0" fontId="2" fillId="6" borderId="3" xfId="0" applyNumberFormat="1" applyFont="1" applyFill="1" applyBorder="1" applyAlignment="1" applyProtection="1">
      <alignment vertical="top" wrapText="1"/>
    </xf>
    <xf numFmtId="0" fontId="2" fillId="6" borderId="4" xfId="0" applyNumberFormat="1" applyFont="1" applyFill="1" applyBorder="1" applyAlignment="1" applyProtection="1">
      <alignment vertical="top" wrapText="1"/>
    </xf>
    <xf numFmtId="49" fontId="1" fillId="6" borderId="2" xfId="0" applyNumberFormat="1" applyFont="1" applyFill="1" applyBorder="1" applyAlignment="1" applyProtection="1">
      <alignment horizontal="center" vertical="center" wrapText="1"/>
    </xf>
    <xf numFmtId="49" fontId="1" fillId="6" borderId="3" xfId="0" applyNumberFormat="1" applyFont="1" applyFill="1" applyBorder="1" applyAlignment="1" applyProtection="1">
      <alignment horizontal="center" vertical="center" wrapText="1"/>
    </xf>
    <xf numFmtId="49" fontId="1" fillId="5" borderId="2" xfId="0" applyNumberFormat="1" applyFont="1" applyFill="1" applyBorder="1" applyAlignment="1" applyProtection="1">
      <alignment horizontal="center" vertical="center" wrapText="1"/>
    </xf>
    <xf numFmtId="49" fontId="1" fillId="5" borderId="3" xfId="0" applyNumberFormat="1" applyFont="1" applyFill="1" applyBorder="1" applyAlignment="1" applyProtection="1">
      <alignment horizontal="center" vertical="center" wrapText="1"/>
    </xf>
    <xf numFmtId="49" fontId="1" fillId="5" borderId="4" xfId="0" applyNumberFormat="1" applyFont="1" applyFill="1" applyBorder="1" applyAlignment="1" applyProtection="1">
      <alignment horizontal="center" vertical="center" wrapText="1"/>
    </xf>
    <xf numFmtId="0" fontId="8" fillId="8" borderId="2" xfId="0" applyNumberFormat="1" applyFont="1" applyFill="1" applyBorder="1" applyAlignment="1" applyProtection="1">
      <alignment horizontal="left" vertical="top" wrapText="1"/>
    </xf>
    <xf numFmtId="0" fontId="8" fillId="8" borderId="3" xfId="0" applyNumberFormat="1" applyFont="1" applyFill="1" applyBorder="1" applyAlignment="1" applyProtection="1">
      <alignment horizontal="left" vertical="top" wrapText="1"/>
    </xf>
    <xf numFmtId="0" fontId="8" fillId="8" borderId="4" xfId="0" applyNumberFormat="1" applyFont="1" applyFill="1" applyBorder="1" applyAlignment="1" applyProtection="1">
      <alignment horizontal="left" vertical="top" wrapText="1"/>
    </xf>
    <xf numFmtId="0" fontId="8" fillId="0" borderId="2" xfId="0" applyNumberFormat="1" applyFont="1" applyFill="1" applyBorder="1" applyAlignment="1" applyProtection="1">
      <alignment horizontal="center" vertical="top" wrapText="1"/>
    </xf>
    <xf numFmtId="0" fontId="8" fillId="0" borderId="3" xfId="0" applyNumberFormat="1" applyFont="1" applyFill="1" applyBorder="1" applyAlignment="1" applyProtection="1">
      <alignment horizontal="center" vertical="top" wrapText="1"/>
    </xf>
    <xf numFmtId="0" fontId="8" fillId="0" borderId="4" xfId="0" applyNumberFormat="1" applyFont="1" applyFill="1" applyBorder="1" applyAlignment="1" applyProtection="1">
      <alignment horizontal="center" vertical="top" wrapText="1"/>
    </xf>
    <xf numFmtId="49" fontId="1" fillId="9" borderId="2" xfId="0" applyNumberFormat="1" applyFont="1" applyFill="1" applyBorder="1" applyAlignment="1" applyProtection="1">
      <alignment horizontal="center" vertical="center" wrapText="1"/>
    </xf>
    <xf numFmtId="49" fontId="1" fillId="9" borderId="3" xfId="0" applyNumberFormat="1" applyFont="1" applyFill="1" applyBorder="1" applyAlignment="1" applyProtection="1">
      <alignment horizontal="center" vertical="center" wrapText="1"/>
    </xf>
    <xf numFmtId="0" fontId="2" fillId="9" borderId="2" xfId="0" applyNumberFormat="1" applyFont="1" applyFill="1" applyBorder="1" applyAlignment="1" applyProtection="1">
      <alignment vertical="top" wrapText="1"/>
    </xf>
    <xf numFmtId="0" fontId="2" fillId="9" borderId="3" xfId="0" applyNumberFormat="1" applyFont="1" applyFill="1" applyBorder="1" applyAlignment="1" applyProtection="1">
      <alignment vertical="top" wrapText="1"/>
    </xf>
    <xf numFmtId="0" fontId="8" fillId="2" borderId="1" xfId="0" applyNumberFormat="1" applyFont="1" applyFill="1" applyBorder="1" applyAlignment="1" applyProtection="1">
      <alignment horizontal="left" vertical="top" wrapText="1"/>
    </xf>
    <xf numFmtId="0" fontId="2" fillId="6" borderId="2" xfId="0" applyNumberFormat="1" applyFont="1" applyFill="1" applyBorder="1" applyAlignment="1" applyProtection="1">
      <alignment horizontal="left" vertical="top" wrapText="1"/>
    </xf>
    <xf numFmtId="0" fontId="2" fillId="6" borderId="4" xfId="0" applyNumberFormat="1" applyFont="1" applyFill="1" applyBorder="1" applyAlignment="1" applyProtection="1">
      <alignment horizontal="left" vertical="top" wrapText="1"/>
    </xf>
    <xf numFmtId="0" fontId="8" fillId="2" borderId="2" xfId="0" applyNumberFormat="1" applyFont="1" applyFill="1" applyBorder="1" applyAlignment="1" applyProtection="1">
      <alignment horizontal="left" vertical="top" wrapText="1"/>
    </xf>
    <xf numFmtId="0" fontId="8" fillId="2" borderId="3" xfId="0" applyNumberFormat="1" applyFont="1" applyFill="1" applyBorder="1" applyAlignment="1" applyProtection="1">
      <alignment horizontal="left" vertical="top" wrapText="1"/>
    </xf>
    <xf numFmtId="0" fontId="8" fillId="2" borderId="4" xfId="0" applyNumberFormat="1" applyFont="1" applyFill="1" applyBorder="1" applyAlignment="1" applyProtection="1">
      <alignment horizontal="left" vertical="top" wrapText="1"/>
    </xf>
    <xf numFmtId="0" fontId="2" fillId="6" borderId="3" xfId="0" applyNumberFormat="1" applyFont="1" applyFill="1" applyBorder="1" applyAlignment="1" applyProtection="1">
      <alignment horizontal="left" vertical="top" wrapText="1"/>
    </xf>
    <xf numFmtId="0" fontId="2" fillId="5" borderId="2" xfId="0" applyNumberFormat="1" applyFont="1" applyFill="1" applyBorder="1" applyAlignment="1" applyProtection="1">
      <alignment horizontal="left" vertical="top" wrapText="1"/>
    </xf>
    <xf numFmtId="0" fontId="2" fillId="5" borderId="4" xfId="0" applyNumberFormat="1" applyFont="1" applyFill="1" applyBorder="1" applyAlignment="1" applyProtection="1">
      <alignment horizontal="left" vertical="top" wrapText="1"/>
    </xf>
    <xf numFmtId="49" fontId="1" fillId="5" borderId="1" xfId="0" applyNumberFormat="1" applyFont="1" applyFill="1" applyBorder="1" applyAlignment="1" applyProtection="1">
      <alignment horizontal="center" vertical="center" wrapText="1"/>
    </xf>
    <xf numFmtId="0" fontId="2" fillId="5" borderId="3" xfId="0" applyNumberFormat="1" applyFont="1" applyFill="1" applyBorder="1" applyAlignment="1" applyProtection="1">
      <alignment horizontal="left" vertical="top" wrapText="1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49" fontId="1" fillId="6" borderId="4" xfId="0" applyNumberFormat="1" applyFont="1" applyFill="1" applyBorder="1" applyAlignment="1" applyProtection="1">
      <alignment horizontal="center" vertical="center" wrapText="1"/>
    </xf>
    <xf numFmtId="0" fontId="13" fillId="6" borderId="3" xfId="0" applyNumberFormat="1" applyFont="1" applyFill="1" applyBorder="1" applyAlignment="1" applyProtection="1">
      <alignment vertical="top" wrapText="1"/>
    </xf>
    <xf numFmtId="0" fontId="13" fillId="6" borderId="4" xfId="0" applyNumberFormat="1" applyFont="1" applyFill="1" applyBorder="1" applyAlignment="1" applyProtection="1">
      <alignment vertical="top" wrapText="1"/>
    </xf>
    <xf numFmtId="0" fontId="2" fillId="5" borderId="2" xfId="0" applyNumberFormat="1" applyFont="1" applyFill="1" applyBorder="1" applyAlignment="1" applyProtection="1">
      <alignment vertical="top" wrapText="1"/>
    </xf>
    <xf numFmtId="0" fontId="2" fillId="5" borderId="3" xfId="0" applyNumberFormat="1" applyFont="1" applyFill="1" applyBorder="1" applyAlignment="1" applyProtection="1">
      <alignment vertical="top" wrapText="1"/>
    </xf>
    <xf numFmtId="0" fontId="13" fillId="5" borderId="3" xfId="0" applyNumberFormat="1" applyFont="1" applyFill="1" applyBorder="1" applyAlignment="1" applyProtection="1">
      <alignment horizontal="center" vertical="center" wrapText="1"/>
    </xf>
    <xf numFmtId="0" fontId="13" fillId="5" borderId="4" xfId="0" applyNumberFormat="1" applyFont="1" applyFill="1" applyBorder="1" applyAlignment="1" applyProtection="1">
      <alignment horizontal="center" vertical="center" wrapText="1"/>
    </xf>
    <xf numFmtId="0" fontId="13" fillId="0" borderId="3" xfId="0" applyNumberFormat="1" applyFont="1" applyFill="1" applyBorder="1" applyAlignment="1" applyProtection="1">
      <alignment horizontal="center" vertical="center" wrapText="1"/>
    </xf>
    <xf numFmtId="0" fontId="13" fillId="0" borderId="4" xfId="0" applyNumberFormat="1" applyFont="1" applyFill="1" applyBorder="1" applyAlignment="1" applyProtection="1">
      <alignment horizontal="center" vertical="center" wrapText="1"/>
    </xf>
    <xf numFmtId="0" fontId="2" fillId="9" borderId="3" xfId="0" applyNumberFormat="1" applyFont="1" applyFill="1" applyBorder="1" applyAlignment="1" applyProtection="1">
      <alignment horizontal="left" vertical="center" wrapText="1"/>
    </xf>
    <xf numFmtId="0" fontId="2" fillId="9" borderId="4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vertical="top" wrapText="1"/>
    </xf>
    <xf numFmtId="0" fontId="2" fillId="0" borderId="3" xfId="0" applyNumberFormat="1" applyFont="1" applyFill="1" applyBorder="1" applyAlignment="1" applyProtection="1">
      <alignment vertical="top" wrapText="1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167" fontId="2" fillId="0" borderId="2" xfId="0" applyNumberFormat="1" applyFont="1" applyFill="1" applyBorder="1" applyAlignment="1" applyProtection="1">
      <alignment horizontal="left" vertical="center" wrapText="1"/>
    </xf>
    <xf numFmtId="167" fontId="2" fillId="0" borderId="4" xfId="0" applyNumberFormat="1" applyFont="1" applyFill="1" applyBorder="1" applyAlignment="1" applyProtection="1">
      <alignment horizontal="left" vertical="center" wrapText="1"/>
    </xf>
    <xf numFmtId="1" fontId="4" fillId="0" borderId="2" xfId="0" applyNumberFormat="1" applyFont="1" applyFill="1" applyBorder="1" applyAlignment="1" applyProtection="1">
      <alignment horizontal="center" vertical="center"/>
    </xf>
    <xf numFmtId="0" fontId="16" fillId="0" borderId="3" xfId="0" applyNumberFormat="1" applyFont="1" applyFill="1" applyBorder="1" applyAlignment="1" applyProtection="1">
      <alignment horizontal="center" vertical="center"/>
    </xf>
    <xf numFmtId="0" fontId="16" fillId="0" borderId="4" xfId="0" applyNumberFormat="1" applyFont="1" applyFill="1" applyBorder="1" applyAlignment="1" applyProtection="1">
      <alignment horizontal="center" vertical="center"/>
    </xf>
    <xf numFmtId="1" fontId="4" fillId="5" borderId="2" xfId="0" applyNumberFormat="1" applyFont="1" applyFill="1" applyBorder="1" applyAlignment="1" applyProtection="1">
      <alignment horizontal="center" vertical="center"/>
    </xf>
    <xf numFmtId="1" fontId="4" fillId="5" borderId="3" xfId="0" applyNumberFormat="1" applyFont="1" applyFill="1" applyBorder="1" applyAlignment="1" applyProtection="1">
      <alignment horizontal="center" vertical="center"/>
    </xf>
    <xf numFmtId="167" fontId="4" fillId="6" borderId="2" xfId="0" applyNumberFormat="1" applyFont="1" applyFill="1" applyBorder="1" applyAlignment="1" applyProtection="1">
      <alignment horizontal="center"/>
    </xf>
    <xf numFmtId="167" fontId="4" fillId="6" borderId="4" xfId="0" applyNumberFormat="1" applyFont="1" applyFill="1" applyBorder="1" applyAlignment="1" applyProtection="1">
      <alignment horizontal="center"/>
    </xf>
    <xf numFmtId="167" fontId="4" fillId="5" borderId="2" xfId="0" applyNumberFormat="1" applyFont="1" applyFill="1" applyBorder="1" applyAlignment="1" applyProtection="1">
      <alignment horizontal="center" vertical="center"/>
    </xf>
    <xf numFmtId="0" fontId="13" fillId="5" borderId="3" xfId="0" applyNumberFormat="1" applyFont="1" applyFill="1" applyBorder="1" applyAlignment="1" applyProtection="1">
      <alignment horizontal="center" vertical="center"/>
    </xf>
    <xf numFmtId="0" fontId="13" fillId="5" borderId="4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vertical="top" wrapText="1"/>
    </xf>
    <xf numFmtId="0" fontId="2" fillId="0" borderId="2" xfId="0" applyNumberFormat="1" applyFont="1" applyFill="1" applyBorder="1" applyAlignment="1" applyProtection="1">
      <alignment wrapText="1"/>
    </xf>
    <xf numFmtId="0" fontId="2" fillId="0" borderId="3" xfId="0" applyNumberFormat="1" applyFont="1" applyFill="1" applyBorder="1" applyAlignment="1" applyProtection="1">
      <alignment wrapText="1"/>
    </xf>
    <xf numFmtId="0" fontId="2" fillId="0" borderId="4" xfId="0" applyNumberFormat="1" applyFont="1" applyFill="1" applyBorder="1" applyAlignment="1" applyProtection="1">
      <alignment wrapText="1"/>
    </xf>
    <xf numFmtId="167" fontId="2" fillId="0" borderId="2" xfId="0" applyNumberFormat="1" applyFont="1" applyFill="1" applyBorder="1" applyAlignment="1" applyProtection="1">
      <alignment vertical="center" wrapText="1"/>
    </xf>
    <xf numFmtId="0" fontId="13" fillId="0" borderId="4" xfId="0" applyNumberFormat="1" applyFont="1" applyFill="1" applyBorder="1" applyAlignment="1" applyProtection="1">
      <alignment wrapText="1"/>
    </xf>
    <xf numFmtId="0" fontId="2" fillId="6" borderId="2" xfId="0" applyNumberFormat="1" applyFont="1" applyFill="1" applyBorder="1" applyAlignment="1" applyProtection="1">
      <alignment vertical="center" wrapText="1"/>
    </xf>
    <xf numFmtId="0" fontId="2" fillId="6" borderId="3" xfId="0" applyNumberFormat="1" applyFont="1" applyFill="1" applyBorder="1" applyAlignment="1" applyProtection="1">
      <alignment vertical="center" wrapText="1"/>
    </xf>
    <xf numFmtId="0" fontId="2" fillId="6" borderId="4" xfId="0" applyNumberFormat="1" applyFont="1" applyFill="1" applyBorder="1" applyAlignment="1" applyProtection="1">
      <alignment vertical="center" wrapText="1"/>
    </xf>
    <xf numFmtId="0" fontId="13" fillId="5" borderId="3" xfId="0" applyNumberFormat="1" applyFont="1" applyFill="1" applyBorder="1" applyAlignment="1" applyProtection="1">
      <alignment vertical="top" wrapText="1"/>
    </xf>
    <xf numFmtId="0" fontId="13" fillId="5" borderId="4" xfId="0" applyNumberFormat="1" applyFont="1" applyFill="1" applyBorder="1" applyAlignment="1" applyProtection="1">
      <alignment vertical="top" wrapText="1"/>
    </xf>
    <xf numFmtId="0" fontId="2" fillId="5" borderId="2" xfId="0" applyNumberFormat="1" applyFont="1" applyFill="1" applyBorder="1" applyAlignment="1" applyProtection="1">
      <alignment horizontal="left" vertical="center" wrapText="1"/>
    </xf>
    <xf numFmtId="0" fontId="2" fillId="5" borderId="4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13" fillId="0" borderId="3" xfId="0" applyNumberFormat="1" applyFont="1" applyFill="1" applyBorder="1" applyAlignment="1" applyProtection="1">
      <alignment vertical="center" wrapText="1"/>
    </xf>
    <xf numFmtId="0" fontId="13" fillId="0" borderId="4" xfId="0" applyNumberFormat="1" applyFont="1" applyFill="1" applyBorder="1" applyAlignment="1" applyProtection="1">
      <alignment vertical="center" wrapText="1"/>
    </xf>
    <xf numFmtId="0" fontId="2" fillId="0" borderId="1" xfId="0" applyNumberFormat="1" applyFont="1" applyFill="1" applyBorder="1" applyAlignment="1" applyProtection="1">
      <alignment vertical="center" wrapText="1"/>
    </xf>
    <xf numFmtId="167" fontId="2" fillId="0" borderId="3" xfId="0" applyNumberFormat="1" applyFont="1" applyFill="1" applyBorder="1" applyAlignment="1" applyProtection="1">
      <alignment vertical="center" wrapText="1"/>
    </xf>
    <xf numFmtId="0" fontId="2" fillId="0" borderId="3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13" fillId="0" borderId="3" xfId="0" applyNumberFormat="1" applyFont="1" applyFill="1" applyBorder="1" applyAlignment="1" applyProtection="1"/>
    <xf numFmtId="1" fontId="4" fillId="0" borderId="2" xfId="0" applyNumberFormat="1" applyFont="1" applyFill="1" applyBorder="1" applyAlignment="1" applyProtection="1">
      <alignment horizontal="center"/>
    </xf>
    <xf numFmtId="1" fontId="4" fillId="0" borderId="4" xfId="0" applyNumberFormat="1" applyFont="1" applyFill="1" applyBorder="1" applyAlignment="1" applyProtection="1">
      <alignment horizontal="center"/>
    </xf>
    <xf numFmtId="1" fontId="4" fillId="0" borderId="3" xfId="0" applyNumberFormat="1" applyFont="1" applyFill="1" applyBorder="1" applyAlignment="1" applyProtection="1">
      <alignment horizontal="center"/>
    </xf>
    <xf numFmtId="0" fontId="2" fillId="7" borderId="2" xfId="0" applyNumberFormat="1" applyFont="1" applyFill="1" applyBorder="1" applyAlignment="1" applyProtection="1">
      <alignment horizontal="left" vertical="center" wrapText="1"/>
    </xf>
    <xf numFmtId="0" fontId="2" fillId="7" borderId="3" xfId="0" applyNumberFormat="1" applyFont="1" applyFill="1" applyBorder="1" applyAlignment="1" applyProtection="1">
      <alignment horizontal="left" vertical="center" wrapText="1"/>
    </xf>
    <xf numFmtId="0" fontId="2" fillId="7" borderId="4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3" xfId="0" applyNumberFormat="1" applyFont="1" applyFill="1" applyBorder="1" applyAlignment="1" applyProtection="1">
      <alignment horizontal="left" vertical="center" wrapText="1"/>
    </xf>
    <xf numFmtId="0" fontId="2" fillId="6" borderId="2" xfId="0" applyNumberFormat="1" applyFont="1" applyFill="1" applyBorder="1" applyAlignment="1" applyProtection="1">
      <alignment horizontal="left" vertical="center" wrapText="1"/>
    </xf>
    <xf numFmtId="0" fontId="2" fillId="6" borderId="3" xfId="0" applyNumberFormat="1" applyFont="1" applyFill="1" applyBorder="1" applyAlignment="1" applyProtection="1">
      <alignment horizontal="left" vertical="center" wrapText="1"/>
    </xf>
    <xf numFmtId="0" fontId="2" fillId="6" borderId="4" xfId="0" applyNumberFormat="1" applyFont="1" applyFill="1" applyBorder="1" applyAlignment="1" applyProtection="1">
      <alignment horizontal="left" vertical="center" wrapText="1"/>
    </xf>
    <xf numFmtId="0" fontId="2" fillId="5" borderId="3" xfId="0" applyNumberFormat="1" applyFont="1" applyFill="1" applyBorder="1" applyAlignment="1" applyProtection="1">
      <alignment horizontal="left" vertical="center" wrapText="1"/>
    </xf>
    <xf numFmtId="167" fontId="4" fillId="9" borderId="2" xfId="0" applyNumberFormat="1" applyFont="1" applyFill="1" applyBorder="1" applyAlignment="1" applyProtection="1">
      <alignment horizontal="center"/>
    </xf>
    <xf numFmtId="167" fontId="4" fillId="9" borderId="4" xfId="0" applyNumberFormat="1" applyFont="1" applyFill="1" applyBorder="1" applyAlignment="1" applyProtection="1">
      <alignment horizontal="center"/>
    </xf>
    <xf numFmtId="0" fontId="13" fillId="0" borderId="3" xfId="0" applyNumberFormat="1" applyFont="1" applyFill="1" applyBorder="1" applyAlignment="1" applyProtection="1">
      <alignment vertical="top" wrapText="1"/>
    </xf>
    <xf numFmtId="0" fontId="13" fillId="0" borderId="4" xfId="0" applyNumberFormat="1" applyFont="1" applyFill="1" applyBorder="1" applyAlignment="1" applyProtection="1">
      <alignment vertical="top" wrapText="1"/>
    </xf>
    <xf numFmtId="0" fontId="2" fillId="6" borderId="1" xfId="0" applyNumberFormat="1" applyFont="1" applyFill="1" applyBorder="1" applyAlignment="1" applyProtection="1">
      <alignment vertical="center" wrapText="1"/>
    </xf>
    <xf numFmtId="167" fontId="4" fillId="0" borderId="2" xfId="0" applyNumberFormat="1" applyFont="1" applyFill="1" applyBorder="1" applyAlignment="1" applyProtection="1">
      <alignment horizontal="center" vertical="center" wrapText="1"/>
    </xf>
    <xf numFmtId="0" fontId="13" fillId="0" borderId="4" xfId="0" applyNumberFormat="1" applyFont="1" applyFill="1" applyBorder="1" applyAlignment="1" applyProtection="1">
      <alignment horizontal="center"/>
    </xf>
    <xf numFmtId="0" fontId="13" fillId="0" borderId="3" xfId="0" applyNumberFormat="1" applyFont="1" applyFill="1" applyBorder="1" applyAlignment="1" applyProtection="1">
      <alignment horizontal="center"/>
    </xf>
    <xf numFmtId="167" fontId="4" fillId="0" borderId="2" xfId="0" applyNumberFormat="1" applyFont="1" applyFill="1" applyBorder="1" applyAlignment="1" applyProtection="1">
      <alignment horizontal="center"/>
    </xf>
    <xf numFmtId="167" fontId="4" fillId="0" borderId="3" xfId="0" applyNumberFormat="1" applyFont="1" applyFill="1" applyBorder="1" applyAlignment="1" applyProtection="1">
      <alignment horizontal="center"/>
    </xf>
    <xf numFmtId="167" fontId="4" fillId="0" borderId="4" xfId="0" applyNumberFormat="1" applyFont="1" applyFill="1" applyBorder="1" applyAlignment="1" applyProtection="1">
      <alignment horizontal="center"/>
    </xf>
    <xf numFmtId="167" fontId="4" fillId="6" borderId="3" xfId="0" applyNumberFormat="1" applyFont="1" applyFill="1" applyBorder="1" applyAlignment="1" applyProtection="1">
      <alignment horizontal="center"/>
    </xf>
    <xf numFmtId="167" fontId="4" fillId="5" borderId="3" xfId="0" applyNumberFormat="1" applyFont="1" applyFill="1" applyBorder="1" applyAlignment="1" applyProtection="1">
      <alignment horizontal="center" vertical="center"/>
    </xf>
    <xf numFmtId="49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wrapText="1"/>
    </xf>
    <xf numFmtId="1" fontId="2" fillId="0" borderId="3" xfId="0" applyNumberFormat="1" applyFont="1" applyFill="1" applyBorder="1" applyAlignment="1" applyProtection="1">
      <alignment horizontal="center" wrapText="1"/>
    </xf>
    <xf numFmtId="1" fontId="2" fillId="0" borderId="4" xfId="0" applyNumberFormat="1" applyFont="1" applyFill="1" applyBorder="1" applyAlignment="1" applyProtection="1">
      <alignment horizontal="center" wrapText="1"/>
    </xf>
    <xf numFmtId="167" fontId="2" fillId="0" borderId="1" xfId="0" applyNumberFormat="1" applyFont="1" applyFill="1" applyBorder="1" applyAlignment="1" applyProtection="1">
      <alignment horizontal="center" vertical="center" wrapText="1"/>
    </xf>
    <xf numFmtId="167" fontId="2" fillId="0" borderId="14" xfId="0" applyNumberFormat="1" applyFont="1" applyFill="1" applyBorder="1" applyAlignment="1" applyProtection="1">
      <alignment horizontal="center" vertical="center" wrapText="1"/>
    </xf>
    <xf numFmtId="167" fontId="2" fillId="0" borderId="5" xfId="0" applyNumberFormat="1" applyFont="1" applyFill="1" applyBorder="1" applyAlignment="1" applyProtection="1">
      <alignment horizontal="center" vertical="center" wrapText="1"/>
    </xf>
    <xf numFmtId="167" fontId="2" fillId="0" borderId="2" xfId="0" applyNumberFormat="1" applyFont="1" applyFill="1" applyBorder="1" applyAlignment="1" applyProtection="1">
      <alignment wrapText="1"/>
    </xf>
    <xf numFmtId="167" fontId="2" fillId="0" borderId="3" xfId="0" applyNumberFormat="1" applyFont="1" applyFill="1" applyBorder="1" applyAlignment="1" applyProtection="1">
      <alignment wrapText="1"/>
    </xf>
    <xf numFmtId="167" fontId="2" fillId="0" borderId="4" xfId="0" applyNumberFormat="1" applyFont="1" applyFill="1" applyBorder="1" applyAlignment="1" applyProtection="1">
      <alignment wrapText="1"/>
    </xf>
    <xf numFmtId="167" fontId="2" fillId="0" borderId="2" xfId="0" applyNumberFormat="1" applyFont="1" applyFill="1" applyBorder="1" applyAlignment="1" applyProtection="1">
      <alignment vertical="top" wrapText="1"/>
    </xf>
    <xf numFmtId="0" fontId="13" fillId="0" borderId="3" xfId="0" applyNumberFormat="1" applyFont="1" applyFill="1" applyBorder="1" applyAlignment="1" applyProtection="1">
      <alignment vertical="top"/>
    </xf>
    <xf numFmtId="0" fontId="13" fillId="0" borderId="4" xfId="0" applyNumberFormat="1" applyFont="1" applyFill="1" applyBorder="1" applyAlignment="1" applyProtection="1">
      <alignment vertical="top"/>
    </xf>
    <xf numFmtId="0" fontId="5" fillId="0" borderId="2" xfId="0" applyNumberFormat="1" applyFont="1" applyFill="1" applyBorder="1" applyAlignment="1" applyProtection="1">
      <alignment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left" vertical="top" wrapText="1"/>
    </xf>
    <xf numFmtId="0" fontId="2" fillId="0" borderId="3" xfId="0" applyNumberFormat="1" applyFont="1" applyFill="1" applyBorder="1" applyAlignment="1" applyProtection="1">
      <alignment horizontal="left" vertical="top" wrapText="1"/>
    </xf>
    <xf numFmtId="0" fontId="1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" fillId="0" borderId="0" xfId="0" applyNumberFormat="1" applyFont="1" applyFill="1" applyBorder="1" applyAlignment="1" applyProtection="1">
      <alignment horizontal="center"/>
    </xf>
    <xf numFmtId="167" fontId="2" fillId="0" borderId="0" xfId="0" applyNumberFormat="1" applyFont="1" applyFill="1" applyBorder="1" applyAlignment="1" applyProtection="1">
      <alignment horizont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49" fontId="7" fillId="0" borderId="2" xfId="0" applyNumberFormat="1" applyFont="1" applyFill="1" applyBorder="1" applyAlignment="1" applyProtection="1">
      <alignment horizontal="center" vertical="center" wrapText="1"/>
    </xf>
    <xf numFmtId="0" fontId="15" fillId="0" borderId="3" xfId="0" applyNumberFormat="1" applyFont="1" applyFill="1" applyBorder="1" applyAlignment="1" applyProtection="1">
      <alignment horizontal="center" vertical="center" wrapText="1"/>
    </xf>
    <xf numFmtId="0" fontId="15" fillId="0" borderId="4" xfId="0" applyNumberFormat="1" applyFont="1" applyFill="1" applyBorder="1" applyAlignment="1" applyProtection="1">
      <alignment horizontal="center" vertical="center" wrapText="1"/>
    </xf>
    <xf numFmtId="0" fontId="7" fillId="0" borderId="2" xfId="0" applyNumberFormat="1" applyFont="1" applyFill="1" applyBorder="1" applyAlignment="1" applyProtection="1">
      <alignment vertical="center" wrapText="1"/>
    </xf>
    <xf numFmtId="49" fontId="2" fillId="0" borderId="3" xfId="0" applyNumberFormat="1" applyFont="1" applyFill="1" applyBorder="1" applyAlignment="1" applyProtection="1">
      <alignment horizontal="center" vertical="center" wrapText="1"/>
    </xf>
    <xf numFmtId="49" fontId="2" fillId="0" borderId="2" xfId="0" applyNumberFormat="1" applyFont="1" applyFill="1" applyBorder="1" applyAlignment="1" applyProtection="1">
      <alignment vertical="center" wrapText="1"/>
    </xf>
    <xf numFmtId="49" fontId="2" fillId="0" borderId="3" xfId="0" applyNumberFormat="1" applyFont="1" applyFill="1" applyBorder="1" applyAlignment="1" applyProtection="1">
      <alignment vertical="center" wrapText="1"/>
    </xf>
    <xf numFmtId="49" fontId="2" fillId="0" borderId="4" xfId="0" applyNumberFormat="1" applyFont="1" applyFill="1" applyBorder="1" applyAlignment="1" applyProtection="1">
      <alignment vertical="center" wrapText="1"/>
    </xf>
    <xf numFmtId="0" fontId="2" fillId="0" borderId="1" xfId="0" applyNumberFormat="1" applyFont="1" applyFill="1" applyBorder="1" applyAlignment="1" applyProtection="1">
      <alignment vertical="top" wrapText="1"/>
    </xf>
    <xf numFmtId="0" fontId="13" fillId="0" borderId="1" xfId="0" applyNumberFormat="1" applyFont="1" applyFill="1" applyBorder="1" applyAlignment="1" applyProtection="1">
      <alignment vertical="top" wrapText="1"/>
    </xf>
    <xf numFmtId="49" fontId="2" fillId="0" borderId="2" xfId="0" applyNumberFormat="1" applyFont="1" applyFill="1" applyBorder="1" applyAlignment="1" applyProtection="1">
      <alignment vertical="top" wrapText="1"/>
    </xf>
    <xf numFmtId="49" fontId="2" fillId="0" borderId="3" xfId="0" applyNumberFormat="1" applyFont="1" applyFill="1" applyBorder="1" applyAlignment="1" applyProtection="1">
      <alignment vertical="top" wrapText="1"/>
    </xf>
    <xf numFmtId="49" fontId="2" fillId="0" borderId="4" xfId="0" applyNumberFormat="1" applyFont="1" applyFill="1" applyBorder="1" applyAlignment="1" applyProtection="1">
      <alignment vertical="top" wrapText="1"/>
    </xf>
    <xf numFmtId="1" fontId="4" fillId="5" borderId="2" xfId="0" applyNumberFormat="1" applyFont="1" applyFill="1" applyBorder="1" applyAlignment="1" applyProtection="1">
      <alignment horizontal="center"/>
    </xf>
    <xf numFmtId="1" fontId="4" fillId="5" borderId="3" xfId="0" applyNumberFormat="1" applyFont="1" applyFill="1" applyBorder="1" applyAlignment="1" applyProtection="1">
      <alignment horizontal="center"/>
    </xf>
    <xf numFmtId="0" fontId="16" fillId="0" borderId="3" xfId="0" applyNumberFormat="1" applyFont="1" applyFill="1" applyBorder="1" applyAlignment="1" applyProtection="1">
      <alignment horizontal="center" vertical="center" wrapText="1"/>
    </xf>
    <xf numFmtId="0" fontId="16" fillId="0" borderId="4" xfId="0" applyNumberFormat="1" applyFont="1" applyFill="1" applyBorder="1" applyAlignment="1" applyProtection="1">
      <alignment horizontal="center" vertical="center" wrapText="1"/>
    </xf>
    <xf numFmtId="167" fontId="4" fillId="0" borderId="2" xfId="0" applyNumberFormat="1" applyFont="1" applyFill="1" applyBorder="1" applyAlignment="1" applyProtection="1">
      <alignment horizontal="center" vertical="center"/>
    </xf>
    <xf numFmtId="0" fontId="13" fillId="0" borderId="3" xfId="0" applyNumberFormat="1" applyFont="1" applyFill="1" applyBorder="1" applyAlignment="1" applyProtection="1">
      <alignment horizontal="center" vertical="center"/>
    </xf>
    <xf numFmtId="0" fontId="13" fillId="0" borderId="4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167" fontId="4" fillId="6" borderId="2" xfId="0" applyNumberFormat="1" applyFont="1" applyFill="1" applyBorder="1" applyAlignment="1" applyProtection="1">
      <alignment horizontal="center" vertical="center"/>
    </xf>
    <xf numFmtId="0" fontId="13" fillId="6" borderId="3" xfId="0" applyNumberFormat="1" applyFont="1" applyFill="1" applyBorder="1" applyAlignment="1" applyProtection="1">
      <alignment horizontal="center" vertical="center"/>
    </xf>
    <xf numFmtId="0" fontId="13" fillId="6" borderId="4" xfId="0" applyNumberFormat="1" applyFont="1" applyFill="1" applyBorder="1" applyAlignment="1" applyProtection="1">
      <alignment horizontal="center" vertical="center"/>
    </xf>
    <xf numFmtId="0" fontId="2" fillId="9" borderId="2" xfId="0" applyNumberFormat="1" applyFont="1" applyFill="1" applyBorder="1" applyAlignment="1" applyProtection="1">
      <alignment horizontal="left" vertical="top" wrapText="1"/>
    </xf>
    <xf numFmtId="0" fontId="2" fillId="9" borderId="4" xfId="0" applyNumberFormat="1" applyFont="1" applyFill="1" applyBorder="1" applyAlignment="1" applyProtection="1">
      <alignment horizontal="left" vertical="top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7" fillId="0" borderId="3" xfId="0" applyNumberFormat="1" applyFont="1" applyFill="1" applyBorder="1" applyAlignment="1" applyProtection="1">
      <alignment vertical="center" wrapText="1"/>
    </xf>
    <xf numFmtId="0" fontId="7" fillId="0" borderId="4" xfId="0" applyNumberFormat="1" applyFont="1" applyFill="1" applyBorder="1" applyAlignment="1" applyProtection="1">
      <alignment vertical="center" wrapText="1"/>
    </xf>
    <xf numFmtId="0" fontId="7" fillId="0" borderId="2" xfId="0" applyNumberFormat="1" applyFont="1" applyFill="1" applyBorder="1" applyAlignment="1" applyProtection="1">
      <alignment horizontal="center" vertical="center" wrapText="1"/>
    </xf>
    <xf numFmtId="0" fontId="7" fillId="0" borderId="3" xfId="0" applyNumberFormat="1" applyFont="1" applyFill="1" applyBorder="1" applyAlignment="1" applyProtection="1">
      <alignment horizontal="center" vertical="center" wrapText="1"/>
    </xf>
    <xf numFmtId="0" fontId="13" fillId="0" borderId="3" xfId="0" applyNumberFormat="1" applyFont="1" applyFill="1" applyBorder="1" applyAlignment="1" applyProtection="1">
      <alignment wrapText="1"/>
    </xf>
    <xf numFmtId="0" fontId="1" fillId="0" borderId="4" xfId="0" applyNumberFormat="1" applyFont="1" applyFill="1" applyBorder="1" applyAlignment="1" applyProtection="1">
      <alignment horizontal="center" vertical="center" wrapText="1"/>
    </xf>
    <xf numFmtId="0" fontId="17" fillId="0" borderId="3" xfId="0" applyNumberFormat="1" applyFont="1" applyFill="1" applyBorder="1" applyAlignment="1" applyProtection="1">
      <alignment horizontal="center" vertical="center" wrapText="1"/>
    </xf>
    <xf numFmtId="0" fontId="16" fillId="0" borderId="3" xfId="0" applyNumberFormat="1" applyFont="1" applyFill="1" applyBorder="1" applyAlignment="1" applyProtection="1">
      <alignment vertical="center" wrapText="1"/>
    </xf>
    <xf numFmtId="0" fontId="16" fillId="0" borderId="4" xfId="0" applyNumberFormat="1" applyFont="1" applyFill="1" applyBorder="1" applyAlignment="1" applyProtection="1">
      <alignment vertical="center" wrapText="1"/>
    </xf>
    <xf numFmtId="1" fontId="2" fillId="0" borderId="2" xfId="0" applyNumberFormat="1" applyFont="1" applyFill="1" applyBorder="1" applyAlignment="1" applyProtection="1">
      <alignment horizontal="center"/>
    </xf>
    <xf numFmtId="1" fontId="2" fillId="0" borderId="4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167" fontId="2" fillId="0" borderId="2" xfId="0" applyNumberFormat="1" applyFont="1" applyFill="1" applyBorder="1" applyAlignment="1" applyProtection="1">
      <alignment horizontal="center"/>
    </xf>
    <xf numFmtId="167" fontId="2" fillId="0" borderId="4" xfId="0" applyNumberFormat="1" applyFont="1" applyFill="1" applyBorder="1" applyAlignment="1" applyProtection="1">
      <alignment horizontal="center"/>
    </xf>
    <xf numFmtId="0" fontId="2" fillId="5" borderId="2" xfId="0" applyNumberFormat="1" applyFont="1" applyFill="1" applyBorder="1" applyAlignment="1" applyProtection="1">
      <alignment horizontal="center" vertical="center" wrapText="1"/>
    </xf>
    <xf numFmtId="0" fontId="2" fillId="5" borderId="4" xfId="0" applyNumberFormat="1" applyFont="1" applyFill="1" applyBorder="1" applyAlignment="1" applyProtection="1">
      <alignment horizontal="center" vertical="center" wrapText="1"/>
    </xf>
    <xf numFmtId="0" fontId="2" fillId="5" borderId="4" xfId="0" applyNumberFormat="1" applyFont="1" applyFill="1" applyBorder="1" applyAlignment="1" applyProtection="1">
      <alignment vertical="top" wrapText="1"/>
    </xf>
    <xf numFmtId="167" fontId="4" fillId="0" borderId="3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Fill="1" applyBorder="1" applyAlignment="1" applyProtection="1">
      <alignment horizontal="center"/>
    </xf>
    <xf numFmtId="49" fontId="1" fillId="0" borderId="2" xfId="0" applyNumberFormat="1" applyFont="1" applyFill="1" applyBorder="1" applyAlignment="1" applyProtection="1">
      <alignment horizontal="center" vertical="top" wrapText="1"/>
    </xf>
    <xf numFmtId="49" fontId="1" fillId="0" borderId="3" xfId="0" applyNumberFormat="1" applyFont="1" applyFill="1" applyBorder="1" applyAlignment="1" applyProtection="1">
      <alignment horizontal="center" vertical="top" wrapText="1"/>
    </xf>
    <xf numFmtId="49" fontId="1" fillId="0" borderId="4" xfId="0" applyNumberFormat="1" applyFont="1" applyFill="1" applyBorder="1" applyAlignment="1" applyProtection="1">
      <alignment horizontal="center" vertical="top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1" fillId="0" borderId="3" xfId="0" applyNumberFormat="1" applyFont="1" applyFill="1" applyBorder="1" applyAlignment="1" applyProtection="1">
      <alignment horizontal="center" vertical="center"/>
    </xf>
    <xf numFmtId="0" fontId="1" fillId="0" borderId="4" xfId="0" applyNumberFormat="1" applyFont="1" applyFill="1" applyBorder="1" applyAlignment="1" applyProtection="1">
      <alignment horizontal="center" vertical="center"/>
    </xf>
    <xf numFmtId="167" fontId="4" fillId="0" borderId="1" xfId="0" applyNumberFormat="1" applyFont="1" applyFill="1" applyBorder="1" applyAlignment="1" applyProtection="1">
      <alignment horizontal="center"/>
    </xf>
    <xf numFmtId="0" fontId="1" fillId="5" borderId="2" xfId="0" applyNumberFormat="1" applyFont="1" applyFill="1" applyBorder="1" applyAlignment="1" applyProtection="1">
      <alignment horizontal="center"/>
    </xf>
    <xf numFmtId="0" fontId="1" fillId="5" borderId="4" xfId="0" applyNumberFormat="1" applyFont="1" applyFill="1" applyBorder="1" applyAlignment="1" applyProtection="1">
      <alignment horizontal="center"/>
    </xf>
    <xf numFmtId="0" fontId="2" fillId="5" borderId="2" xfId="0" applyNumberFormat="1" applyFont="1" applyFill="1" applyBorder="1" applyAlignment="1" applyProtection="1">
      <alignment vertical="center" wrapText="1"/>
    </xf>
    <xf numFmtId="0" fontId="2" fillId="5" borderId="3" xfId="0" applyNumberFormat="1" applyFont="1" applyFill="1" applyBorder="1" applyAlignment="1" applyProtection="1">
      <alignment vertical="center" wrapText="1"/>
    </xf>
    <xf numFmtId="167" fontId="4" fillId="5" borderId="4" xfId="0" applyNumberFormat="1" applyFont="1" applyFill="1" applyBorder="1" applyAlignment="1" applyProtection="1">
      <alignment horizontal="center" vertical="center"/>
    </xf>
    <xf numFmtId="1" fontId="4" fillId="5" borderId="4" xfId="0" applyNumberFormat="1" applyFont="1" applyFill="1" applyBorder="1" applyAlignment="1" applyProtection="1">
      <alignment horizontal="center"/>
    </xf>
    <xf numFmtId="167" fontId="2" fillId="0" borderId="1" xfId="0" applyNumberFormat="1" applyFont="1" applyFill="1" applyBorder="1" applyAlignment="1" applyProtection="1">
      <alignment vertical="center" wrapText="1"/>
    </xf>
    <xf numFmtId="0" fontId="17" fillId="0" borderId="4" xfId="0" applyNumberFormat="1" applyFont="1" applyFill="1" applyBorder="1" applyAlignment="1" applyProtection="1">
      <alignment horizontal="center" vertical="center" wrapText="1"/>
    </xf>
    <xf numFmtId="0" fontId="13" fillId="0" borderId="2" xfId="0" applyNumberFormat="1" applyFont="1" applyFill="1" applyBorder="1" applyAlignment="1" applyProtection="1">
      <alignment vertical="center" wrapText="1"/>
    </xf>
    <xf numFmtId="167" fontId="2" fillId="0" borderId="4" xfId="0" applyNumberFormat="1" applyFont="1" applyFill="1" applyBorder="1" applyAlignment="1" applyProtection="1">
      <alignment vertical="center" wrapText="1"/>
    </xf>
    <xf numFmtId="0" fontId="16" fillId="0" borderId="4" xfId="0" applyNumberFormat="1" applyFont="1" applyFill="1" applyBorder="1" applyAlignment="1" applyProtection="1">
      <alignment horizontal="center"/>
    </xf>
    <xf numFmtId="167" fontId="4" fillId="0" borderId="4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left" wrapText="1"/>
    </xf>
    <xf numFmtId="0" fontId="2" fillId="0" borderId="4" xfId="0" applyNumberFormat="1" applyFont="1" applyFill="1" applyBorder="1" applyAlignment="1" applyProtection="1">
      <alignment horizontal="left" wrapText="1"/>
    </xf>
    <xf numFmtId="0" fontId="2" fillId="5" borderId="4" xfId="0" applyNumberFormat="1" applyFont="1" applyFill="1" applyBorder="1" applyAlignment="1" applyProtection="1">
      <alignment vertical="center" wrapText="1"/>
    </xf>
    <xf numFmtId="167" fontId="2" fillId="0" borderId="2" xfId="0" applyNumberFormat="1" applyFont="1" applyFill="1" applyBorder="1" applyAlignment="1" applyProtection="1">
      <alignment horizontal="center" vertical="center" wrapText="1"/>
    </xf>
    <xf numFmtId="167" fontId="2" fillId="0" borderId="4" xfId="0" applyNumberFormat="1" applyFont="1" applyFill="1" applyBorder="1" applyAlignment="1" applyProtection="1">
      <alignment horizontal="center" vertical="center" wrapText="1"/>
    </xf>
    <xf numFmtId="167" fontId="4" fillId="0" borderId="2" xfId="0" applyNumberFormat="1" applyFont="1" applyFill="1" applyBorder="1" applyAlignment="1" applyProtection="1">
      <alignment wrapText="1"/>
    </xf>
    <xf numFmtId="167" fontId="4" fillId="0" borderId="3" xfId="0" applyNumberFormat="1" applyFont="1" applyFill="1" applyBorder="1" applyAlignment="1" applyProtection="1">
      <alignment wrapText="1"/>
    </xf>
    <xf numFmtId="0" fontId="2" fillId="0" borderId="4" xfId="0" applyNumberFormat="1" applyFont="1" applyFill="1" applyBorder="1" applyAlignment="1" applyProtection="1">
      <alignment horizontal="left" vertical="top" wrapText="1"/>
    </xf>
    <xf numFmtId="0" fontId="7" fillId="0" borderId="2" xfId="0" applyNumberFormat="1" applyFont="1" applyFill="1" applyBorder="1" applyAlignment="1" applyProtection="1">
      <alignment horizontal="left" vertical="center" wrapText="1"/>
    </xf>
    <xf numFmtId="0" fontId="7" fillId="0" borderId="3" xfId="0" applyNumberFormat="1" applyFont="1" applyFill="1" applyBorder="1" applyAlignment="1" applyProtection="1">
      <alignment horizontal="left" vertical="center" wrapText="1"/>
    </xf>
    <xf numFmtId="0" fontId="7" fillId="0" borderId="4" xfId="0" applyNumberFormat="1" applyFont="1" applyFill="1" applyBorder="1" applyAlignment="1" applyProtection="1">
      <alignment horizontal="left" vertical="center" wrapText="1"/>
    </xf>
    <xf numFmtId="49" fontId="7" fillId="0" borderId="3" xfId="0" applyNumberFormat="1" applyFont="1" applyFill="1" applyBorder="1" applyAlignment="1" applyProtection="1">
      <alignment horizontal="center" vertical="center" wrapText="1"/>
    </xf>
    <xf numFmtId="49" fontId="7" fillId="0" borderId="4" xfId="0" applyNumberFormat="1" applyFont="1" applyFill="1" applyBorder="1" applyAlignment="1" applyProtection="1">
      <alignment horizontal="center" vertical="center" wrapText="1"/>
    </xf>
    <xf numFmtId="0" fontId="7" fillId="0" borderId="4" xfId="0" applyNumberFormat="1" applyFont="1" applyFill="1" applyBorder="1" applyAlignment="1" applyProtection="1">
      <alignment horizontal="center" vertical="center" wrapText="1"/>
    </xf>
    <xf numFmtId="1" fontId="4" fillId="0" borderId="2" xfId="0" applyNumberFormat="1" applyFont="1" applyFill="1" applyBorder="1" applyAlignment="1" applyProtection="1">
      <alignment horizontal="center" wrapText="1"/>
    </xf>
    <xf numFmtId="1" fontId="4" fillId="0" borderId="4" xfId="0" applyNumberFormat="1" applyFont="1" applyFill="1" applyBorder="1" applyAlignment="1" applyProtection="1">
      <alignment horizontal="center" wrapText="1"/>
    </xf>
    <xf numFmtId="0" fontId="13" fillId="0" borderId="4" xfId="0" applyNumberFormat="1" applyFont="1" applyFill="1" applyBorder="1" applyAlignment="1" applyProtection="1"/>
    <xf numFmtId="167" fontId="2" fillId="0" borderId="2" xfId="0" applyNumberFormat="1" applyFont="1" applyFill="1" applyBorder="1" applyAlignment="1" applyProtection="1">
      <alignment horizontal="center" wrapText="1"/>
    </xf>
    <xf numFmtId="167" fontId="2" fillId="0" borderId="4" xfId="0" applyNumberFormat="1" applyFont="1" applyFill="1" applyBorder="1" applyAlignment="1" applyProtection="1">
      <alignment horizontal="center" wrapText="1"/>
    </xf>
    <xf numFmtId="167" fontId="4" fillId="0" borderId="1" xfId="0" applyNumberFormat="1" applyFont="1" applyFill="1" applyBorder="1" applyAlignment="1" applyProtection="1">
      <alignment vertical="center" wrapText="1"/>
    </xf>
    <xf numFmtId="0" fontId="4" fillId="0" borderId="2" xfId="0" applyNumberFormat="1" applyFont="1" applyFill="1" applyBorder="1" applyAlignment="1" applyProtection="1">
      <alignment horizontal="center" wrapText="1"/>
    </xf>
    <xf numFmtId="0" fontId="4" fillId="0" borderId="3" xfId="0" applyNumberFormat="1" applyFont="1" applyFill="1" applyBorder="1" applyAlignment="1" applyProtection="1">
      <alignment horizontal="center" wrapText="1"/>
    </xf>
    <xf numFmtId="0" fontId="4" fillId="0" borderId="4" xfId="0" applyNumberFormat="1" applyFont="1" applyFill="1" applyBorder="1" applyAlignment="1" applyProtection="1">
      <alignment horizontal="center" wrapText="1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167" fontId="2" fillId="0" borderId="3" xfId="0" applyNumberFormat="1" applyFont="1" applyFill="1" applyBorder="1" applyAlignment="1" applyProtection="1">
      <alignment horizontal="left" vertical="center" wrapText="1"/>
    </xf>
    <xf numFmtId="49" fontId="2" fillId="0" borderId="2" xfId="0" applyNumberFormat="1" applyFont="1" applyFill="1" applyBorder="1" applyAlignment="1" applyProtection="1">
      <alignment horizontal="center" vertical="top" wrapText="1"/>
    </xf>
    <xf numFmtId="49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167" fontId="2" fillId="0" borderId="2" xfId="0" applyNumberFormat="1" applyFont="1" applyFill="1" applyBorder="1" applyAlignment="1" applyProtection="1">
      <alignment horizontal="center" vertical="top" wrapText="1"/>
    </xf>
    <xf numFmtId="167" fontId="2" fillId="0" borderId="3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16" fillId="0" borderId="2" xfId="0" applyNumberFormat="1" applyFont="1" applyFill="1" applyBorder="1" applyAlignment="1" applyProtection="1">
      <alignment vertical="center" wrapText="1"/>
    </xf>
    <xf numFmtId="49" fontId="14" fillId="0" borderId="2" xfId="0" applyNumberFormat="1" applyFont="1" applyFill="1" applyBorder="1" applyAlignment="1" applyProtection="1">
      <alignment horizontal="center" vertical="center" wrapText="1"/>
    </xf>
    <xf numFmtId="0" fontId="13" fillId="0" borderId="1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167" fontId="2" fillId="0" borderId="3" xfId="0" applyNumberFormat="1" applyFont="1" applyFill="1" applyBorder="1" applyAlignment="1" applyProtection="1">
      <alignment horizontal="center" vertical="center" wrapText="1"/>
    </xf>
    <xf numFmtId="167" fontId="2" fillId="0" borderId="2" xfId="0" applyNumberFormat="1" applyFont="1" applyFill="1" applyBorder="1" applyAlignment="1" applyProtection="1">
      <alignment horizontal="center" vertical="center"/>
    </xf>
    <xf numFmtId="167" fontId="2" fillId="0" borderId="3" xfId="0" applyNumberFormat="1" applyFont="1" applyFill="1" applyBorder="1" applyAlignment="1" applyProtection="1">
      <alignment horizontal="center" vertical="center"/>
    </xf>
    <xf numFmtId="167" fontId="2" fillId="0" borderId="4" xfId="0" applyNumberFormat="1" applyFont="1" applyFill="1" applyBorder="1" applyAlignment="1" applyProtection="1">
      <alignment horizontal="center" vertical="center"/>
    </xf>
    <xf numFmtId="1" fontId="2" fillId="0" borderId="2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center" vertical="center"/>
    </xf>
    <xf numFmtId="169" fontId="4" fillId="0" borderId="2" xfId="0" applyNumberFormat="1" applyFont="1" applyFill="1" applyBorder="1" applyAlignment="1" applyProtection="1">
      <alignment horizontal="center" vertical="center" wrapText="1"/>
    </xf>
    <xf numFmtId="169" fontId="4" fillId="0" borderId="4" xfId="0" applyNumberFormat="1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167" fontId="4" fillId="0" borderId="2" xfId="0" applyNumberFormat="1" applyFont="1" applyFill="1" applyBorder="1" applyAlignment="1" applyProtection="1">
      <alignment horizontal="center" vertical="top"/>
    </xf>
    <xf numFmtId="167" fontId="4" fillId="0" borderId="3" xfId="0" applyNumberFormat="1" applyFont="1" applyFill="1" applyBorder="1" applyAlignment="1" applyProtection="1">
      <alignment horizontal="center" vertical="top"/>
    </xf>
    <xf numFmtId="167" fontId="4" fillId="0" borderId="4" xfId="0" applyNumberFormat="1" applyFont="1" applyFill="1" applyBorder="1" applyAlignment="1" applyProtection="1">
      <alignment horizontal="center" vertical="top"/>
    </xf>
    <xf numFmtId="0" fontId="2" fillId="0" borderId="9" xfId="0" applyNumberFormat="1" applyFont="1" applyFill="1" applyBorder="1" applyAlignment="1" applyProtection="1">
      <alignment vertical="center" wrapText="1"/>
    </xf>
    <xf numFmtId="0" fontId="2" fillId="0" borderId="13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167" fontId="2" fillId="0" borderId="3" xfId="0" applyNumberFormat="1" applyFont="1" applyFill="1" applyBorder="1" applyAlignment="1" applyProtection="1">
      <alignment vertical="top" wrapText="1"/>
    </xf>
    <xf numFmtId="167" fontId="2" fillId="0" borderId="3" xfId="0" applyNumberFormat="1" applyFont="1" applyFill="1" applyBorder="1" applyAlignment="1" applyProtection="1">
      <alignment horizontal="center" wrapText="1"/>
    </xf>
    <xf numFmtId="49" fontId="1" fillId="0" borderId="2" xfId="0" applyNumberFormat="1" applyFont="1" applyFill="1" applyBorder="1" applyAlignment="1" applyProtection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/>
    </xf>
    <xf numFmtId="49" fontId="1" fillId="0" borderId="4" xfId="0" applyNumberFormat="1" applyFont="1" applyFill="1" applyBorder="1" applyAlignment="1" applyProtection="1">
      <alignment horizontal="center" vertical="center"/>
    </xf>
    <xf numFmtId="167" fontId="4" fillId="0" borderId="2" xfId="0" applyNumberFormat="1" applyFont="1" applyFill="1" applyBorder="1" applyAlignment="1" applyProtection="1">
      <alignment horizontal="center" vertical="top" wrapText="1"/>
    </xf>
    <xf numFmtId="167" fontId="4" fillId="0" borderId="3" xfId="0" applyNumberFormat="1" applyFont="1" applyFill="1" applyBorder="1" applyAlignment="1" applyProtection="1">
      <alignment horizontal="center" vertical="top" wrapText="1"/>
    </xf>
    <xf numFmtId="167" fontId="4" fillId="0" borderId="4" xfId="0" applyNumberFormat="1" applyFont="1" applyFill="1" applyBorder="1" applyAlignment="1" applyProtection="1">
      <alignment horizontal="center" vertical="top" wrapText="1"/>
    </xf>
    <xf numFmtId="1" fontId="4" fillId="0" borderId="2" xfId="0" applyNumberFormat="1" applyFont="1" applyFill="1" applyBorder="1" applyAlignment="1" applyProtection="1">
      <alignment horizontal="center" vertical="center" wrapText="1"/>
    </xf>
    <xf numFmtId="1" fontId="4" fillId="0" borderId="3" xfId="0" applyNumberFormat="1" applyFont="1" applyFill="1" applyBorder="1" applyAlignment="1" applyProtection="1">
      <alignment horizontal="center" vertical="center" wrapText="1"/>
    </xf>
    <xf numFmtId="1" fontId="4" fillId="0" borderId="4" xfId="0" applyNumberFormat="1" applyFont="1" applyFill="1" applyBorder="1" applyAlignment="1" applyProtection="1">
      <alignment horizontal="center" vertical="center" wrapText="1"/>
    </xf>
    <xf numFmtId="49" fontId="14" fillId="0" borderId="2" xfId="0" applyNumberFormat="1" applyFont="1" applyFill="1" applyBorder="1" applyAlignment="1" applyProtection="1">
      <alignment horizontal="center" vertical="top" wrapText="1"/>
    </xf>
    <xf numFmtId="0" fontId="17" fillId="0" borderId="3" xfId="0" applyNumberFormat="1" applyFont="1" applyFill="1" applyBorder="1" applyAlignment="1" applyProtection="1">
      <alignment horizontal="center" vertical="top" wrapText="1"/>
    </xf>
    <xf numFmtId="0" fontId="7" fillId="0" borderId="2" xfId="0" applyNumberFormat="1" applyFont="1" applyFill="1" applyBorder="1" applyAlignment="1" applyProtection="1">
      <alignment vertical="top" wrapText="1"/>
    </xf>
    <xf numFmtId="0" fontId="7" fillId="0" borderId="2" xfId="0" applyNumberFormat="1" applyFont="1" applyFill="1" applyBorder="1" applyAlignment="1" applyProtection="1">
      <alignment vertical="center"/>
    </xf>
    <xf numFmtId="0" fontId="13" fillId="0" borderId="3" xfId="0" applyNumberFormat="1" applyFont="1" applyFill="1" applyBorder="1" applyAlignment="1" applyProtection="1">
      <alignment vertical="center"/>
    </xf>
    <xf numFmtId="0" fontId="13" fillId="0" borderId="4" xfId="0" applyNumberFormat="1" applyFont="1" applyFill="1" applyBorder="1" applyAlignment="1" applyProtection="1">
      <alignment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49" fontId="18" fillId="0" borderId="3" xfId="0" applyNumberFormat="1" applyFont="1" applyFill="1" applyBorder="1" applyAlignment="1" applyProtection="1">
      <alignment horizontal="center" vertical="center" wrapText="1"/>
    </xf>
    <xf numFmtId="167" fontId="4" fillId="0" borderId="4" xfId="0" applyNumberFormat="1" applyFont="1" applyFill="1" applyBorder="1" applyAlignment="1" applyProtection="1">
      <alignment horizontal="center" wrapText="1"/>
    </xf>
    <xf numFmtId="49" fontId="7" fillId="0" borderId="2" xfId="0" applyNumberFormat="1" applyFont="1" applyFill="1" applyBorder="1" applyAlignment="1" applyProtection="1">
      <alignment horizontal="center" vertical="center"/>
    </xf>
    <xf numFmtId="49" fontId="7" fillId="0" borderId="3" xfId="0" applyNumberFormat="1" applyFont="1" applyFill="1" applyBorder="1" applyAlignment="1" applyProtection="1">
      <alignment horizontal="center" vertical="center"/>
    </xf>
    <xf numFmtId="49" fontId="7" fillId="0" borderId="4" xfId="0" applyNumberFormat="1" applyFont="1" applyFill="1" applyBorder="1" applyAlignment="1" applyProtection="1">
      <alignment horizontal="center" vertical="center"/>
    </xf>
    <xf numFmtId="49" fontId="4" fillId="0" borderId="2" xfId="0" applyNumberFormat="1" applyFont="1" applyFill="1" applyBorder="1" applyAlignment="1" applyProtection="1">
      <alignment horizontal="center" vertical="center" wrapText="1"/>
    </xf>
    <xf numFmtId="49" fontId="1" fillId="5" borderId="2" xfId="0" applyNumberFormat="1" applyFont="1" applyFill="1" applyBorder="1" applyAlignment="1" applyProtection="1">
      <alignment horizontal="center" vertical="center"/>
    </xf>
    <xf numFmtId="49" fontId="1" fillId="5" borderId="4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top" wrapText="1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49" fontId="1" fillId="5" borderId="3" xfId="0" applyNumberFormat="1" applyFont="1" applyFill="1" applyBorder="1" applyAlignment="1" applyProtection="1">
      <alignment horizontal="center" vertical="center"/>
    </xf>
    <xf numFmtId="49" fontId="1" fillId="5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left" vertical="top" wrapText="1"/>
    </xf>
    <xf numFmtId="49" fontId="1" fillId="0" borderId="2" xfId="0" applyNumberFormat="1" applyFont="1" applyFill="1" applyBorder="1" applyAlignment="1" applyProtection="1">
      <alignment horizontal="center" vertical="center" shrinkToFit="1"/>
    </xf>
    <xf numFmtId="0" fontId="13" fillId="0" borderId="3" xfId="0" applyNumberFormat="1" applyFont="1" applyFill="1" applyBorder="1" applyAlignment="1" applyProtection="1">
      <alignment horizontal="center" vertical="center" shrinkToFit="1"/>
    </xf>
    <xf numFmtId="0" fontId="4" fillId="0" borderId="2" xfId="0" applyNumberFormat="1" applyFont="1" applyFill="1" applyBorder="1" applyAlignment="1" applyProtection="1">
      <alignment vertical="center" wrapText="1"/>
    </xf>
    <xf numFmtId="0" fontId="18" fillId="0" borderId="3" xfId="0" applyNumberFormat="1" applyFont="1" applyFill="1" applyBorder="1" applyAlignment="1" applyProtection="1">
      <alignment horizontal="center" vertical="center"/>
    </xf>
    <xf numFmtId="0" fontId="13" fillId="0" borderId="2" xfId="0" applyNumberFormat="1" applyFont="1" applyFill="1" applyBorder="1" applyAlignment="1" applyProtection="1">
      <alignment vertical="center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3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0" fontId="17" fillId="0" borderId="3" xfId="0" applyNumberFormat="1" applyFont="1" applyFill="1" applyBorder="1" applyAlignment="1" applyProtection="1">
      <alignment vertical="center"/>
    </xf>
    <xf numFmtId="49" fontId="2" fillId="0" borderId="1" xfId="0" applyNumberFormat="1" applyFont="1" applyFill="1" applyBorder="1" applyAlignment="1" applyProtection="1">
      <alignment horizontal="center" vertical="center"/>
    </xf>
    <xf numFmtId="0" fontId="7" fillId="0" borderId="2" xfId="0" applyNumberFormat="1" applyFont="1" applyFill="1" applyBorder="1" applyAlignment="1" applyProtection="1">
      <alignment horizontal="center" vertical="center"/>
    </xf>
    <xf numFmtId="0" fontId="14" fillId="0" borderId="0" xfId="0" applyNumberFormat="1" applyFont="1" applyFill="1" applyBorder="1" applyAlignment="1" applyProtection="1">
      <alignment horizontal="center"/>
    </xf>
    <xf numFmtId="49" fontId="4" fillId="0" borderId="2" xfId="0" applyNumberFormat="1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2" fillId="0" borderId="1" xfId="0" applyNumberFormat="1" applyFont="1" applyFill="1" applyBorder="1" applyAlignment="1" applyProtection="1">
      <alignment horizontal="left" vertical="center" wrapText="1"/>
    </xf>
    <xf numFmtId="0" fontId="2" fillId="0" borderId="3" xfId="0" applyNumberFormat="1" applyFont="1" applyFill="1" applyBorder="1" applyAlignment="1" applyProtection="1">
      <alignment vertical="center"/>
    </xf>
    <xf numFmtId="0" fontId="2" fillId="0" borderId="4" xfId="0" applyNumberFormat="1" applyFont="1" applyFill="1" applyBorder="1" applyAlignment="1" applyProtection="1">
      <alignment vertical="center"/>
    </xf>
    <xf numFmtId="49" fontId="1" fillId="6" borderId="1" xfId="0" applyNumberFormat="1" applyFont="1" applyFill="1" applyBorder="1" applyAlignment="1" applyProtection="1">
      <alignment horizontal="center" vertical="center" wrapText="1"/>
    </xf>
    <xf numFmtId="0" fontId="2" fillId="5" borderId="1" xfId="0" applyNumberFormat="1" applyFont="1" applyFill="1" applyBorder="1" applyAlignment="1" applyProtection="1">
      <alignment horizontal="left" vertical="top" wrapText="1"/>
    </xf>
    <xf numFmtId="49" fontId="1" fillId="6" borderId="2" xfId="0" applyNumberFormat="1" applyFont="1" applyFill="1" applyBorder="1" applyAlignment="1" applyProtection="1">
      <alignment horizontal="center" vertical="top" wrapText="1"/>
    </xf>
    <xf numFmtId="49" fontId="1" fillId="6" borderId="4" xfId="0" applyNumberFormat="1" applyFont="1" applyFill="1" applyBorder="1" applyAlignment="1" applyProtection="1">
      <alignment horizontal="center" vertical="top" wrapText="1"/>
    </xf>
    <xf numFmtId="167" fontId="20" fillId="0" borderId="2" xfId="0" applyNumberFormat="1" applyFont="1" applyFill="1" applyBorder="1" applyAlignment="1" applyProtection="1">
      <alignment horizontal="center" vertical="center"/>
    </xf>
    <xf numFmtId="167" fontId="20" fillId="0" borderId="4" xfId="0" applyNumberFormat="1" applyFont="1" applyFill="1" applyBorder="1" applyAlignment="1" applyProtection="1">
      <alignment horizontal="center" vertical="center"/>
    </xf>
    <xf numFmtId="0" fontId="13" fillId="0" borderId="2" xfId="0" applyNumberFormat="1" applyFont="1" applyFill="1" applyBorder="1" applyAlignment="1" applyProtection="1">
      <alignment horizontal="center" vertical="center"/>
    </xf>
    <xf numFmtId="0" fontId="13" fillId="0" borderId="4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wrapText="1"/>
    </xf>
    <xf numFmtId="49" fontId="25" fillId="0" borderId="1" xfId="0" applyNumberFormat="1" applyFont="1" applyFill="1" applyBorder="1" applyAlignment="1" applyProtection="1">
      <alignment horizontal="center" vertical="center" wrapText="1"/>
    </xf>
    <xf numFmtId="167" fontId="2" fillId="0" borderId="4" xfId="0" applyNumberFormat="1" applyFont="1" applyFill="1" applyBorder="1" applyAlignment="1" applyProtection="1">
      <alignment horizontal="center" vertical="top" wrapText="1"/>
    </xf>
    <xf numFmtId="167" fontId="2" fillId="0" borderId="1" xfId="0" applyNumberFormat="1" applyFont="1" applyFill="1" applyBorder="1" applyAlignment="1" applyProtection="1">
      <alignment horizontal="center" vertical="top" wrapText="1"/>
    </xf>
    <xf numFmtId="0" fontId="2" fillId="0" borderId="2" xfId="0" applyNumberFormat="1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49" fontId="25" fillId="0" borderId="2" xfId="0" applyNumberFormat="1" applyFont="1" applyFill="1" applyBorder="1" applyAlignment="1" applyProtection="1">
      <alignment horizontal="center" vertical="center" wrapText="1"/>
    </xf>
    <xf numFmtId="0" fontId="26" fillId="0" borderId="2" xfId="0" applyNumberFormat="1" applyFont="1" applyFill="1" applyBorder="1" applyAlignment="1" applyProtection="1">
      <alignment horizontal="left" vertical="top" wrapText="1"/>
    </xf>
    <xf numFmtId="0" fontId="8" fillId="0" borderId="4" xfId="0" applyNumberFormat="1" applyFont="1" applyFill="1" applyBorder="1" applyAlignment="1" applyProtection="1">
      <alignment horizontal="left" vertical="top" wrapText="1"/>
    </xf>
    <xf numFmtId="0" fontId="8" fillId="0" borderId="1" xfId="0" applyNumberFormat="1" applyFont="1" applyFill="1" applyBorder="1" applyAlignment="1" applyProtection="1">
      <alignment horizontal="left" vertical="top" wrapText="1"/>
    </xf>
    <xf numFmtId="0" fontId="36" fillId="0" borderId="2" xfId="0" applyNumberFormat="1" applyFont="1" applyFill="1" applyBorder="1" applyAlignment="1" applyProtection="1">
      <alignment vertical="top" wrapText="1"/>
    </xf>
    <xf numFmtId="0" fontId="2" fillId="0" borderId="1" xfId="0" applyNumberFormat="1" applyFont="1" applyFill="1" applyBorder="1" applyAlignment="1" applyProtection="1">
      <alignment horizontal="center" vertical="top" wrapText="1"/>
    </xf>
    <xf numFmtId="49" fontId="25" fillId="0" borderId="1" xfId="0" applyNumberFormat="1" applyFont="1" applyFill="1" applyBorder="1" applyAlignment="1" applyProtection="1">
      <alignment horizontal="center" vertical="top" wrapText="1"/>
    </xf>
    <xf numFmtId="49" fontId="1" fillId="0" borderId="1" xfId="0" applyNumberFormat="1" applyFont="1" applyFill="1" applyBorder="1" applyAlignment="1" applyProtection="1">
      <alignment horizontal="center" vertical="top" wrapText="1"/>
    </xf>
    <xf numFmtId="0" fontId="13" fillId="0" borderId="3" xfId="0" applyNumberFormat="1" applyFont="1" applyFill="1" applyBorder="1" applyAlignment="1" applyProtection="1">
      <alignment horizontal="left" vertical="top" wrapText="1"/>
    </xf>
    <xf numFmtId="167" fontId="2" fillId="0" borderId="2" xfId="0" applyNumberFormat="1" applyFont="1" applyFill="1" applyBorder="1" applyAlignment="1" applyProtection="1">
      <alignment horizontal="left" vertical="top" wrapText="1"/>
    </xf>
    <xf numFmtId="0" fontId="13" fillId="0" borderId="3" xfId="0" applyNumberFormat="1" applyFont="1" applyFill="1" applyBorder="1" applyAlignment="1" applyProtection="1">
      <alignment horizontal="left" vertical="top"/>
    </xf>
    <xf numFmtId="0" fontId="13" fillId="0" borderId="4" xfId="0" applyNumberFormat="1" applyFont="1" applyFill="1" applyBorder="1" applyAlignment="1" applyProtection="1">
      <alignment horizontal="left" vertical="top"/>
    </xf>
    <xf numFmtId="0" fontId="5" fillId="0" borderId="2" xfId="0" applyNumberFormat="1" applyFont="1" applyFill="1" applyBorder="1" applyAlignment="1" applyProtection="1">
      <alignment horizontal="left" vertical="center" wrapText="1"/>
    </xf>
    <xf numFmtId="0" fontId="13" fillId="0" borderId="3" xfId="0" applyNumberFormat="1" applyFont="1" applyFill="1" applyBorder="1" applyAlignment="1" applyProtection="1">
      <alignment horizontal="left" vertical="center" wrapText="1"/>
    </xf>
    <xf numFmtId="0" fontId="18" fillId="0" borderId="3" xfId="0" applyNumberFormat="1" applyFont="1" applyFill="1" applyBorder="1" applyAlignment="1" applyProtection="1">
      <alignment horizontal="center" vertical="center" wrapText="1"/>
    </xf>
    <xf numFmtId="0" fontId="18" fillId="0" borderId="4" xfId="0" applyNumberFormat="1" applyFont="1" applyFill="1" applyBorder="1" applyAlignment="1" applyProtection="1">
      <alignment horizontal="center" vertical="center" wrapText="1"/>
    </xf>
    <xf numFmtId="49" fontId="22" fillId="0" borderId="2" xfId="0" applyNumberFormat="1" applyFont="1" applyFill="1" applyBorder="1" applyAlignment="1" applyProtection="1">
      <alignment horizontal="center" vertical="center" wrapText="1"/>
    </xf>
    <xf numFmtId="0" fontId="23" fillId="0" borderId="3" xfId="0" applyNumberFormat="1" applyFont="1" applyFill="1" applyBorder="1" applyAlignment="1" applyProtection="1">
      <alignment horizontal="center" vertical="center" wrapText="1"/>
    </xf>
    <xf numFmtId="0" fontId="23" fillId="0" borderId="4" xfId="0" applyNumberFormat="1" applyFont="1" applyFill="1" applyBorder="1" applyAlignment="1" applyProtection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left" vertical="center" wrapText="1"/>
    </xf>
    <xf numFmtId="0" fontId="11" fillId="0" borderId="3" xfId="0" applyNumberFormat="1" applyFont="1" applyFill="1" applyBorder="1" applyAlignment="1" applyProtection="1">
      <alignment horizontal="left" vertical="center" wrapText="1"/>
    </xf>
    <xf numFmtId="0" fontId="11" fillId="0" borderId="4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/>
      <protection locked="0"/>
    </xf>
    <xf numFmtId="167" fontId="2" fillId="0" borderId="15" xfId="0" applyNumberFormat="1" applyFont="1" applyFill="1" applyBorder="1" applyAlignment="1" applyProtection="1">
      <alignment horizontal="center" vertical="center" wrapText="1"/>
    </xf>
    <xf numFmtId="167" fontId="2" fillId="0" borderId="0" xfId="0" applyNumberFormat="1" applyFont="1" applyFill="1" applyBorder="1" applyAlignment="1" applyProtection="1">
      <alignment horizontal="center" vertical="center" wrapText="1"/>
    </xf>
    <xf numFmtId="167" fontId="2" fillId="0" borderId="13" xfId="0" applyNumberFormat="1" applyFont="1" applyFill="1" applyBorder="1" applyAlignment="1" applyProtection="1">
      <alignment horizontal="center" vertical="center" wrapText="1"/>
    </xf>
    <xf numFmtId="167" fontId="2" fillId="0" borderId="7" xfId="0" applyNumberFormat="1" applyFont="1" applyFill="1" applyBorder="1" applyAlignment="1" applyProtection="1">
      <alignment horizontal="center" vertical="center" wrapText="1"/>
    </xf>
    <xf numFmtId="167" fontId="2" fillId="0" borderId="8" xfId="0" applyNumberFormat="1" applyFont="1" applyFill="1" applyBorder="1" applyAlignment="1" applyProtection="1">
      <alignment horizontal="center" vertical="center" wrapText="1"/>
    </xf>
    <xf numFmtId="167" fontId="2" fillId="0" borderId="9" xfId="0" applyNumberFormat="1" applyFont="1" applyFill="1" applyBorder="1" applyAlignment="1" applyProtection="1">
      <alignment horizontal="center" vertical="center" wrapText="1"/>
    </xf>
    <xf numFmtId="167" fontId="2" fillId="0" borderId="3" xfId="0" applyNumberFormat="1" applyFont="1" applyFill="1" applyBorder="1" applyAlignment="1" applyProtection="1">
      <alignment horizontal="center"/>
    </xf>
    <xf numFmtId="167" fontId="2" fillId="0" borderId="1" xfId="0" applyNumberFormat="1" applyFont="1" applyFill="1" applyBorder="1" applyAlignment="1" applyProtection="1">
      <alignment horizontal="center"/>
    </xf>
    <xf numFmtId="1" fontId="2" fillId="0" borderId="1" xfId="0" applyNumberFormat="1" applyFont="1" applyFill="1" applyBorder="1" applyAlignment="1" applyProtection="1">
      <alignment horizontal="center"/>
    </xf>
    <xf numFmtId="0" fontId="8" fillId="0" borderId="3" xfId="0" applyNumberFormat="1" applyFont="1" applyFill="1" applyBorder="1" applyAlignment="1" applyProtection="1">
      <alignment horizontal="left" vertical="top" wrapText="1"/>
    </xf>
    <xf numFmtId="0" fontId="18" fillId="0" borderId="2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left" vertical="top" wrapText="1"/>
    </xf>
    <xf numFmtId="0" fontId="13" fillId="0" borderId="4" xfId="0" applyNumberFormat="1" applyFont="1" applyFill="1" applyBorder="1" applyAlignment="1" applyProtection="1">
      <alignment horizontal="left" wrapText="1"/>
    </xf>
    <xf numFmtId="0" fontId="13" fillId="0" borderId="2" xfId="0" applyNumberFormat="1" applyFont="1" applyFill="1" applyBorder="1" applyAlignment="1" applyProtection="1">
      <alignment horizontal="center"/>
    </xf>
    <xf numFmtId="0" fontId="22" fillId="0" borderId="2" xfId="0" applyNumberFormat="1" applyFont="1" applyFill="1" applyBorder="1" applyAlignment="1" applyProtection="1">
      <alignment horizontal="center" vertical="center" wrapText="1"/>
    </xf>
    <xf numFmtId="0" fontId="22" fillId="0" borderId="3" xfId="0" applyNumberFormat="1" applyFont="1" applyFill="1" applyBorder="1" applyAlignment="1" applyProtection="1">
      <alignment horizontal="center" vertical="center" wrapText="1"/>
    </xf>
    <xf numFmtId="0" fontId="22" fillId="0" borderId="4" xfId="0" applyNumberFormat="1" applyFont="1" applyFill="1" applyBorder="1" applyAlignment="1" applyProtection="1">
      <alignment horizontal="center" vertical="center" wrapText="1"/>
    </xf>
    <xf numFmtId="0" fontId="13" fillId="0" borderId="3" xfId="0" applyNumberFormat="1" applyFont="1" applyFill="1" applyBorder="1" applyAlignment="1" applyProtection="1">
      <alignment horizontal="left" wrapText="1"/>
    </xf>
    <xf numFmtId="0" fontId="13" fillId="0" borderId="4" xfId="0" applyNumberFormat="1" applyFont="1" applyFill="1" applyBorder="1" applyAlignment="1" applyProtection="1">
      <alignment horizontal="left" vertical="top" wrapText="1"/>
    </xf>
    <xf numFmtId="0" fontId="13" fillId="0" borderId="2" xfId="0" applyNumberFormat="1" applyFont="1" applyFill="1" applyBorder="1" applyAlignment="1" applyProtection="1">
      <alignment horizontal="left" vertical="top" wrapText="1"/>
    </xf>
    <xf numFmtId="0" fontId="1" fillId="0" borderId="2" xfId="0" applyNumberFormat="1" applyFont="1" applyFill="1" applyBorder="1" applyAlignment="1" applyProtection="1">
      <alignment horizontal="center"/>
    </xf>
    <xf numFmtId="0" fontId="1" fillId="0" borderId="4" xfId="0" applyNumberFormat="1" applyFont="1" applyFill="1" applyBorder="1" applyAlignment="1" applyProtection="1">
      <alignment horizontal="center"/>
    </xf>
    <xf numFmtId="0" fontId="24" fillId="0" borderId="2" xfId="0" applyNumberFormat="1" applyFont="1" applyFill="1" applyBorder="1" applyAlignment="1" applyProtection="1">
      <alignment horizontal="left" vertical="center" wrapText="1"/>
    </xf>
    <xf numFmtId="167" fontId="2" fillId="0" borderId="1" xfId="0" applyNumberFormat="1" applyFont="1" applyFill="1" applyBorder="1" applyAlignment="1" applyProtection="1">
      <alignment horizontal="left" vertical="center" wrapText="1"/>
    </xf>
    <xf numFmtId="0" fontId="13" fillId="0" borderId="1" xfId="0" applyNumberFormat="1" applyFont="1" applyFill="1" applyBorder="1" applyAlignment="1" applyProtection="1">
      <alignment horizontal="left" vertical="center" wrapText="1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13" fillId="0" borderId="2" xfId="0" applyNumberFormat="1" applyFont="1" applyFill="1" applyBorder="1" applyAlignment="1" applyProtection="1">
      <alignment horizontal="left" vertical="center" wrapText="1"/>
    </xf>
    <xf numFmtId="0" fontId="24" fillId="0" borderId="2" xfId="0" applyNumberFormat="1" applyFont="1" applyFill="1" applyBorder="1" applyAlignment="1" applyProtection="1">
      <alignment horizontal="center" vertical="center" wrapText="1"/>
    </xf>
    <xf numFmtId="167" fontId="2" fillId="0" borderId="2" xfId="0" applyNumberFormat="1" applyFont="1" applyFill="1" applyBorder="1" applyAlignment="1" applyProtection="1">
      <alignment horizontal="left" wrapText="1"/>
    </xf>
    <xf numFmtId="167" fontId="2" fillId="0" borderId="3" xfId="0" applyNumberFormat="1" applyFont="1" applyFill="1" applyBorder="1" applyAlignment="1" applyProtection="1">
      <alignment horizontal="left" wrapText="1"/>
    </xf>
    <xf numFmtId="167" fontId="2" fillId="0" borderId="4" xfId="0" applyNumberFormat="1" applyFont="1" applyFill="1" applyBorder="1" applyAlignment="1" applyProtection="1">
      <alignment horizontal="left" wrapText="1"/>
    </xf>
    <xf numFmtId="167" fontId="4" fillId="0" borderId="2" xfId="0" applyNumberFormat="1" applyFont="1" applyFill="1" applyBorder="1" applyAlignment="1" applyProtection="1">
      <alignment horizontal="left" wrapText="1"/>
    </xf>
    <xf numFmtId="167" fontId="4" fillId="0" borderId="3" xfId="0" applyNumberFormat="1" applyFont="1" applyFill="1" applyBorder="1" applyAlignment="1" applyProtection="1">
      <alignment horizontal="left" wrapText="1"/>
    </xf>
    <xf numFmtId="167" fontId="20" fillId="0" borderId="1" xfId="0" applyNumberFormat="1" applyFont="1" applyFill="1" applyBorder="1" applyAlignment="1" applyProtection="1">
      <alignment horizontal="center" vertical="center"/>
    </xf>
    <xf numFmtId="167" fontId="2" fillId="0" borderId="3" xfId="0" applyNumberFormat="1" applyFont="1" applyFill="1" applyBorder="1" applyAlignment="1" applyProtection="1">
      <alignment horizontal="left" vertical="top" wrapText="1"/>
    </xf>
    <xf numFmtId="0" fontId="16" fillId="0" borderId="2" xfId="0" applyNumberFormat="1" applyFont="1" applyFill="1" applyBorder="1" applyAlignment="1" applyProtection="1">
      <alignment horizontal="left" vertical="center" wrapText="1"/>
    </xf>
    <xf numFmtId="0" fontId="24" fillId="0" borderId="2" xfId="0" applyNumberFormat="1" applyFont="1" applyFill="1" applyBorder="1" applyAlignment="1" applyProtection="1">
      <alignment vertical="center" wrapText="1"/>
    </xf>
    <xf numFmtId="0" fontId="18" fillId="0" borderId="3" xfId="0" applyNumberFormat="1" applyFont="1" applyFill="1" applyBorder="1" applyAlignment="1" applyProtection="1">
      <alignment vertical="center" wrapText="1"/>
    </xf>
    <xf numFmtId="0" fontId="18" fillId="0" borderId="4" xfId="0" applyNumberFormat="1" applyFont="1" applyFill="1" applyBorder="1" applyAlignment="1" applyProtection="1">
      <alignment vertical="center" wrapText="1"/>
    </xf>
    <xf numFmtId="167" fontId="36" fillId="0" borderId="2" xfId="0" applyNumberFormat="1" applyFont="1" applyFill="1" applyBorder="1" applyAlignment="1" applyProtection="1">
      <alignment horizontal="left" vertical="center" wrapText="1"/>
    </xf>
    <xf numFmtId="167" fontId="36" fillId="0" borderId="4" xfId="0" applyNumberFormat="1" applyFont="1" applyFill="1" applyBorder="1" applyAlignment="1" applyProtection="1">
      <alignment horizontal="left" vertical="center" wrapText="1"/>
    </xf>
    <xf numFmtId="167" fontId="2" fillId="0" borderId="4" xfId="0" applyNumberFormat="1" applyFont="1" applyFill="1" applyBorder="1" applyAlignment="1" applyProtection="1">
      <alignment horizontal="left" vertical="top" wrapText="1"/>
    </xf>
    <xf numFmtId="0" fontId="7" fillId="0" borderId="2" xfId="0" applyNumberFormat="1" applyFont="1" applyFill="1" applyBorder="1" applyAlignment="1" applyProtection="1">
      <alignment horizontal="left" vertical="center"/>
    </xf>
    <xf numFmtId="0" fontId="13" fillId="0" borderId="3" xfId="0" applyNumberFormat="1" applyFont="1" applyFill="1" applyBorder="1" applyAlignment="1" applyProtection="1">
      <alignment horizontal="left" vertical="center"/>
    </xf>
    <xf numFmtId="0" fontId="13" fillId="0" borderId="4" xfId="0" applyNumberFormat="1" applyFont="1" applyFill="1" applyBorder="1" applyAlignment="1" applyProtection="1">
      <alignment horizontal="left" vertical="center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49" fontId="22" fillId="0" borderId="3" xfId="0" applyNumberFormat="1" applyFont="1" applyFill="1" applyBorder="1" applyAlignment="1" applyProtection="1">
      <alignment horizontal="center" vertical="center" wrapText="1"/>
    </xf>
    <xf numFmtId="49" fontId="22" fillId="0" borderId="4" xfId="0" applyNumberFormat="1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3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left"/>
    </xf>
    <xf numFmtId="0" fontId="18" fillId="0" borderId="3" xfId="0" applyNumberFormat="1" applyFont="1" applyFill="1" applyBorder="1" applyAlignment="1" applyProtection="1">
      <alignment horizontal="center" vertical="center" shrinkToFit="1"/>
    </xf>
    <xf numFmtId="49" fontId="22" fillId="0" borderId="2" xfId="0" applyNumberFormat="1" applyFont="1" applyFill="1" applyBorder="1" applyAlignment="1" applyProtection="1">
      <alignment horizontal="center" vertical="center"/>
    </xf>
    <xf numFmtId="49" fontId="22" fillId="0" borderId="3" xfId="0" applyNumberFormat="1" applyFont="1" applyFill="1" applyBorder="1" applyAlignment="1" applyProtection="1">
      <alignment horizontal="center" vertical="center"/>
    </xf>
    <xf numFmtId="49" fontId="22" fillId="0" borderId="4" xfId="0" applyNumberFormat="1" applyFont="1" applyFill="1" applyBorder="1" applyAlignment="1" applyProtection="1">
      <alignment horizontal="center" vertical="center"/>
    </xf>
    <xf numFmtId="0" fontId="29" fillId="0" borderId="2" xfId="0" applyNumberFormat="1" applyFont="1" applyFill="1" applyBorder="1" applyAlignment="1" applyProtection="1">
      <alignment vertical="center" wrapText="1"/>
    </xf>
    <xf numFmtId="49" fontId="24" fillId="0" borderId="2" xfId="0" applyNumberFormat="1" applyFont="1" applyFill="1" applyBorder="1" applyAlignment="1" applyProtection="1">
      <alignment horizontal="left" vertical="center" wrapText="1"/>
    </xf>
    <xf numFmtId="49" fontId="2" fillId="0" borderId="3" xfId="0" applyNumberFormat="1" applyFont="1" applyFill="1" applyBorder="1" applyAlignment="1" applyProtection="1">
      <alignment horizontal="left" vertical="center" wrapText="1"/>
    </xf>
    <xf numFmtId="49" fontId="2" fillId="0" borderId="4" xfId="0" applyNumberFormat="1" applyFont="1" applyFill="1" applyBorder="1" applyAlignment="1" applyProtection="1">
      <alignment horizontal="left" vertical="center" wrapText="1"/>
    </xf>
    <xf numFmtId="0" fontId="24" fillId="0" borderId="2" xfId="0" applyNumberFormat="1" applyFont="1" applyFill="1" applyBorder="1" applyAlignment="1" applyProtection="1">
      <alignment horizontal="left" vertical="top" wrapText="1"/>
    </xf>
    <xf numFmtId="0" fontId="24" fillId="0" borderId="3" xfId="0" applyNumberFormat="1" applyFont="1" applyFill="1" applyBorder="1" applyAlignment="1" applyProtection="1">
      <alignment horizontal="left" vertical="top" wrapText="1"/>
    </xf>
    <xf numFmtId="0" fontId="24" fillId="0" borderId="4" xfId="0" applyNumberFormat="1" applyFont="1" applyFill="1" applyBorder="1" applyAlignment="1" applyProtection="1">
      <alignment horizontal="left" vertical="top" wrapText="1"/>
    </xf>
    <xf numFmtId="0" fontId="7" fillId="0" borderId="1" xfId="0" applyNumberFormat="1" applyFont="1" applyFill="1" applyBorder="1" applyAlignment="1" applyProtection="1">
      <alignment horizontal="left" vertical="center" wrapText="1"/>
    </xf>
    <xf numFmtId="0" fontId="22" fillId="0" borderId="2" xfId="0" applyNumberFormat="1" applyFont="1" applyFill="1" applyBorder="1" applyAlignment="1" applyProtection="1">
      <alignment horizontal="center" vertical="center"/>
    </xf>
    <xf numFmtId="0" fontId="18" fillId="0" borderId="4" xfId="0" applyNumberFormat="1" applyFont="1" applyFill="1" applyBorder="1" applyAlignment="1" applyProtection="1">
      <alignment horizontal="center" vertical="center"/>
    </xf>
    <xf numFmtId="0" fontId="13" fillId="0" borderId="2" xfId="0" applyNumberFormat="1" applyFont="1" applyFill="1" applyBorder="1" applyAlignment="1" applyProtection="1">
      <alignment horizontal="left" vertical="center"/>
    </xf>
    <xf numFmtId="0" fontId="18" fillId="0" borderId="3" xfId="0" applyNumberFormat="1" applyFont="1" applyFill="1" applyBorder="1" applyAlignment="1" applyProtection="1">
      <alignment vertical="center"/>
    </xf>
    <xf numFmtId="0" fontId="18" fillId="0" borderId="3" xfId="0" applyNumberFormat="1" applyFont="1" applyFill="1" applyBorder="1" applyAlignment="1" applyProtection="1">
      <alignment horizontal="center" vertical="top" wrapText="1"/>
    </xf>
    <xf numFmtId="0" fontId="18" fillId="0" borderId="4" xfId="0" applyNumberFormat="1" applyFont="1" applyFill="1" applyBorder="1" applyAlignment="1" applyProtection="1">
      <alignment vertical="top" wrapText="1"/>
    </xf>
    <xf numFmtId="0" fontId="8" fillId="0" borderId="2" xfId="0" applyNumberFormat="1" applyFont="1" applyFill="1" applyBorder="1" applyAlignment="1" applyProtection="1">
      <alignment horizontal="left" vertical="center" wrapText="1"/>
    </xf>
    <xf numFmtId="0" fontId="8" fillId="0" borderId="3" xfId="0" applyNumberFormat="1" applyFont="1" applyFill="1" applyBorder="1" applyAlignment="1" applyProtection="1">
      <alignment horizontal="left" vertical="center" wrapText="1"/>
    </xf>
    <xf numFmtId="0" fontId="8" fillId="0" borderId="4" xfId="0" applyNumberFormat="1" applyFont="1" applyFill="1" applyBorder="1" applyAlignment="1" applyProtection="1">
      <alignment horizontal="left" vertical="center" wrapText="1"/>
    </xf>
    <xf numFmtId="49" fontId="22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horizontal="left" vertical="center" wrapText="1"/>
    </xf>
    <xf numFmtId="167" fontId="20" fillId="0" borderId="3" xfId="0" applyNumberFormat="1" applyFont="1" applyFill="1" applyBorder="1" applyAlignment="1" applyProtection="1">
      <alignment horizontal="center" vertical="center"/>
    </xf>
    <xf numFmtId="0" fontId="24" fillId="0" borderId="1" xfId="0" applyNumberFormat="1" applyFont="1" applyFill="1" applyBorder="1" applyAlignment="1" applyProtection="1">
      <alignment vertical="top" wrapText="1"/>
    </xf>
    <xf numFmtId="0" fontId="24" fillId="0" borderId="2" xfId="0" applyNumberFormat="1" applyFont="1" applyFill="1" applyBorder="1" applyAlignment="1" applyProtection="1">
      <alignment vertical="top" wrapText="1"/>
    </xf>
    <xf numFmtId="49" fontId="25" fillId="0" borderId="3" xfId="0" applyNumberFormat="1" applyFont="1" applyFill="1" applyBorder="1" applyAlignment="1" applyProtection="1">
      <alignment horizontal="center" vertical="center" wrapText="1"/>
    </xf>
    <xf numFmtId="0" fontId="1" fillId="0" borderId="4" xfId="0" applyNumberFormat="1" applyFont="1" applyFill="1" applyBorder="1" applyAlignment="1" applyProtection="1">
      <alignment vertical="center" wrapText="1"/>
    </xf>
    <xf numFmtId="0" fontId="16" fillId="0" borderId="3" xfId="0" applyNumberFormat="1" applyFont="1" applyFill="1" applyBorder="1" applyAlignment="1" applyProtection="1">
      <alignment horizontal="left" vertical="center" wrapText="1"/>
    </xf>
    <xf numFmtId="0" fontId="16" fillId="0" borderId="4" xfId="0" applyNumberFormat="1" applyFont="1" applyFill="1" applyBorder="1" applyAlignment="1" applyProtection="1">
      <alignment horizontal="left" vertical="center" wrapText="1"/>
    </xf>
    <xf numFmtId="0" fontId="22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/>
      <protection locked="0"/>
    </xf>
    <xf numFmtId="167" fontId="4" fillId="0" borderId="0" xfId="0" applyNumberFormat="1" applyFont="1" applyFill="1" applyBorder="1" applyAlignment="1" applyProtection="1">
      <alignment horizontal="center" wrapText="1"/>
    </xf>
    <xf numFmtId="0" fontId="4" fillId="0" borderId="1" xfId="0" applyNumberFormat="1" applyFont="1" applyFill="1" applyBorder="1" applyAlignment="1" applyProtection="1">
      <alignment vertical="center" wrapText="1"/>
    </xf>
    <xf numFmtId="0" fontId="4" fillId="0" borderId="2" xfId="0" applyNumberFormat="1" applyFont="1" applyFill="1" applyBorder="1" applyAlignment="1" applyProtection="1">
      <alignment horizontal="left" vertical="center" wrapText="1"/>
    </xf>
    <xf numFmtId="0" fontId="4" fillId="0" borderId="3" xfId="0" applyNumberFormat="1" applyFont="1" applyFill="1" applyBorder="1" applyAlignment="1" applyProtection="1">
      <alignment horizontal="left" vertical="center" wrapText="1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67" fontId="4" fillId="0" borderId="1" xfId="0" applyNumberFormat="1" applyFont="1" applyFill="1" applyBorder="1" applyAlignment="1" applyProtection="1">
      <alignment horizontal="center" vertical="center" wrapText="1"/>
    </xf>
    <xf numFmtId="167" fontId="4" fillId="0" borderId="7" xfId="0" applyNumberFormat="1" applyFont="1" applyFill="1" applyBorder="1" applyAlignment="1" applyProtection="1">
      <alignment horizontal="center" vertical="center" wrapText="1"/>
    </xf>
    <xf numFmtId="167" fontId="4" fillId="0" borderId="8" xfId="0" applyNumberFormat="1" applyFont="1" applyFill="1" applyBorder="1" applyAlignment="1" applyProtection="1">
      <alignment horizontal="center" vertical="center" wrapText="1"/>
    </xf>
    <xf numFmtId="167" fontId="4" fillId="0" borderId="9" xfId="0" applyNumberFormat="1" applyFont="1" applyFill="1" applyBorder="1" applyAlignment="1" applyProtection="1">
      <alignment horizontal="center" vertical="center" wrapText="1"/>
    </xf>
    <xf numFmtId="167" fontId="4" fillId="0" borderId="15" xfId="0" applyNumberFormat="1" applyFont="1" applyFill="1" applyBorder="1" applyAlignment="1" applyProtection="1">
      <alignment horizontal="center" vertical="center" wrapText="1"/>
    </xf>
    <xf numFmtId="167" fontId="4" fillId="0" borderId="0" xfId="0" applyNumberFormat="1" applyFont="1" applyFill="1" applyBorder="1" applyAlignment="1" applyProtection="1">
      <alignment horizontal="center" vertical="center" wrapText="1"/>
    </xf>
    <xf numFmtId="167" fontId="4" fillId="0" borderId="13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wrapText="1"/>
    </xf>
    <xf numFmtId="0" fontId="4" fillId="0" borderId="3" xfId="0" applyNumberFormat="1" applyFont="1" applyFill="1" applyBorder="1" applyAlignment="1" applyProtection="1">
      <alignment wrapText="1"/>
    </xf>
    <xf numFmtId="0" fontId="4" fillId="0" borderId="4" xfId="0" applyNumberFormat="1" applyFont="1" applyFill="1" applyBorder="1" applyAlignment="1" applyProtection="1">
      <alignment wrapText="1"/>
    </xf>
    <xf numFmtId="1" fontId="4" fillId="0" borderId="3" xfId="0" applyNumberFormat="1" applyFont="1" applyFill="1" applyBorder="1" applyAlignment="1" applyProtection="1">
      <alignment horizontal="center" wrapText="1"/>
    </xf>
    <xf numFmtId="0" fontId="4" fillId="0" borderId="2" xfId="0" applyNumberFormat="1" applyFont="1" applyFill="1" applyBorder="1" applyAlignment="1" applyProtection="1">
      <alignment horizontal="left" wrapText="1"/>
    </xf>
    <xf numFmtId="0" fontId="4" fillId="0" borderId="3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/>
    </xf>
    <xf numFmtId="167" fontId="4" fillId="0" borderId="2" xfId="0" applyNumberFormat="1" applyFont="1" applyFill="1" applyBorder="1" applyAlignment="1" applyProtection="1">
      <alignment horizontal="left" vertical="top" wrapText="1"/>
    </xf>
    <xf numFmtId="0" fontId="16" fillId="0" borderId="3" xfId="0" applyNumberFormat="1" applyFont="1" applyFill="1" applyBorder="1" applyAlignment="1" applyProtection="1">
      <alignment horizontal="left" vertical="top"/>
    </xf>
    <xf numFmtId="0" fontId="16" fillId="0" borderId="4" xfId="0" applyNumberFormat="1" applyFont="1" applyFill="1" applyBorder="1" applyAlignment="1" applyProtection="1">
      <alignment horizontal="left" vertical="top"/>
    </xf>
    <xf numFmtId="0" fontId="4" fillId="0" borderId="1" xfId="0" applyNumberFormat="1" applyFont="1" applyFill="1" applyBorder="1" applyAlignment="1" applyProtection="1">
      <alignment horizontal="left" vertical="center" wrapText="1"/>
    </xf>
    <xf numFmtId="49" fontId="4" fillId="0" borderId="2" xfId="0" applyNumberFormat="1" applyFont="1" applyFill="1" applyBorder="1" applyAlignment="1" applyProtection="1">
      <alignment vertical="top" wrapText="1"/>
    </xf>
    <xf numFmtId="49" fontId="4" fillId="0" borderId="3" xfId="0" applyNumberFormat="1" applyFont="1" applyFill="1" applyBorder="1" applyAlignment="1" applyProtection="1">
      <alignment vertical="top" wrapText="1"/>
    </xf>
    <xf numFmtId="49" fontId="4" fillId="0" borderId="4" xfId="0" applyNumberFormat="1" applyFont="1" applyFill="1" applyBorder="1" applyAlignment="1" applyProtection="1">
      <alignment vertical="top" wrapText="1"/>
    </xf>
    <xf numFmtId="49" fontId="22" fillId="3" borderId="2" xfId="0" applyNumberFormat="1" applyFont="1" applyFill="1" applyBorder="1" applyAlignment="1" applyProtection="1">
      <alignment horizontal="center" vertical="center" wrapText="1"/>
    </xf>
    <xf numFmtId="49" fontId="22" fillId="3" borderId="3" xfId="0" applyNumberFormat="1" applyFont="1" applyFill="1" applyBorder="1" applyAlignment="1" applyProtection="1">
      <alignment horizontal="center" vertical="center" wrapText="1"/>
    </xf>
    <xf numFmtId="49" fontId="22" fillId="3" borderId="4" xfId="0" applyNumberFormat="1" applyFont="1" applyFill="1" applyBorder="1" applyAlignment="1" applyProtection="1">
      <alignment horizontal="center" vertical="center" wrapText="1"/>
    </xf>
    <xf numFmtId="0" fontId="30" fillId="0" borderId="2" xfId="0" applyNumberFormat="1" applyFont="1" applyFill="1" applyBorder="1" applyAlignment="1" applyProtection="1">
      <alignment horizontal="left" vertical="center" wrapText="1"/>
    </xf>
    <xf numFmtId="0" fontId="30" fillId="0" borderId="3" xfId="0" applyNumberFormat="1" applyFont="1" applyFill="1" applyBorder="1" applyAlignment="1" applyProtection="1">
      <alignment horizontal="left" vertical="center" wrapText="1"/>
    </xf>
    <xf numFmtId="0" fontId="30" fillId="0" borderId="4" xfId="0" applyNumberFormat="1" applyFont="1" applyFill="1" applyBorder="1" applyAlignment="1" applyProtection="1">
      <alignment horizontal="left" vertical="center" wrapText="1"/>
    </xf>
    <xf numFmtId="0" fontId="4" fillId="0" borderId="1" xfId="0" applyNumberFormat="1" applyFont="1" applyFill="1" applyBorder="1" applyAlignment="1" applyProtection="1">
      <alignment horizontal="left" vertical="top" wrapText="1"/>
    </xf>
    <xf numFmtId="0" fontId="4" fillId="0" borderId="2" xfId="0" applyNumberFormat="1" applyFont="1" applyFill="1" applyBorder="1" applyAlignment="1" applyProtection="1">
      <alignment vertical="top" wrapText="1"/>
    </xf>
    <xf numFmtId="0" fontId="16" fillId="0" borderId="3" xfId="0" applyNumberFormat="1" applyFont="1" applyFill="1" applyBorder="1" applyAlignment="1" applyProtection="1">
      <alignment vertical="top" wrapText="1"/>
    </xf>
    <xf numFmtId="0" fontId="16" fillId="0" borderId="4" xfId="0" applyNumberFormat="1" applyFont="1" applyFill="1" applyBorder="1" applyAlignment="1" applyProtection="1">
      <alignment vertical="top" wrapText="1"/>
    </xf>
    <xf numFmtId="0" fontId="4" fillId="0" borderId="3" xfId="0" applyNumberFormat="1" applyFont="1" applyFill="1" applyBorder="1" applyAlignment="1" applyProtection="1">
      <alignment vertical="top" wrapText="1"/>
    </xf>
    <xf numFmtId="0" fontId="4" fillId="0" borderId="4" xfId="0" applyNumberFormat="1" applyFont="1" applyFill="1" applyBorder="1" applyAlignment="1" applyProtection="1">
      <alignment vertical="top" wrapText="1"/>
    </xf>
    <xf numFmtId="0" fontId="4" fillId="0" borderId="3" xfId="0" applyNumberFormat="1" applyFont="1" applyFill="1" applyBorder="1" applyAlignment="1" applyProtection="1">
      <alignment vertical="center" wrapText="1"/>
    </xf>
    <xf numFmtId="0" fontId="4" fillId="0" borderId="2" xfId="0" applyNumberFormat="1" applyFont="1" applyFill="1" applyBorder="1" applyAlignment="1" applyProtection="1">
      <alignment horizontal="left" vertical="top" wrapText="1"/>
    </xf>
    <xf numFmtId="0" fontId="4" fillId="0" borderId="3" xfId="0" applyNumberFormat="1" applyFont="1" applyFill="1" applyBorder="1" applyAlignment="1" applyProtection="1">
      <alignment horizontal="left" vertical="top" wrapText="1"/>
    </xf>
    <xf numFmtId="167" fontId="4" fillId="0" borderId="3" xfId="0" applyNumberFormat="1" applyFont="1" applyFill="1" applyBorder="1" applyAlignment="1" applyProtection="1">
      <alignment horizontal="left" vertical="top" wrapText="1"/>
    </xf>
    <xf numFmtId="167" fontId="4" fillId="0" borderId="4" xfId="0" applyNumberFormat="1" applyFont="1" applyFill="1" applyBorder="1" applyAlignment="1" applyProtection="1">
      <alignment horizontal="left" vertical="top" wrapText="1"/>
    </xf>
    <xf numFmtId="49" fontId="4" fillId="0" borderId="2" xfId="0" applyNumberFormat="1" applyFont="1" applyFill="1" applyBorder="1" applyAlignment="1" applyProtection="1">
      <alignment vertical="center" wrapText="1"/>
    </xf>
    <xf numFmtId="49" fontId="4" fillId="0" borderId="3" xfId="0" applyNumberFormat="1" applyFont="1" applyFill="1" applyBorder="1" applyAlignment="1" applyProtection="1">
      <alignment vertical="center" wrapText="1"/>
    </xf>
    <xf numFmtId="49" fontId="4" fillId="0" borderId="4" xfId="0" applyNumberFormat="1" applyFont="1" applyFill="1" applyBorder="1" applyAlignment="1" applyProtection="1">
      <alignment vertical="center" wrapText="1"/>
    </xf>
    <xf numFmtId="0" fontId="4" fillId="0" borderId="1" xfId="0" applyNumberFormat="1" applyFont="1" applyFill="1" applyBorder="1" applyAlignment="1" applyProtection="1">
      <alignment vertical="top" wrapText="1"/>
    </xf>
    <xf numFmtId="0" fontId="16" fillId="0" borderId="1" xfId="0" applyNumberFormat="1" applyFont="1" applyFill="1" applyBorder="1" applyAlignment="1" applyProtection="1">
      <alignment vertical="top" wrapText="1"/>
    </xf>
    <xf numFmtId="49" fontId="4" fillId="0" borderId="3" xfId="0" applyNumberFormat="1" applyFont="1" applyFill="1" applyBorder="1" applyAlignment="1" applyProtection="1">
      <alignment horizontal="center" vertical="center" wrapText="1"/>
    </xf>
    <xf numFmtId="0" fontId="16" fillId="0" borderId="3" xfId="0" applyNumberFormat="1" applyFont="1" applyFill="1" applyBorder="1" applyAlignment="1" applyProtection="1">
      <alignment horizontal="center"/>
    </xf>
    <xf numFmtId="0" fontId="10" fillId="0" borderId="1" xfId="0" applyNumberFormat="1" applyFont="1" applyFill="1" applyBorder="1" applyAlignment="1" applyProtection="1">
      <alignment horizontal="left" vertical="top" wrapText="1"/>
    </xf>
    <xf numFmtId="0" fontId="4" fillId="0" borderId="4" xfId="0" applyNumberFormat="1" applyFont="1" applyFill="1" applyBorder="1" applyAlignment="1" applyProtection="1">
      <alignment horizontal="left" vertical="top" wrapText="1"/>
    </xf>
    <xf numFmtId="0" fontId="10" fillId="0" borderId="2" xfId="0" applyNumberFormat="1" applyFont="1" applyFill="1" applyBorder="1" applyAlignment="1" applyProtection="1">
      <alignment horizontal="left" vertical="top" wrapText="1"/>
    </xf>
    <xf numFmtId="0" fontId="10" fillId="0" borderId="3" xfId="0" applyNumberFormat="1" applyFont="1" applyFill="1" applyBorder="1" applyAlignment="1" applyProtection="1">
      <alignment horizontal="left" vertical="top" wrapText="1"/>
    </xf>
    <xf numFmtId="0" fontId="10" fillId="0" borderId="4" xfId="0" applyNumberFormat="1" applyFont="1" applyFill="1" applyBorder="1" applyAlignment="1" applyProtection="1">
      <alignment horizontal="left" vertical="top" wrapText="1"/>
    </xf>
    <xf numFmtId="0" fontId="23" fillId="0" borderId="2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23" fillId="0" borderId="1" xfId="0" applyNumberFormat="1" applyFont="1" applyFill="1" applyBorder="1" applyAlignment="1" applyProtection="1">
      <alignment horizontal="center" vertical="center" wrapText="1"/>
    </xf>
    <xf numFmtId="0" fontId="16" fillId="0" borderId="3" xfId="0" applyNumberFormat="1" applyFont="1" applyFill="1" applyBorder="1" applyAlignment="1" applyProtection="1">
      <alignment horizontal="left" vertical="top" wrapText="1"/>
    </xf>
    <xf numFmtId="1" fontId="4" fillId="0" borderId="3" xfId="0" applyNumberFormat="1" applyFont="1" applyFill="1" applyBorder="1" applyAlignment="1" applyProtection="1">
      <alignment horizontal="center" vertical="center"/>
    </xf>
    <xf numFmtId="49" fontId="22" fillId="0" borderId="2" xfId="0" applyNumberFormat="1" applyFont="1" applyFill="1" applyBorder="1" applyAlignment="1" applyProtection="1">
      <alignment horizontal="center" vertical="top" wrapText="1"/>
    </xf>
    <xf numFmtId="49" fontId="22" fillId="0" borderId="4" xfId="0" applyNumberFormat="1" applyFont="1" applyFill="1" applyBorder="1" applyAlignment="1" applyProtection="1">
      <alignment horizontal="center" vertical="top" wrapText="1"/>
    </xf>
    <xf numFmtId="167" fontId="4" fillId="0" borderId="2" xfId="0" applyNumberFormat="1" applyFont="1" applyFill="1" applyBorder="1" applyAlignment="1" applyProtection="1">
      <alignment horizontal="left" vertical="center" wrapText="1"/>
    </xf>
    <xf numFmtId="0" fontId="16" fillId="0" borderId="4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vertical="center" wrapText="1"/>
    </xf>
    <xf numFmtId="0" fontId="16" fillId="0" borderId="3" xfId="0" applyNumberFormat="1" applyFont="1" applyFill="1" applyBorder="1" applyAlignment="1" applyProtection="1">
      <alignment horizontal="left" wrapText="1"/>
    </xf>
    <xf numFmtId="0" fontId="22" fillId="0" borderId="3" xfId="0" applyNumberFormat="1" applyFont="1" applyFill="1" applyBorder="1" applyAlignment="1" applyProtection="1">
      <alignment horizontal="center" vertical="center"/>
    </xf>
    <xf numFmtId="0" fontId="16" fillId="0" borderId="4" xfId="0" applyNumberFormat="1" applyFont="1" applyFill="1" applyBorder="1" applyAlignment="1" applyProtection="1">
      <alignment horizontal="left" vertical="top" wrapText="1"/>
    </xf>
    <xf numFmtId="0" fontId="22" fillId="0" borderId="2" xfId="0" applyNumberFormat="1" applyFont="1" applyFill="1" applyBorder="1" applyAlignment="1" applyProtection="1">
      <alignment horizontal="center"/>
    </xf>
    <xf numFmtId="0" fontId="22" fillId="0" borderId="4" xfId="0" applyNumberFormat="1" applyFont="1" applyFill="1" applyBorder="1" applyAlignment="1" applyProtection="1">
      <alignment horizont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4" xfId="0" applyNumberFormat="1" applyFont="1" applyFill="1" applyBorder="1" applyAlignment="1" applyProtection="1">
      <alignment horizontal="left" vertical="center"/>
    </xf>
    <xf numFmtId="49" fontId="22" fillId="0" borderId="3" xfId="0" applyNumberFormat="1" applyFont="1" applyFill="1" applyBorder="1" applyAlignment="1" applyProtection="1">
      <alignment horizontal="center" vertical="top" wrapText="1"/>
    </xf>
    <xf numFmtId="167" fontId="4" fillId="0" borderId="1" xfId="0" applyNumberFormat="1" applyFont="1" applyFill="1" applyBorder="1" applyAlignment="1" applyProtection="1">
      <alignment horizontal="left" vertical="center" wrapText="1"/>
    </xf>
    <xf numFmtId="0" fontId="16" fillId="0" borderId="1" xfId="0" applyNumberFormat="1" applyFont="1" applyFill="1" applyBorder="1" applyAlignment="1" applyProtection="1">
      <alignment horizontal="left" vertical="center" wrapText="1"/>
    </xf>
    <xf numFmtId="167" fontId="4" fillId="0" borderId="4" xfId="0" applyNumberFormat="1" applyFont="1" applyFill="1" applyBorder="1" applyAlignment="1" applyProtection="1">
      <alignment horizontal="left" vertical="center" wrapText="1"/>
    </xf>
    <xf numFmtId="167" fontId="4" fillId="0" borderId="3" xfId="0" applyNumberFormat="1" applyFont="1" applyFill="1" applyBorder="1" applyAlignment="1" applyProtection="1">
      <alignment horizontal="left" vertical="center" wrapText="1"/>
    </xf>
    <xf numFmtId="49" fontId="4" fillId="0" borderId="4" xfId="0" applyNumberFormat="1" applyFont="1" applyFill="1" applyBorder="1" applyAlignment="1" applyProtection="1">
      <alignment horizontal="center" vertical="center" wrapText="1"/>
    </xf>
    <xf numFmtId="167" fontId="4" fillId="0" borderId="4" xfId="0" applyNumberFormat="1" applyFont="1" applyFill="1" applyBorder="1" applyAlignment="1" applyProtection="1">
      <alignment horizontal="left" wrapText="1"/>
    </xf>
    <xf numFmtId="167" fontId="4" fillId="0" borderId="2" xfId="0" applyNumberFormat="1" applyFont="1" applyFill="1" applyBorder="1" applyAlignment="1" applyProtection="1">
      <alignment horizontal="center" wrapText="1"/>
    </xf>
    <xf numFmtId="0" fontId="16" fillId="0" borderId="3" xfId="0" applyNumberFormat="1" applyFont="1" applyFill="1" applyBorder="1" applyAlignment="1" applyProtection="1"/>
    <xf numFmtId="0" fontId="16" fillId="0" borderId="4" xfId="0" applyNumberFormat="1" applyFont="1" applyFill="1" applyBorder="1" applyAlignment="1" applyProtection="1"/>
    <xf numFmtId="49" fontId="4" fillId="0" borderId="1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top" wrapText="1"/>
    </xf>
    <xf numFmtId="49" fontId="4" fillId="0" borderId="3" xfId="0" applyNumberFormat="1" applyFont="1" applyFill="1" applyBorder="1" applyAlignment="1" applyProtection="1">
      <alignment horizontal="center" vertical="top" wrapText="1"/>
    </xf>
    <xf numFmtId="49" fontId="4" fillId="0" borderId="4" xfId="0" applyNumberFormat="1" applyFont="1" applyFill="1" applyBorder="1" applyAlignment="1" applyProtection="1">
      <alignment horizontal="center" vertical="top" wrapText="1"/>
    </xf>
    <xf numFmtId="167" fontId="6" fillId="0" borderId="2" xfId="0" applyNumberFormat="1" applyFont="1" applyFill="1" applyBorder="1" applyAlignment="1" applyProtection="1">
      <alignment horizontal="left" vertical="center" wrapText="1"/>
    </xf>
    <xf numFmtId="167" fontId="6" fillId="0" borderId="4" xfId="0" applyNumberFormat="1" applyFont="1" applyFill="1" applyBorder="1" applyAlignment="1" applyProtection="1">
      <alignment horizontal="left" vertical="center" wrapText="1"/>
    </xf>
    <xf numFmtId="0" fontId="22" fillId="0" borderId="1" xfId="0" applyNumberFormat="1" applyFont="1" applyFill="1" applyBorder="1" applyAlignment="1" applyProtection="1">
      <alignment horizontal="center" vertical="center" wrapText="1"/>
    </xf>
    <xf numFmtId="167" fontId="4" fillId="0" borderId="2" xfId="0" applyNumberFormat="1" applyFont="1" applyFill="1" applyBorder="1" applyAlignment="1" applyProtection="1">
      <alignment vertical="center" wrapText="1"/>
    </xf>
    <xf numFmtId="167" fontId="4" fillId="0" borderId="3" xfId="0" applyNumberFormat="1" applyFont="1" applyFill="1" applyBorder="1" applyAlignment="1" applyProtection="1">
      <alignment vertical="center" wrapText="1"/>
    </xf>
    <xf numFmtId="167" fontId="4" fillId="0" borderId="4" xfId="0" applyNumberFormat="1" applyFont="1" applyFill="1" applyBorder="1" applyAlignment="1" applyProtection="1">
      <alignment vertical="center" wrapText="1"/>
    </xf>
    <xf numFmtId="49" fontId="7" fillId="0" borderId="9" xfId="0" applyNumberFormat="1" applyFont="1" applyFill="1" applyBorder="1" applyAlignment="1" applyProtection="1">
      <alignment horizontal="center" vertical="center" wrapText="1"/>
    </xf>
    <xf numFmtId="49" fontId="7" fillId="0" borderId="13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left" vertical="center" wrapText="1"/>
    </xf>
    <xf numFmtId="0" fontId="4" fillId="0" borderId="2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10" fillId="0" borderId="2" xfId="0" applyNumberFormat="1" applyFont="1" applyFill="1" applyBorder="1" applyAlignment="1" applyProtection="1">
      <alignment horizontal="left" vertical="center" wrapText="1"/>
    </xf>
    <xf numFmtId="0" fontId="10" fillId="0" borderId="3" xfId="0" applyNumberFormat="1" applyFont="1" applyFill="1" applyBorder="1" applyAlignment="1" applyProtection="1">
      <alignment horizontal="left" vertical="center" wrapText="1"/>
    </xf>
    <xf numFmtId="0" fontId="10" fillId="0" borderId="4" xfId="0" applyNumberFormat="1" applyFont="1" applyFill="1" applyBorder="1" applyAlignment="1" applyProtection="1">
      <alignment horizontal="left" vertical="center" wrapText="1"/>
    </xf>
    <xf numFmtId="49" fontId="7" fillId="0" borderId="2" xfId="0" applyNumberFormat="1" applyFont="1" applyFill="1" applyBorder="1" applyAlignment="1" applyProtection="1">
      <alignment horizontal="center" vertical="top" wrapText="1"/>
    </xf>
    <xf numFmtId="0" fontId="15" fillId="0" borderId="3" xfId="0" applyNumberFormat="1" applyFont="1" applyFill="1" applyBorder="1" applyAlignment="1" applyProtection="1">
      <alignment horizontal="center" vertical="top" wrapText="1"/>
    </xf>
    <xf numFmtId="0" fontId="16" fillId="0" borderId="3" xfId="0" applyNumberFormat="1" applyFont="1" applyFill="1" applyBorder="1" applyAlignment="1" applyProtection="1">
      <alignment horizontal="left" vertical="center"/>
    </xf>
    <xf numFmtId="0" fontId="16" fillId="0" borderId="4" xfId="0" applyNumberFormat="1" applyFont="1" applyFill="1" applyBorder="1" applyAlignment="1" applyProtection="1">
      <alignment horizontal="left" vertical="center"/>
    </xf>
    <xf numFmtId="49" fontId="22" fillId="0" borderId="1" xfId="0" applyNumberFormat="1" applyFont="1" applyFill="1" applyBorder="1" applyAlignment="1" applyProtection="1">
      <alignment horizontal="center" vertical="center"/>
    </xf>
    <xf numFmtId="49" fontId="23" fillId="0" borderId="3" xfId="0" applyNumberFormat="1" applyFont="1" applyFill="1" applyBorder="1" applyAlignment="1" applyProtection="1">
      <alignment horizontal="center" vertical="center" wrapText="1"/>
    </xf>
    <xf numFmtId="167" fontId="4" fillId="0" borderId="3" xfId="0" applyNumberFormat="1" applyFont="1" applyFill="1" applyBorder="1" applyAlignment="1" applyProtection="1">
      <alignment horizontal="center" vertical="center" wrapText="1"/>
    </xf>
    <xf numFmtId="167" fontId="4" fillId="0" borderId="4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left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left"/>
    </xf>
    <xf numFmtId="0" fontId="4" fillId="0" borderId="3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/>
    </xf>
    <xf numFmtId="49" fontId="22" fillId="0" borderId="2" xfId="0" applyNumberFormat="1" applyFont="1" applyFill="1" applyBorder="1" applyAlignment="1" applyProtection="1">
      <alignment horizontal="center" vertical="center" shrinkToFit="1"/>
    </xf>
    <xf numFmtId="0" fontId="16" fillId="0" borderId="3" xfId="0" applyNumberFormat="1" applyFont="1" applyFill="1" applyBorder="1" applyAlignment="1" applyProtection="1">
      <alignment horizontal="center" vertical="center" shrinkToFit="1"/>
    </xf>
    <xf numFmtId="0" fontId="23" fillId="0" borderId="3" xfId="0" applyNumberFormat="1" applyFont="1" applyFill="1" applyBorder="1" applyAlignment="1" applyProtection="1">
      <alignment horizontal="center" vertical="center"/>
    </xf>
    <xf numFmtId="0" fontId="15" fillId="0" borderId="3" xfId="0" applyNumberFormat="1" applyFont="1" applyFill="1" applyBorder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horizontal="center"/>
    </xf>
    <xf numFmtId="0" fontId="16" fillId="0" borderId="3" xfId="0" applyNumberFormat="1" applyFont="1" applyFill="1" applyBorder="1" applyAlignment="1" applyProtection="1">
      <alignment wrapText="1"/>
    </xf>
    <xf numFmtId="0" fontId="16" fillId="0" borderId="4" xfId="0" applyNumberFormat="1" applyFont="1" applyFill="1" applyBorder="1" applyAlignment="1" applyProtection="1">
      <alignment wrapText="1"/>
    </xf>
    <xf numFmtId="0" fontId="16" fillId="0" borderId="2" xfId="0" applyNumberFormat="1" applyFont="1" applyFill="1" applyBorder="1" applyAlignment="1" applyProtection="1">
      <alignment horizontal="left" vertical="center"/>
    </xf>
    <xf numFmtId="0" fontId="4" fillId="0" borderId="7" xfId="0" applyNumberFormat="1" applyFont="1" applyFill="1" applyBorder="1" applyAlignment="1" applyProtection="1">
      <alignment vertical="center" wrapText="1"/>
    </xf>
    <xf numFmtId="0" fontId="4" fillId="0" borderId="10" xfId="0" applyNumberFormat="1" applyFont="1" applyFill="1" applyBorder="1" applyAlignment="1" applyProtection="1">
      <alignment vertical="center" wrapText="1"/>
    </xf>
    <xf numFmtId="0" fontId="4" fillId="0" borderId="15" xfId="0" applyNumberFormat="1" applyFont="1" applyFill="1" applyBorder="1" applyAlignment="1" applyProtection="1">
      <alignment vertical="center" wrapText="1"/>
    </xf>
    <xf numFmtId="49" fontId="4" fillId="0" borderId="2" xfId="0" applyNumberFormat="1" applyFont="1" applyFill="1" applyBorder="1" applyAlignment="1" applyProtection="1">
      <alignment horizontal="left" vertical="center" wrapText="1"/>
    </xf>
    <xf numFmtId="49" fontId="4" fillId="0" borderId="3" xfId="0" applyNumberFormat="1" applyFont="1" applyFill="1" applyBorder="1" applyAlignment="1" applyProtection="1">
      <alignment horizontal="left" vertical="center" wrapText="1"/>
    </xf>
    <xf numFmtId="49" fontId="4" fillId="0" borderId="4" xfId="0" applyNumberFormat="1" applyFont="1" applyFill="1" applyBorder="1" applyAlignment="1" applyProtection="1">
      <alignment horizontal="left" vertical="center" wrapText="1"/>
    </xf>
    <xf numFmtId="167" fontId="2" fillId="0" borderId="1" xfId="0" applyNumberFormat="1" applyFont="1" applyFill="1" applyBorder="1" applyAlignment="1" applyProtection="1">
      <alignment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923925</xdr:colOff>
      <xdr:row>55</xdr:row>
      <xdr:rowOff>123825</xdr:rowOff>
    </xdr:to>
    <xdr:sp macro="" textlink="">
      <xdr:nvSpPr>
        <xdr:cNvPr id="1027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923925</xdr:colOff>
      <xdr:row>55</xdr:row>
      <xdr:rowOff>123825</xdr:rowOff>
    </xdr:to>
    <xdr:sp macro="" textlink="">
      <xdr:nvSpPr>
        <xdr:cNvPr id="2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923925</xdr:colOff>
      <xdr:row>55</xdr:row>
      <xdr:rowOff>123825</xdr:rowOff>
    </xdr:to>
    <xdr:sp macro="" textlink="">
      <xdr:nvSpPr>
        <xdr:cNvPr id="3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923925</xdr:colOff>
      <xdr:row>55</xdr:row>
      <xdr:rowOff>123825</xdr:rowOff>
    </xdr:to>
    <xdr:sp macro="" textlink="">
      <xdr:nvSpPr>
        <xdr:cNvPr id="4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923925</xdr:colOff>
      <xdr:row>55</xdr:row>
      <xdr:rowOff>123825</xdr:rowOff>
    </xdr:to>
    <xdr:sp macro="" textlink="">
      <xdr:nvSpPr>
        <xdr:cNvPr id="5" name="AutoShape 3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514350</xdr:colOff>
      <xdr:row>51</xdr:row>
      <xdr:rowOff>47625</xdr:rowOff>
    </xdr:to>
    <xdr:sp macro="" textlink="">
      <xdr:nvSpPr>
        <xdr:cNvPr id="2057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7</xdr:col>
      <xdr:colOff>514350</xdr:colOff>
      <xdr:row>51</xdr:row>
      <xdr:rowOff>47625</xdr:rowOff>
    </xdr:to>
    <xdr:sp macro="" textlink="">
      <xdr:nvSpPr>
        <xdr:cNvPr id="2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7</xdr:col>
      <xdr:colOff>514350</xdr:colOff>
      <xdr:row>51</xdr:row>
      <xdr:rowOff>47625</xdr:rowOff>
    </xdr:to>
    <xdr:sp macro="" textlink="">
      <xdr:nvSpPr>
        <xdr:cNvPr id="3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7</xdr:col>
      <xdr:colOff>514350</xdr:colOff>
      <xdr:row>51</xdr:row>
      <xdr:rowOff>47625</xdr:rowOff>
    </xdr:to>
    <xdr:sp macro="" textlink="">
      <xdr:nvSpPr>
        <xdr:cNvPr id="4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7</xdr:col>
      <xdr:colOff>514350</xdr:colOff>
      <xdr:row>51</xdr:row>
      <xdr:rowOff>47625</xdr:rowOff>
    </xdr:to>
    <xdr:sp macro="" textlink="">
      <xdr:nvSpPr>
        <xdr:cNvPr id="5" name="AutoShape 9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762000</xdr:colOff>
      <xdr:row>51</xdr:row>
      <xdr:rowOff>133350</xdr:rowOff>
    </xdr:to>
    <xdr:sp macro="" textlink="">
      <xdr:nvSpPr>
        <xdr:cNvPr id="3083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9</xdr:col>
      <xdr:colOff>762000</xdr:colOff>
      <xdr:row>51</xdr:row>
      <xdr:rowOff>133350</xdr:rowOff>
    </xdr:to>
    <xdr:sp macro="" textlink="">
      <xdr:nvSpPr>
        <xdr:cNvPr id="2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9</xdr:col>
      <xdr:colOff>762000</xdr:colOff>
      <xdr:row>51</xdr:row>
      <xdr:rowOff>133350</xdr:rowOff>
    </xdr:to>
    <xdr:sp macro="" textlink="">
      <xdr:nvSpPr>
        <xdr:cNvPr id="3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9</xdr:col>
      <xdr:colOff>762000</xdr:colOff>
      <xdr:row>51</xdr:row>
      <xdr:rowOff>133350</xdr:rowOff>
    </xdr:to>
    <xdr:sp macro="" textlink="">
      <xdr:nvSpPr>
        <xdr:cNvPr id="4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9</xdr:col>
      <xdr:colOff>762000</xdr:colOff>
      <xdr:row>51</xdr:row>
      <xdr:rowOff>133350</xdr:rowOff>
    </xdr:to>
    <xdr:sp macro="" textlink="">
      <xdr:nvSpPr>
        <xdr:cNvPr id="5" name="AutoShape 11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533400</xdr:colOff>
      <xdr:row>51</xdr:row>
      <xdr:rowOff>133350</xdr:rowOff>
    </xdr:to>
    <xdr:sp macro="" textlink="">
      <xdr:nvSpPr>
        <xdr:cNvPr id="4107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7</xdr:col>
      <xdr:colOff>533400</xdr:colOff>
      <xdr:row>51</xdr:row>
      <xdr:rowOff>133350</xdr:rowOff>
    </xdr:to>
    <xdr:sp macro="" textlink="">
      <xdr:nvSpPr>
        <xdr:cNvPr id="2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7</xdr:col>
      <xdr:colOff>533400</xdr:colOff>
      <xdr:row>51</xdr:row>
      <xdr:rowOff>133350</xdr:rowOff>
    </xdr:to>
    <xdr:sp macro="" textlink="">
      <xdr:nvSpPr>
        <xdr:cNvPr id="3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7</xdr:col>
      <xdr:colOff>533400</xdr:colOff>
      <xdr:row>51</xdr:row>
      <xdr:rowOff>133350</xdr:rowOff>
    </xdr:to>
    <xdr:sp macro="" textlink="">
      <xdr:nvSpPr>
        <xdr:cNvPr id="4" name="_x0000_t202" hidden="1"/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7</xdr:col>
      <xdr:colOff>533400</xdr:colOff>
      <xdr:row>51</xdr:row>
      <xdr:rowOff>133350</xdr:rowOff>
    </xdr:to>
    <xdr:sp macro="" textlink="">
      <xdr:nvSpPr>
        <xdr:cNvPr id="5" name="AutoShape 11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708"/>
  <sheetViews>
    <sheetView zoomScale="130" zoomScaleNormal="130" workbookViewId="0">
      <pane ySplit="9" topLeftCell="A272" activePane="bottomLeft" state="frozen"/>
      <selection pane="bottomLeft" activeCell="C272" sqref="A272:IV311"/>
    </sheetView>
  </sheetViews>
  <sheetFormatPr defaultColWidth="9.140625" defaultRowHeight="12.75" customHeight="1"/>
  <cols>
    <col min="1" max="1" width="6" style="1" customWidth="1"/>
    <col min="2" max="2" width="58.28515625" style="2" customWidth="1"/>
    <col min="3" max="3" width="13.5703125" style="3" customWidth="1"/>
    <col min="4" max="4" width="14.5703125" style="3" customWidth="1"/>
    <col min="5" max="5" width="13.42578125" style="3" customWidth="1"/>
    <col min="6" max="6" width="11.85546875" style="3" customWidth="1"/>
    <col min="7" max="7" width="11.28515625" style="3" customWidth="1"/>
    <col min="8" max="8" width="15.28515625" style="4" customWidth="1"/>
    <col min="9" max="9" width="13.140625" style="4" customWidth="1"/>
    <col min="10" max="10" width="9.85546875" style="5" hidden="1" customWidth="1"/>
    <col min="11" max="11" width="6.140625" style="6" customWidth="1"/>
    <col min="12" max="12" width="9.140625" style="6" customWidth="1"/>
    <col min="13" max="16384" width="9.140625" style="6"/>
  </cols>
  <sheetData>
    <row r="1" spans="1:10">
      <c r="F1" s="793" t="s">
        <v>0</v>
      </c>
      <c r="G1" s="793"/>
      <c r="H1" s="793"/>
      <c r="I1" s="793"/>
    </row>
    <row r="2" spans="1:10" ht="9" customHeight="1"/>
    <row r="3" spans="1:10" ht="32.25" customHeight="1">
      <c r="A3" s="7"/>
      <c r="B3" s="752"/>
      <c r="C3" s="752"/>
      <c r="D3" s="752"/>
      <c r="E3" s="752"/>
      <c r="F3" s="753" t="s">
        <v>1</v>
      </c>
      <c r="G3" s="753"/>
      <c r="H3" s="753"/>
      <c r="I3" s="753"/>
      <c r="J3" s="8"/>
    </row>
    <row r="4" spans="1:10" ht="26.25" customHeight="1">
      <c r="A4" s="756" t="s">
        <v>2</v>
      </c>
      <c r="B4" s="756"/>
      <c r="C4" s="756"/>
      <c r="D4" s="756"/>
      <c r="E4" s="756"/>
      <c r="F4" s="756"/>
      <c r="G4" s="756"/>
      <c r="H4" s="756"/>
      <c r="I4" s="756"/>
    </row>
    <row r="5" spans="1:10">
      <c r="A5" s="7"/>
      <c r="B5" s="9"/>
      <c r="C5" s="10"/>
      <c r="D5" s="10"/>
      <c r="E5" s="10"/>
      <c r="F5" s="10"/>
      <c r="G5" s="757" t="s">
        <v>3</v>
      </c>
      <c r="H5" s="757"/>
      <c r="I5" s="757"/>
    </row>
    <row r="6" spans="1:10">
      <c r="A6" s="754" t="s">
        <v>4</v>
      </c>
      <c r="B6" s="759" t="s">
        <v>5</v>
      </c>
      <c r="C6" s="758" t="s">
        <v>6</v>
      </c>
      <c r="D6" s="758" t="s">
        <v>7</v>
      </c>
      <c r="E6" s="758" t="s">
        <v>8</v>
      </c>
      <c r="F6" s="758"/>
      <c r="G6" s="758"/>
      <c r="H6" s="758"/>
      <c r="I6" s="758"/>
    </row>
    <row r="7" spans="1:10">
      <c r="A7" s="754"/>
      <c r="B7" s="760"/>
      <c r="C7" s="758"/>
      <c r="D7" s="758"/>
      <c r="E7" s="758"/>
      <c r="F7" s="758"/>
      <c r="G7" s="758"/>
      <c r="H7" s="758"/>
      <c r="I7" s="758"/>
    </row>
    <row r="8" spans="1:10">
      <c r="A8" s="754"/>
      <c r="B8" s="760"/>
      <c r="C8" s="758"/>
      <c r="D8" s="758"/>
      <c r="E8" s="758" t="s">
        <v>9</v>
      </c>
      <c r="F8" s="758" t="s">
        <v>10</v>
      </c>
      <c r="G8" s="758"/>
      <c r="H8" s="758"/>
      <c r="I8" s="758"/>
    </row>
    <row r="9" spans="1:10" ht="25.5">
      <c r="A9" s="754"/>
      <c r="B9" s="761"/>
      <c r="C9" s="758"/>
      <c r="D9" s="758"/>
      <c r="E9" s="758"/>
      <c r="F9" s="12" t="s">
        <v>11</v>
      </c>
      <c r="G9" s="12" t="s">
        <v>12</v>
      </c>
      <c r="H9" s="12" t="s">
        <v>13</v>
      </c>
      <c r="I9" s="13" t="s">
        <v>14</v>
      </c>
    </row>
    <row r="10" spans="1:10" s="14" customFormat="1">
      <c r="A10" s="754"/>
      <c r="B10" s="755" t="s">
        <v>15</v>
      </c>
      <c r="C10" s="16" t="s">
        <v>16</v>
      </c>
      <c r="D10" s="17">
        <f t="shared" ref="D10:I10" si="0">D11+D12+D13</f>
        <v>41057.399340900003</v>
      </c>
      <c r="E10" s="17">
        <f t="shared" si="0"/>
        <v>1393.5507830000001</v>
      </c>
      <c r="F10" s="17">
        <f t="shared" si="0"/>
        <v>29.559419999999996</v>
      </c>
      <c r="G10" s="17">
        <f t="shared" si="0"/>
        <v>3350.3406000000004</v>
      </c>
      <c r="H10" s="17">
        <f t="shared" si="0"/>
        <v>36275.0274278</v>
      </c>
      <c r="I10" s="17">
        <f t="shared" si="0"/>
        <v>8.9211100999999999</v>
      </c>
      <c r="J10" s="18">
        <f>SUM(E10:I10)</f>
        <v>41057.399340899996</v>
      </c>
    </row>
    <row r="11" spans="1:10" s="14" customFormat="1" ht="13.5" customHeight="1">
      <c r="A11" s="754"/>
      <c r="B11" s="755"/>
      <c r="C11" s="16">
        <v>2015</v>
      </c>
      <c r="D11" s="17">
        <f t="shared" ref="D11:I13" si="1">D16+D92+D232+D253+D273+D313+D337+D385+D413+D464+D495+D511+D555</f>
        <v>7228.396378899999</v>
      </c>
      <c r="E11" s="17">
        <f t="shared" si="1"/>
        <v>459.06574100000006</v>
      </c>
      <c r="F11" s="17">
        <f t="shared" si="1"/>
        <v>12.21828</v>
      </c>
      <c r="G11" s="17">
        <f t="shared" si="1"/>
        <v>1405.9868200000001</v>
      </c>
      <c r="H11" s="17">
        <f t="shared" si="1"/>
        <v>5342.2044277999994</v>
      </c>
      <c r="I11" s="17">
        <f t="shared" si="1"/>
        <v>8.9211100999999999</v>
      </c>
      <c r="J11" s="18">
        <f>SUM(E11:I11)</f>
        <v>7228.396378899999</v>
      </c>
    </row>
    <row r="12" spans="1:10" s="14" customFormat="1" ht="13.5" customHeight="1">
      <c r="A12" s="754"/>
      <c r="B12" s="755"/>
      <c r="C12" s="16">
        <v>2016</v>
      </c>
      <c r="D12" s="17">
        <f t="shared" si="1"/>
        <v>14805.336341</v>
      </c>
      <c r="E12" s="17">
        <f t="shared" si="1"/>
        <v>452.45332100000007</v>
      </c>
      <c r="F12" s="17">
        <f t="shared" si="1"/>
        <v>6.3492599999999983</v>
      </c>
      <c r="G12" s="17">
        <f t="shared" si="1"/>
        <v>963.61576000000002</v>
      </c>
      <c r="H12" s="17">
        <f t="shared" si="1"/>
        <v>13382.918</v>
      </c>
      <c r="I12" s="17">
        <f t="shared" si="1"/>
        <v>0</v>
      </c>
      <c r="J12" s="18">
        <f>SUM(E12:I12)</f>
        <v>14805.336341</v>
      </c>
    </row>
    <row r="13" spans="1:10" s="14" customFormat="1" ht="13.5" customHeight="1">
      <c r="A13" s="754"/>
      <c r="B13" s="755"/>
      <c r="C13" s="16">
        <v>2017</v>
      </c>
      <c r="D13" s="17">
        <f t="shared" si="1"/>
        <v>19023.666621000004</v>
      </c>
      <c r="E13" s="17">
        <f t="shared" si="1"/>
        <v>482.03172099999995</v>
      </c>
      <c r="F13" s="17">
        <f t="shared" si="1"/>
        <v>10.991879999999998</v>
      </c>
      <c r="G13" s="17">
        <f t="shared" si="1"/>
        <v>980.73802000000001</v>
      </c>
      <c r="H13" s="17">
        <f t="shared" si="1"/>
        <v>17549.904999999999</v>
      </c>
      <c r="I13" s="17">
        <f t="shared" si="1"/>
        <v>0</v>
      </c>
      <c r="J13" s="18">
        <f>SUM(E13:I13)</f>
        <v>19023.666621</v>
      </c>
    </row>
    <row r="14" spans="1:10" s="14" customFormat="1" ht="13.5" hidden="1" customHeight="1">
      <c r="A14" s="11"/>
      <c r="B14" s="15"/>
      <c r="C14" s="16"/>
      <c r="D14" s="17"/>
      <c r="E14" s="17"/>
      <c r="F14" s="17"/>
      <c r="G14" s="17"/>
      <c r="H14" s="17"/>
      <c r="I14" s="17"/>
      <c r="J14" s="18"/>
    </row>
    <row r="15" spans="1:10" s="14" customFormat="1">
      <c r="A15" s="754" t="s">
        <v>17</v>
      </c>
      <c r="B15" s="762" t="s">
        <v>18</v>
      </c>
      <c r="C15" s="16" t="s">
        <v>16</v>
      </c>
      <c r="D15" s="17">
        <f t="shared" ref="D15:I15" si="2">D16+D17+D18</f>
        <v>2933.8243000000002</v>
      </c>
      <c r="E15" s="17">
        <f t="shared" si="2"/>
        <v>624.46949999999993</v>
      </c>
      <c r="F15" s="17">
        <f t="shared" si="2"/>
        <v>0</v>
      </c>
      <c r="G15" s="17">
        <f t="shared" si="2"/>
        <v>2309.3548000000001</v>
      </c>
      <c r="H15" s="17">
        <f t="shared" si="2"/>
        <v>0</v>
      </c>
      <c r="I15" s="17">
        <f t="shared" si="2"/>
        <v>0</v>
      </c>
      <c r="J15" s="18">
        <f t="shared" ref="J15:J78" si="3">SUM(E15:I15)</f>
        <v>2933.8243000000002</v>
      </c>
    </row>
    <row r="16" spans="1:10" s="14" customFormat="1" ht="13.5" customHeight="1">
      <c r="A16" s="754"/>
      <c r="B16" s="762"/>
      <c r="C16" s="16">
        <v>2015</v>
      </c>
      <c r="D16" s="17">
        <f t="shared" ref="D16:I18" si="4">D20</f>
        <v>950.98670000000016</v>
      </c>
      <c r="E16" s="17">
        <f t="shared" si="4"/>
        <v>217.8168</v>
      </c>
      <c r="F16" s="17">
        <f t="shared" si="4"/>
        <v>0</v>
      </c>
      <c r="G16" s="17">
        <f t="shared" si="4"/>
        <v>733.1699000000001</v>
      </c>
      <c r="H16" s="17">
        <f t="shared" si="4"/>
        <v>0</v>
      </c>
      <c r="I16" s="17">
        <f t="shared" si="4"/>
        <v>0</v>
      </c>
      <c r="J16" s="18">
        <f t="shared" si="3"/>
        <v>950.98670000000016</v>
      </c>
    </row>
    <row r="17" spans="1:10" s="14" customFormat="1" ht="13.5" customHeight="1">
      <c r="A17" s="754"/>
      <c r="B17" s="762"/>
      <c r="C17" s="16">
        <v>2016</v>
      </c>
      <c r="D17" s="17">
        <f t="shared" si="4"/>
        <v>986.30200000000002</v>
      </c>
      <c r="E17" s="17">
        <f t="shared" si="4"/>
        <v>197.6395</v>
      </c>
      <c r="F17" s="17">
        <f t="shared" si="4"/>
        <v>0</v>
      </c>
      <c r="G17" s="17">
        <f t="shared" si="4"/>
        <v>788.66250000000002</v>
      </c>
      <c r="H17" s="17">
        <f t="shared" si="4"/>
        <v>0</v>
      </c>
      <c r="I17" s="17">
        <f t="shared" si="4"/>
        <v>0</v>
      </c>
      <c r="J17" s="18">
        <f t="shared" si="3"/>
        <v>986.30200000000002</v>
      </c>
    </row>
    <row r="18" spans="1:10" s="14" customFormat="1" ht="13.5" customHeight="1">
      <c r="A18" s="754"/>
      <c r="B18" s="762"/>
      <c r="C18" s="16">
        <v>2017</v>
      </c>
      <c r="D18" s="17">
        <f t="shared" si="4"/>
        <v>996.53559999999993</v>
      </c>
      <c r="E18" s="17">
        <f t="shared" si="4"/>
        <v>209.01319999999998</v>
      </c>
      <c r="F18" s="17">
        <f t="shared" si="4"/>
        <v>0</v>
      </c>
      <c r="G18" s="17">
        <f t="shared" si="4"/>
        <v>787.52239999999995</v>
      </c>
      <c r="H18" s="17">
        <f t="shared" si="4"/>
        <v>0</v>
      </c>
      <c r="I18" s="17">
        <f t="shared" si="4"/>
        <v>0</v>
      </c>
      <c r="J18" s="18">
        <f t="shared" si="3"/>
        <v>996.53559999999993</v>
      </c>
    </row>
    <row r="19" spans="1:10" s="14" customFormat="1">
      <c r="A19" s="754" t="s">
        <v>19</v>
      </c>
      <c r="B19" s="763" t="s">
        <v>20</v>
      </c>
      <c r="C19" s="16" t="s">
        <v>16</v>
      </c>
      <c r="D19" s="17">
        <f t="shared" ref="D19:I19" si="5">D20+D21+D22</f>
        <v>2933.8243000000002</v>
      </c>
      <c r="E19" s="17">
        <f t="shared" si="5"/>
        <v>624.46949999999993</v>
      </c>
      <c r="F19" s="17">
        <f t="shared" si="5"/>
        <v>0</v>
      </c>
      <c r="G19" s="17">
        <f t="shared" si="5"/>
        <v>2309.3548000000001</v>
      </c>
      <c r="H19" s="17">
        <f t="shared" si="5"/>
        <v>0</v>
      </c>
      <c r="I19" s="17">
        <f t="shared" si="5"/>
        <v>0</v>
      </c>
      <c r="J19" s="18">
        <f t="shared" si="3"/>
        <v>2933.8243000000002</v>
      </c>
    </row>
    <row r="20" spans="1:10" s="14" customFormat="1">
      <c r="A20" s="754"/>
      <c r="B20" s="763"/>
      <c r="C20" s="12">
        <v>2015</v>
      </c>
      <c r="D20" s="17">
        <f>E20+F20+G20+H20+I20</f>
        <v>950.98670000000016</v>
      </c>
      <c r="E20" s="17">
        <f t="shared" ref="E20:I22" si="6">E24+E40+E64+E76</f>
        <v>217.8168</v>
      </c>
      <c r="F20" s="17">
        <f t="shared" si="6"/>
        <v>0</v>
      </c>
      <c r="G20" s="17">
        <f t="shared" si="6"/>
        <v>733.1699000000001</v>
      </c>
      <c r="H20" s="17">
        <f t="shared" si="6"/>
        <v>0</v>
      </c>
      <c r="I20" s="17">
        <f t="shared" si="6"/>
        <v>0</v>
      </c>
      <c r="J20" s="18">
        <f t="shared" si="3"/>
        <v>950.98670000000016</v>
      </c>
    </row>
    <row r="21" spans="1:10" s="14" customFormat="1">
      <c r="A21" s="754"/>
      <c r="B21" s="763"/>
      <c r="C21" s="12">
        <v>2016</v>
      </c>
      <c r="D21" s="17">
        <f>E21+F21+G21+H21+I21</f>
        <v>986.30200000000002</v>
      </c>
      <c r="E21" s="17">
        <f t="shared" si="6"/>
        <v>197.6395</v>
      </c>
      <c r="F21" s="17">
        <f t="shared" si="6"/>
        <v>0</v>
      </c>
      <c r="G21" s="17">
        <f t="shared" si="6"/>
        <v>788.66250000000002</v>
      </c>
      <c r="H21" s="17">
        <f t="shared" si="6"/>
        <v>0</v>
      </c>
      <c r="I21" s="17">
        <f t="shared" si="6"/>
        <v>0</v>
      </c>
      <c r="J21" s="18">
        <f t="shared" si="3"/>
        <v>986.30200000000002</v>
      </c>
    </row>
    <row r="22" spans="1:10" s="14" customFormat="1">
      <c r="A22" s="754"/>
      <c r="B22" s="763"/>
      <c r="C22" s="12">
        <v>2017</v>
      </c>
      <c r="D22" s="17">
        <f>E22+F22+G22+H22+I22</f>
        <v>996.53559999999993</v>
      </c>
      <c r="E22" s="17">
        <f t="shared" si="6"/>
        <v>209.01319999999998</v>
      </c>
      <c r="F22" s="17">
        <f t="shared" si="6"/>
        <v>0</v>
      </c>
      <c r="G22" s="17">
        <f t="shared" si="6"/>
        <v>787.52239999999995</v>
      </c>
      <c r="H22" s="17">
        <f t="shared" si="6"/>
        <v>0</v>
      </c>
      <c r="I22" s="17">
        <f t="shared" si="6"/>
        <v>0</v>
      </c>
      <c r="J22" s="18">
        <f t="shared" si="3"/>
        <v>996.53559999999993</v>
      </c>
    </row>
    <row r="23" spans="1:10" s="14" customFormat="1">
      <c r="A23" s="754" t="s">
        <v>21</v>
      </c>
      <c r="B23" s="763" t="s">
        <v>22</v>
      </c>
      <c r="C23" s="16" t="s">
        <v>16</v>
      </c>
      <c r="D23" s="20">
        <f t="shared" ref="D23:I23" si="7">D24+D25+D26</f>
        <v>788.33379999999988</v>
      </c>
      <c r="E23" s="20">
        <f t="shared" si="7"/>
        <v>147.4426</v>
      </c>
      <c r="F23" s="20">
        <f t="shared" si="7"/>
        <v>0</v>
      </c>
      <c r="G23" s="20">
        <f t="shared" si="7"/>
        <v>640.89120000000003</v>
      </c>
      <c r="H23" s="20">
        <f t="shared" si="7"/>
        <v>0</v>
      </c>
      <c r="I23" s="20">
        <f t="shared" si="7"/>
        <v>0</v>
      </c>
      <c r="J23" s="18">
        <f t="shared" si="3"/>
        <v>788.3338</v>
      </c>
    </row>
    <row r="24" spans="1:10" s="14" customFormat="1" ht="12.75" customHeight="1">
      <c r="A24" s="754"/>
      <c r="B24" s="763"/>
      <c r="C24" s="12">
        <v>2015</v>
      </c>
      <c r="D24" s="20">
        <f>E24+F24+G24+H24+I24</f>
        <v>255.62870000000001</v>
      </c>
      <c r="E24" s="20">
        <f>E28+E32+E36</f>
        <v>53.942799999999998</v>
      </c>
      <c r="F24" s="20">
        <f>F28+F32+F36</f>
        <v>0</v>
      </c>
      <c r="G24" s="20">
        <f>G28+G32+G36</f>
        <v>201.6859</v>
      </c>
      <c r="H24" s="20">
        <f>H28+H32+H36</f>
        <v>0</v>
      </c>
      <c r="I24" s="20">
        <f>I28+I32+I36</f>
        <v>0</v>
      </c>
      <c r="J24" s="18">
        <f t="shared" si="3"/>
        <v>255.62870000000001</v>
      </c>
    </row>
    <row r="25" spans="1:10" s="14" customFormat="1">
      <c r="A25" s="754"/>
      <c r="B25" s="763"/>
      <c r="C25" s="12">
        <v>2016</v>
      </c>
      <c r="D25" s="20">
        <f>E25+F25+G25+H25+I25</f>
        <v>266.7115</v>
      </c>
      <c r="E25" s="20">
        <f>E29+E33+E37</f>
        <v>46.307000000000002</v>
      </c>
      <c r="F25" s="20">
        <v>0</v>
      </c>
      <c r="G25" s="20">
        <f>G29+G33+G37</f>
        <v>220.40450000000001</v>
      </c>
      <c r="H25" s="20">
        <v>0</v>
      </c>
      <c r="I25" s="20">
        <f>I26+I27+I28</f>
        <v>0</v>
      </c>
      <c r="J25" s="18">
        <f t="shared" si="3"/>
        <v>266.7115</v>
      </c>
    </row>
    <row r="26" spans="1:10" s="14" customFormat="1">
      <c r="A26" s="754"/>
      <c r="B26" s="763"/>
      <c r="C26" s="12">
        <v>2017</v>
      </c>
      <c r="D26" s="20">
        <f>E26+F26+G26+H26+I26</f>
        <v>265.99359999999996</v>
      </c>
      <c r="E26" s="20">
        <f>E30+E34+E38</f>
        <v>47.192799999999998</v>
      </c>
      <c r="F26" s="20">
        <v>0</v>
      </c>
      <c r="G26" s="20">
        <f>G30+G34+G38</f>
        <v>218.80079999999998</v>
      </c>
      <c r="H26" s="20">
        <v>0</v>
      </c>
      <c r="I26" s="20">
        <f>I30+I34+I38</f>
        <v>0</v>
      </c>
      <c r="J26" s="18">
        <f t="shared" si="3"/>
        <v>265.99359999999996</v>
      </c>
    </row>
    <row r="27" spans="1:10" s="14" customFormat="1">
      <c r="A27" s="754" t="s">
        <v>23</v>
      </c>
      <c r="B27" s="763" t="s">
        <v>24</v>
      </c>
      <c r="C27" s="16" t="s">
        <v>16</v>
      </c>
      <c r="D27" s="20">
        <f t="shared" ref="D27:I27" si="8">D28+D29+D30</f>
        <v>779.73810000000003</v>
      </c>
      <c r="E27" s="20">
        <f t="shared" si="8"/>
        <v>138.84690000000001</v>
      </c>
      <c r="F27" s="20">
        <f t="shared" si="8"/>
        <v>0</v>
      </c>
      <c r="G27" s="20">
        <f t="shared" si="8"/>
        <v>640.89120000000003</v>
      </c>
      <c r="H27" s="20">
        <f t="shared" si="8"/>
        <v>0</v>
      </c>
      <c r="I27" s="20">
        <f t="shared" si="8"/>
        <v>0</v>
      </c>
      <c r="J27" s="18">
        <f t="shared" si="3"/>
        <v>779.73810000000003</v>
      </c>
    </row>
    <row r="28" spans="1:10" s="14" customFormat="1">
      <c r="A28" s="754"/>
      <c r="B28" s="763"/>
      <c r="C28" s="12">
        <v>2015</v>
      </c>
      <c r="D28" s="20">
        <f>E28+F28+G28+H28+I28</f>
        <v>253.15640000000002</v>
      </c>
      <c r="E28" s="20">
        <f>51470.5/1000</f>
        <v>51.470500000000001</v>
      </c>
      <c r="F28" s="20">
        <v>0</v>
      </c>
      <c r="G28" s="20">
        <f>201685.9/1000</f>
        <v>201.6859</v>
      </c>
      <c r="H28" s="20">
        <f>H29+H30+H35</f>
        <v>0</v>
      </c>
      <c r="I28" s="20">
        <f>I29+I30+I35</f>
        <v>0</v>
      </c>
      <c r="J28" s="18">
        <f t="shared" si="3"/>
        <v>253.15640000000002</v>
      </c>
    </row>
    <row r="29" spans="1:10" s="14" customFormat="1">
      <c r="A29" s="754"/>
      <c r="B29" s="763"/>
      <c r="C29" s="12">
        <v>2016</v>
      </c>
      <c r="D29" s="20">
        <f>E29+F29+G29+H29+I29</f>
        <v>263.75380000000001</v>
      </c>
      <c r="E29" s="20">
        <f>43349.3/1000</f>
        <v>43.349299999999999</v>
      </c>
      <c r="F29" s="20">
        <v>0</v>
      </c>
      <c r="G29" s="20">
        <f>220404.5/1000</f>
        <v>220.40450000000001</v>
      </c>
      <c r="H29" s="20">
        <f>H30+H35+H36</f>
        <v>0</v>
      </c>
      <c r="I29" s="20">
        <f>I30+I35+I36</f>
        <v>0</v>
      </c>
      <c r="J29" s="18">
        <f t="shared" si="3"/>
        <v>263.75380000000001</v>
      </c>
    </row>
    <row r="30" spans="1:10" s="14" customFormat="1">
      <c r="A30" s="754"/>
      <c r="B30" s="763"/>
      <c r="C30" s="12">
        <v>2017</v>
      </c>
      <c r="D30" s="20">
        <f>E30+F30+G30+H30+I30</f>
        <v>262.8279</v>
      </c>
      <c r="E30" s="20">
        <f>44027.1/1000</f>
        <v>44.027099999999997</v>
      </c>
      <c r="F30" s="20">
        <v>0</v>
      </c>
      <c r="G30" s="20">
        <f>218800.8/1000</f>
        <v>218.80079999999998</v>
      </c>
      <c r="H30" s="20">
        <f>H35+H36+H37</f>
        <v>0</v>
      </c>
      <c r="I30" s="20">
        <f>I35+I36+I37</f>
        <v>0</v>
      </c>
      <c r="J30" s="18">
        <f t="shared" si="3"/>
        <v>262.8279</v>
      </c>
    </row>
    <row r="31" spans="1:10" s="14" customFormat="1">
      <c r="A31" s="754" t="s">
        <v>25</v>
      </c>
      <c r="B31" s="763" t="s">
        <v>26</v>
      </c>
      <c r="C31" s="16" t="s">
        <v>16</v>
      </c>
      <c r="D31" s="20">
        <f t="shared" ref="D31:I31" si="9">D32+D33+D34</f>
        <v>2.9781</v>
      </c>
      <c r="E31" s="20">
        <f t="shared" si="9"/>
        <v>2.9781</v>
      </c>
      <c r="F31" s="20">
        <f t="shared" si="9"/>
        <v>0</v>
      </c>
      <c r="G31" s="20">
        <f t="shared" si="9"/>
        <v>0</v>
      </c>
      <c r="H31" s="20">
        <f t="shared" si="9"/>
        <v>0</v>
      </c>
      <c r="I31" s="20">
        <f t="shared" si="9"/>
        <v>0</v>
      </c>
      <c r="J31" s="18">
        <f t="shared" si="3"/>
        <v>2.9781</v>
      </c>
    </row>
    <row r="32" spans="1:10" s="14" customFormat="1">
      <c r="A32" s="754"/>
      <c r="B32" s="763"/>
      <c r="C32" s="12">
        <v>2015</v>
      </c>
      <c r="D32" s="20">
        <f>E32+F32+G32+H32+I32</f>
        <v>0.99270000000000003</v>
      </c>
      <c r="E32" s="20">
        <f>992.7/1000</f>
        <v>0.99270000000000003</v>
      </c>
      <c r="F32" s="20">
        <v>0</v>
      </c>
      <c r="G32" s="20">
        <v>0</v>
      </c>
      <c r="H32" s="20">
        <v>0</v>
      </c>
      <c r="I32" s="20">
        <f>I33+I34+I63</f>
        <v>0</v>
      </c>
      <c r="J32" s="18">
        <f t="shared" si="3"/>
        <v>0.99270000000000003</v>
      </c>
    </row>
    <row r="33" spans="1:10" s="14" customFormat="1">
      <c r="A33" s="754"/>
      <c r="B33" s="763"/>
      <c r="C33" s="12">
        <v>2016</v>
      </c>
      <c r="D33" s="20">
        <f>E33+F33+G33+H33+I33</f>
        <v>0.99270000000000003</v>
      </c>
      <c r="E33" s="20">
        <f>992.7/1000</f>
        <v>0.99270000000000003</v>
      </c>
      <c r="F33" s="20">
        <v>0</v>
      </c>
      <c r="G33" s="20">
        <v>0</v>
      </c>
      <c r="H33" s="20">
        <v>0</v>
      </c>
      <c r="I33" s="20">
        <f>I34+I63+I64</f>
        <v>0</v>
      </c>
      <c r="J33" s="18">
        <f t="shared" si="3"/>
        <v>0.99270000000000003</v>
      </c>
    </row>
    <row r="34" spans="1:10" s="14" customFormat="1">
      <c r="A34" s="754"/>
      <c r="B34" s="763"/>
      <c r="C34" s="12">
        <v>2017</v>
      </c>
      <c r="D34" s="20">
        <f>E34+F34+G34+H34+I34</f>
        <v>0.99270000000000003</v>
      </c>
      <c r="E34" s="20">
        <f>992.7/1000</f>
        <v>0.99270000000000003</v>
      </c>
      <c r="F34" s="20">
        <v>0</v>
      </c>
      <c r="G34" s="20">
        <v>0</v>
      </c>
      <c r="H34" s="20">
        <v>0</v>
      </c>
      <c r="I34" s="20">
        <f>I63+I64+I65</f>
        <v>0</v>
      </c>
      <c r="J34" s="18">
        <f t="shared" si="3"/>
        <v>0.99270000000000003</v>
      </c>
    </row>
    <row r="35" spans="1:10" ht="13.5" customHeight="1">
      <c r="A35" s="754" t="s">
        <v>27</v>
      </c>
      <c r="B35" s="763" t="s">
        <v>28</v>
      </c>
      <c r="C35" s="16" t="s">
        <v>16</v>
      </c>
      <c r="D35" s="20">
        <f t="shared" ref="D35:I35" si="10">D36+D37+D38</f>
        <v>5.6175999999999995</v>
      </c>
      <c r="E35" s="20">
        <f t="shared" si="10"/>
        <v>5.6175999999999995</v>
      </c>
      <c r="F35" s="20">
        <f t="shared" si="10"/>
        <v>0</v>
      </c>
      <c r="G35" s="20">
        <f t="shared" si="10"/>
        <v>0</v>
      </c>
      <c r="H35" s="20">
        <f t="shared" si="10"/>
        <v>0</v>
      </c>
      <c r="I35" s="20">
        <f t="shared" si="10"/>
        <v>0</v>
      </c>
      <c r="J35" s="18">
        <f t="shared" si="3"/>
        <v>5.6175999999999995</v>
      </c>
    </row>
    <row r="36" spans="1:10" ht="14.25" customHeight="1">
      <c r="A36" s="754" t="s">
        <v>29</v>
      </c>
      <c r="B36" s="763"/>
      <c r="C36" s="12">
        <v>2015</v>
      </c>
      <c r="D36" s="20">
        <f>E36+F36+G36+H36+I36</f>
        <v>1.4795999999999998</v>
      </c>
      <c r="E36" s="20">
        <f>1479.6/1000</f>
        <v>1.4795999999999998</v>
      </c>
      <c r="F36" s="20">
        <v>0</v>
      </c>
      <c r="G36" s="20">
        <v>0</v>
      </c>
      <c r="H36" s="20">
        <v>0</v>
      </c>
      <c r="I36" s="20">
        <f>I37+I38+I75</f>
        <v>0</v>
      </c>
      <c r="J36" s="18">
        <f t="shared" si="3"/>
        <v>1.4795999999999998</v>
      </c>
    </row>
    <row r="37" spans="1:10" ht="14.25" customHeight="1">
      <c r="A37" s="754"/>
      <c r="B37" s="763"/>
      <c r="C37" s="12">
        <v>2016</v>
      </c>
      <c r="D37" s="20">
        <f>E37+F37+G37+H37+I37</f>
        <v>1.9650000000000001</v>
      </c>
      <c r="E37" s="20">
        <f>1965/1000</f>
        <v>1.9650000000000001</v>
      </c>
      <c r="F37" s="20">
        <v>0</v>
      </c>
      <c r="G37" s="20">
        <v>0</v>
      </c>
      <c r="H37" s="20">
        <v>0</v>
      </c>
      <c r="I37" s="20">
        <f>I38+I75+I76</f>
        <v>0</v>
      </c>
      <c r="J37" s="18">
        <f t="shared" si="3"/>
        <v>1.9650000000000001</v>
      </c>
    </row>
    <row r="38" spans="1:10" ht="14.25" customHeight="1">
      <c r="A38" s="754"/>
      <c r="B38" s="763"/>
      <c r="C38" s="12">
        <v>2017</v>
      </c>
      <c r="D38" s="20">
        <f>E38+F38+G38+H38+I38</f>
        <v>2.173</v>
      </c>
      <c r="E38" s="20">
        <f>2173/1000</f>
        <v>2.173</v>
      </c>
      <c r="F38" s="20">
        <v>0</v>
      </c>
      <c r="G38" s="20">
        <v>0</v>
      </c>
      <c r="H38" s="20">
        <v>0</v>
      </c>
      <c r="I38" s="20">
        <f>I75+I76+I77</f>
        <v>0</v>
      </c>
      <c r="J38" s="18">
        <f t="shared" si="3"/>
        <v>2.173</v>
      </c>
    </row>
    <row r="39" spans="1:10">
      <c r="A39" s="754" t="s">
        <v>30</v>
      </c>
      <c r="B39" s="763" t="s">
        <v>31</v>
      </c>
      <c r="C39" s="16" t="s">
        <v>16</v>
      </c>
      <c r="D39" s="21">
        <f t="shared" ref="D39:I39" si="11">D40+D41+D42</f>
        <v>1854.3202999999999</v>
      </c>
      <c r="E39" s="21">
        <f t="shared" si="11"/>
        <v>185.85669999999999</v>
      </c>
      <c r="F39" s="21">
        <f t="shared" si="11"/>
        <v>0</v>
      </c>
      <c r="G39" s="21">
        <f t="shared" si="11"/>
        <v>1668.4636</v>
      </c>
      <c r="H39" s="21">
        <f t="shared" si="11"/>
        <v>0</v>
      </c>
      <c r="I39" s="21">
        <f t="shared" si="11"/>
        <v>0</v>
      </c>
      <c r="J39" s="18">
        <f t="shared" si="3"/>
        <v>1854.3203000000001</v>
      </c>
    </row>
    <row r="40" spans="1:10" ht="12.75" customHeight="1">
      <c r="A40" s="754"/>
      <c r="B40" s="763"/>
      <c r="C40" s="12">
        <v>2015</v>
      </c>
      <c r="D40" s="20">
        <f>E40+F40+G40+H40+I40</f>
        <v>603.11920000000009</v>
      </c>
      <c r="E40" s="20">
        <f>71635.2/1000</f>
        <v>71.635199999999998</v>
      </c>
      <c r="F40" s="20">
        <v>0</v>
      </c>
      <c r="G40" s="20">
        <f>531484/1000</f>
        <v>531.48400000000004</v>
      </c>
      <c r="H40" s="20">
        <v>0</v>
      </c>
      <c r="I40" s="20">
        <v>0</v>
      </c>
      <c r="J40" s="18">
        <f t="shared" si="3"/>
        <v>603.11920000000009</v>
      </c>
    </row>
    <row r="41" spans="1:10">
      <c r="A41" s="754"/>
      <c r="B41" s="763"/>
      <c r="C41" s="12">
        <v>2016</v>
      </c>
      <c r="D41" s="20">
        <f>E41+F41+G41+H41+I41</f>
        <v>624.42349999999999</v>
      </c>
      <c r="E41" s="20">
        <f>56165.5/1000</f>
        <v>56.165500000000002</v>
      </c>
      <c r="F41" s="20">
        <v>0</v>
      </c>
      <c r="G41" s="20">
        <f>568258/1000</f>
        <v>568.25800000000004</v>
      </c>
      <c r="H41" s="20">
        <v>0</v>
      </c>
      <c r="I41" s="20">
        <v>0</v>
      </c>
      <c r="J41" s="18">
        <f t="shared" si="3"/>
        <v>624.42349999999999</v>
      </c>
    </row>
    <row r="42" spans="1:10">
      <c r="A42" s="754"/>
      <c r="B42" s="763"/>
      <c r="C42" s="12">
        <v>2017</v>
      </c>
      <c r="D42" s="20">
        <f>E42+F42+G42+H42+I42</f>
        <v>626.77760000000001</v>
      </c>
      <c r="E42" s="20">
        <f>58056/1000</f>
        <v>58.055999999999997</v>
      </c>
      <c r="F42" s="20">
        <v>0</v>
      </c>
      <c r="G42" s="20">
        <f>568721.6/1000</f>
        <v>568.72159999999997</v>
      </c>
      <c r="H42" s="20">
        <v>0</v>
      </c>
      <c r="I42" s="20">
        <v>0</v>
      </c>
      <c r="J42" s="18">
        <f t="shared" si="3"/>
        <v>626.77760000000001</v>
      </c>
    </row>
    <row r="43" spans="1:10">
      <c r="A43" s="754" t="s">
        <v>32</v>
      </c>
      <c r="B43" s="763" t="s">
        <v>33</v>
      </c>
      <c r="C43" s="16" t="s">
        <v>16</v>
      </c>
      <c r="D43" s="21">
        <f t="shared" ref="D43:I43" si="12">D44+D45+D46</f>
        <v>1782.6449</v>
      </c>
      <c r="E43" s="21">
        <f t="shared" si="12"/>
        <v>159.72729999999999</v>
      </c>
      <c r="F43" s="21">
        <f t="shared" si="12"/>
        <v>0</v>
      </c>
      <c r="G43" s="21">
        <f t="shared" si="12"/>
        <v>1622.9176000000002</v>
      </c>
      <c r="H43" s="22">
        <f t="shared" si="12"/>
        <v>0</v>
      </c>
      <c r="I43" s="22">
        <f t="shared" si="12"/>
        <v>0</v>
      </c>
      <c r="J43" s="18">
        <f t="shared" si="3"/>
        <v>1782.6449000000002</v>
      </c>
    </row>
    <row r="44" spans="1:10">
      <c r="A44" s="754"/>
      <c r="B44" s="763"/>
      <c r="C44" s="12">
        <v>2015</v>
      </c>
      <c r="D44" s="20">
        <f>E44+F44+G44+H44+I44</f>
        <v>580.02100000000007</v>
      </c>
      <c r="E44" s="22">
        <f>63719/1000</f>
        <v>63.719000000000001</v>
      </c>
      <c r="F44" s="22">
        <v>0</v>
      </c>
      <c r="G44" s="22">
        <f>516302/1000</f>
        <v>516.30200000000002</v>
      </c>
      <c r="H44" s="22">
        <v>0</v>
      </c>
      <c r="I44" s="22">
        <v>0</v>
      </c>
      <c r="J44" s="18">
        <f t="shared" si="3"/>
        <v>580.02100000000007</v>
      </c>
    </row>
    <row r="45" spans="1:10">
      <c r="A45" s="754"/>
      <c r="B45" s="763"/>
      <c r="C45" s="12">
        <v>2016</v>
      </c>
      <c r="D45" s="20">
        <f>E45+F45+G45+H45+I45</f>
        <v>601.36360000000002</v>
      </c>
      <c r="E45" s="22">
        <f>48287.6/1000</f>
        <v>48.287599999999998</v>
      </c>
      <c r="F45" s="22">
        <v>0</v>
      </c>
      <c r="G45" s="22">
        <f>553076/1000</f>
        <v>553.07600000000002</v>
      </c>
      <c r="H45" s="22">
        <v>0</v>
      </c>
      <c r="I45" s="22">
        <v>0</v>
      </c>
      <c r="J45" s="18">
        <f t="shared" si="3"/>
        <v>601.36360000000002</v>
      </c>
    </row>
    <row r="46" spans="1:10">
      <c r="A46" s="754"/>
      <c r="B46" s="763"/>
      <c r="C46" s="12">
        <v>2017</v>
      </c>
      <c r="D46" s="20">
        <f>E46+F46+G46+H46+I46</f>
        <v>601.26029999999992</v>
      </c>
      <c r="E46" s="22">
        <f>47720.7/1000</f>
        <v>47.720699999999994</v>
      </c>
      <c r="F46" s="22">
        <v>0</v>
      </c>
      <c r="G46" s="22">
        <f>553539.6/1000</f>
        <v>553.53959999999995</v>
      </c>
      <c r="H46" s="22">
        <v>0</v>
      </c>
      <c r="I46" s="22">
        <v>0</v>
      </c>
      <c r="J46" s="18">
        <f t="shared" si="3"/>
        <v>601.26029999999992</v>
      </c>
    </row>
    <row r="47" spans="1:10">
      <c r="A47" s="754" t="s">
        <v>34</v>
      </c>
      <c r="B47" s="763" t="s">
        <v>35</v>
      </c>
      <c r="C47" s="16" t="s">
        <v>16</v>
      </c>
      <c r="D47" s="21">
        <f t="shared" ref="D47:I47" si="13">D48+D49+D50</f>
        <v>0.45380000000000009</v>
      </c>
      <c r="E47" s="21">
        <f t="shared" si="13"/>
        <v>0.45380000000000009</v>
      </c>
      <c r="F47" s="21">
        <f t="shared" si="13"/>
        <v>0</v>
      </c>
      <c r="G47" s="21">
        <f t="shared" si="13"/>
        <v>0</v>
      </c>
      <c r="H47" s="22">
        <f t="shared" si="13"/>
        <v>0</v>
      </c>
      <c r="I47" s="22">
        <f t="shared" si="13"/>
        <v>0</v>
      </c>
      <c r="J47" s="18">
        <f t="shared" si="3"/>
        <v>0.45380000000000009</v>
      </c>
    </row>
    <row r="48" spans="1:10">
      <c r="A48" s="754"/>
      <c r="B48" s="763"/>
      <c r="C48" s="12">
        <v>2015</v>
      </c>
      <c r="D48" s="20">
        <f>E48+F48+G48+H48+I48</f>
        <v>0.1416</v>
      </c>
      <c r="E48" s="22">
        <f>141.6/1000</f>
        <v>0.1416</v>
      </c>
      <c r="F48" s="22">
        <v>0</v>
      </c>
      <c r="G48" s="22">
        <v>0</v>
      </c>
      <c r="H48" s="22">
        <v>0</v>
      </c>
      <c r="I48" s="22">
        <v>0</v>
      </c>
      <c r="J48" s="18">
        <f t="shared" si="3"/>
        <v>0.1416</v>
      </c>
    </row>
    <row r="49" spans="1:10">
      <c r="A49" s="754"/>
      <c r="B49" s="763"/>
      <c r="C49" s="12">
        <v>2016</v>
      </c>
      <c r="D49" s="20">
        <f>E49+F49+G49+H49+I49</f>
        <v>0.15030000000000002</v>
      </c>
      <c r="E49" s="22">
        <f>150.3/1000</f>
        <v>0.15030000000000002</v>
      </c>
      <c r="F49" s="22">
        <v>0</v>
      </c>
      <c r="G49" s="22">
        <v>0</v>
      </c>
      <c r="H49" s="22">
        <v>0</v>
      </c>
      <c r="I49" s="22">
        <v>0</v>
      </c>
      <c r="J49" s="18">
        <f t="shared" si="3"/>
        <v>0.15030000000000002</v>
      </c>
    </row>
    <row r="50" spans="1:10">
      <c r="A50" s="754"/>
      <c r="B50" s="763"/>
      <c r="C50" s="12">
        <v>2017</v>
      </c>
      <c r="D50" s="20">
        <f>E50+F50+G50+H50+I50</f>
        <v>0.16190000000000002</v>
      </c>
      <c r="E50" s="22">
        <f>161.9/1000</f>
        <v>0.16190000000000002</v>
      </c>
      <c r="F50" s="22">
        <v>0</v>
      </c>
      <c r="G50" s="22">
        <v>0</v>
      </c>
      <c r="H50" s="22">
        <v>0</v>
      </c>
      <c r="I50" s="22">
        <v>0</v>
      </c>
      <c r="J50" s="18">
        <f t="shared" si="3"/>
        <v>0.16190000000000002</v>
      </c>
    </row>
    <row r="51" spans="1:10">
      <c r="A51" s="754" t="s">
        <v>36</v>
      </c>
      <c r="B51" s="764" t="s">
        <v>37</v>
      </c>
      <c r="C51" s="16" t="s">
        <v>16</v>
      </c>
      <c r="D51" s="21">
        <f t="shared" ref="D51:I51" si="14">D52+D53+D54</f>
        <v>18.958500000000001</v>
      </c>
      <c r="E51" s="21">
        <f t="shared" si="14"/>
        <v>5.9739000000000004</v>
      </c>
      <c r="F51" s="21">
        <f t="shared" si="14"/>
        <v>0</v>
      </c>
      <c r="G51" s="21">
        <f t="shared" si="14"/>
        <v>12.9846</v>
      </c>
      <c r="H51" s="22">
        <f t="shared" si="14"/>
        <v>0</v>
      </c>
      <c r="I51" s="22">
        <f t="shared" si="14"/>
        <v>0</v>
      </c>
      <c r="J51" s="18">
        <f t="shared" si="3"/>
        <v>18.958500000000001</v>
      </c>
    </row>
    <row r="52" spans="1:10">
      <c r="A52" s="754"/>
      <c r="B52" s="764"/>
      <c r="C52" s="12">
        <v>2015</v>
      </c>
      <c r="D52" s="20">
        <f>E52+F52+G52+H52+I52</f>
        <v>6.2408000000000001</v>
      </c>
      <c r="E52" s="20">
        <f>1912.6/1000</f>
        <v>1.9125999999999999</v>
      </c>
      <c r="F52" s="20">
        <v>0</v>
      </c>
      <c r="G52" s="20">
        <f>4328.2/1000</f>
        <v>4.3281999999999998</v>
      </c>
      <c r="H52" s="20">
        <v>0</v>
      </c>
      <c r="I52" s="20">
        <v>0</v>
      </c>
      <c r="J52" s="18">
        <f t="shared" si="3"/>
        <v>6.2408000000000001</v>
      </c>
    </row>
    <row r="53" spans="1:10">
      <c r="A53" s="754"/>
      <c r="B53" s="764"/>
      <c r="C53" s="12">
        <v>2016</v>
      </c>
      <c r="D53" s="20">
        <f>E53+F53+G53+H53+I53</f>
        <v>6.3090999999999999</v>
      </c>
      <c r="E53" s="20">
        <f>1980.9/1000</f>
        <v>1.9809000000000001</v>
      </c>
      <c r="F53" s="20">
        <v>0</v>
      </c>
      <c r="G53" s="20">
        <f>4328.2/1000</f>
        <v>4.3281999999999998</v>
      </c>
      <c r="H53" s="20">
        <v>0</v>
      </c>
      <c r="I53" s="20">
        <v>0</v>
      </c>
      <c r="J53" s="18">
        <f t="shared" si="3"/>
        <v>6.3090999999999999</v>
      </c>
    </row>
    <row r="54" spans="1:10">
      <c r="A54" s="754"/>
      <c r="B54" s="764"/>
      <c r="C54" s="12">
        <v>2017</v>
      </c>
      <c r="D54" s="20">
        <f>E54+F54+G54+H54+I54</f>
        <v>6.4085999999999999</v>
      </c>
      <c r="E54" s="20">
        <f>2080.4/1000</f>
        <v>2.0804</v>
      </c>
      <c r="F54" s="20">
        <v>0</v>
      </c>
      <c r="G54" s="20">
        <f>4328.2/1000</f>
        <v>4.3281999999999998</v>
      </c>
      <c r="H54" s="20">
        <v>0</v>
      </c>
      <c r="I54" s="20">
        <v>0</v>
      </c>
      <c r="J54" s="18">
        <f t="shared" si="3"/>
        <v>6.4085999999999999</v>
      </c>
    </row>
    <row r="55" spans="1:10">
      <c r="A55" s="754" t="s">
        <v>38</v>
      </c>
      <c r="B55" s="763" t="s">
        <v>39</v>
      </c>
      <c r="C55" s="16" t="s">
        <v>16</v>
      </c>
      <c r="D55" s="21">
        <f t="shared" ref="D55:I55" si="15">D56+D57+D58</f>
        <v>32.561399999999999</v>
      </c>
      <c r="E55" s="21">
        <f t="shared" si="15"/>
        <v>0</v>
      </c>
      <c r="F55" s="21">
        <f t="shared" si="15"/>
        <v>0</v>
      </c>
      <c r="G55" s="21">
        <f t="shared" si="15"/>
        <v>32.561399999999999</v>
      </c>
      <c r="H55" s="22">
        <f t="shared" si="15"/>
        <v>0</v>
      </c>
      <c r="I55" s="22">
        <f t="shared" si="15"/>
        <v>0</v>
      </c>
      <c r="J55" s="18">
        <f t="shared" si="3"/>
        <v>32.561399999999999</v>
      </c>
    </row>
    <row r="56" spans="1:10">
      <c r="A56" s="754"/>
      <c r="B56" s="763"/>
      <c r="C56" s="12">
        <v>2015</v>
      </c>
      <c r="D56" s="20">
        <f>E56+F56+G56+H56+I56</f>
        <v>10.8538</v>
      </c>
      <c r="E56" s="22">
        <v>0</v>
      </c>
      <c r="F56" s="22">
        <v>0</v>
      </c>
      <c r="G56" s="22">
        <f>10853.8/1000</f>
        <v>10.8538</v>
      </c>
      <c r="H56" s="22">
        <v>0</v>
      </c>
      <c r="I56" s="22">
        <v>0</v>
      </c>
      <c r="J56" s="18">
        <f t="shared" si="3"/>
        <v>10.8538</v>
      </c>
    </row>
    <row r="57" spans="1:10">
      <c r="A57" s="754"/>
      <c r="B57" s="763"/>
      <c r="C57" s="12">
        <v>2016</v>
      </c>
      <c r="D57" s="20">
        <f>E57+F57+G57+H57+I57</f>
        <v>10.8538</v>
      </c>
      <c r="E57" s="22">
        <v>0</v>
      </c>
      <c r="F57" s="22">
        <v>0</v>
      </c>
      <c r="G57" s="22">
        <f>10853.8/1000</f>
        <v>10.8538</v>
      </c>
      <c r="H57" s="22">
        <v>0</v>
      </c>
      <c r="I57" s="22">
        <v>0</v>
      </c>
      <c r="J57" s="18">
        <f t="shared" si="3"/>
        <v>10.8538</v>
      </c>
    </row>
    <row r="58" spans="1:10" ht="13.5" customHeight="1">
      <c r="A58" s="754"/>
      <c r="B58" s="763"/>
      <c r="C58" s="12">
        <v>2017</v>
      </c>
      <c r="D58" s="20">
        <f>E58+F58+G58+H58+I58</f>
        <v>10.8538</v>
      </c>
      <c r="E58" s="22">
        <v>0</v>
      </c>
      <c r="F58" s="22">
        <v>0</v>
      </c>
      <c r="G58" s="22">
        <f>10853.8/1000</f>
        <v>10.8538</v>
      </c>
      <c r="H58" s="22">
        <v>0</v>
      </c>
      <c r="I58" s="22">
        <v>0</v>
      </c>
      <c r="J58" s="18">
        <f t="shared" si="3"/>
        <v>10.8538</v>
      </c>
    </row>
    <row r="59" spans="1:10">
      <c r="A59" s="754" t="s">
        <v>40</v>
      </c>
      <c r="B59" s="764" t="s">
        <v>41</v>
      </c>
      <c r="C59" s="16" t="s">
        <v>16</v>
      </c>
      <c r="D59" s="21">
        <f t="shared" ref="D59:I59" si="16">D60+D61+D62</f>
        <v>19.701699999999999</v>
      </c>
      <c r="E59" s="21">
        <f t="shared" si="16"/>
        <v>19.701699999999999</v>
      </c>
      <c r="F59" s="21">
        <f t="shared" si="16"/>
        <v>0</v>
      </c>
      <c r="G59" s="21">
        <f t="shared" si="16"/>
        <v>0</v>
      </c>
      <c r="H59" s="22">
        <f t="shared" si="16"/>
        <v>0</v>
      </c>
      <c r="I59" s="22">
        <f t="shared" si="16"/>
        <v>0</v>
      </c>
      <c r="J59" s="18">
        <f t="shared" si="3"/>
        <v>19.701699999999999</v>
      </c>
    </row>
    <row r="60" spans="1:10">
      <c r="A60" s="754"/>
      <c r="B60" s="764"/>
      <c r="C60" s="12">
        <v>2015</v>
      </c>
      <c r="D60" s="20">
        <f>E60+F60+G60+H60+I60</f>
        <v>5.8620000000000001</v>
      </c>
      <c r="E60" s="23">
        <f>5862/1000</f>
        <v>5.8620000000000001</v>
      </c>
      <c r="F60" s="23">
        <v>0</v>
      </c>
      <c r="G60" s="23">
        <v>0</v>
      </c>
      <c r="H60" s="23">
        <v>0</v>
      </c>
      <c r="I60" s="23">
        <v>0</v>
      </c>
      <c r="J60" s="18">
        <f t="shared" si="3"/>
        <v>5.8620000000000001</v>
      </c>
    </row>
    <row r="61" spans="1:10">
      <c r="A61" s="754"/>
      <c r="B61" s="764"/>
      <c r="C61" s="12">
        <v>2016</v>
      </c>
      <c r="D61" s="20">
        <f>E61+F61+G61+H61+I61</f>
        <v>5.7466999999999997</v>
      </c>
      <c r="E61" s="23">
        <f>5746.7/1000</f>
        <v>5.7466999999999997</v>
      </c>
      <c r="F61" s="23">
        <v>0</v>
      </c>
      <c r="G61" s="23">
        <v>0</v>
      </c>
      <c r="H61" s="23">
        <v>0</v>
      </c>
      <c r="I61" s="23">
        <v>0</v>
      </c>
      <c r="J61" s="18">
        <f t="shared" si="3"/>
        <v>5.7466999999999997</v>
      </c>
    </row>
    <row r="62" spans="1:10">
      <c r="A62" s="754"/>
      <c r="B62" s="764"/>
      <c r="C62" s="12">
        <v>2017</v>
      </c>
      <c r="D62" s="20">
        <f>E62+F62+G62+H62+I62</f>
        <v>8.093</v>
      </c>
      <c r="E62" s="23">
        <f>8093/1000</f>
        <v>8.093</v>
      </c>
      <c r="F62" s="23">
        <v>0</v>
      </c>
      <c r="G62" s="23">
        <v>0</v>
      </c>
      <c r="H62" s="23">
        <v>0</v>
      </c>
      <c r="I62" s="23">
        <v>0</v>
      </c>
      <c r="J62" s="18">
        <f t="shared" si="3"/>
        <v>8.093</v>
      </c>
    </row>
    <row r="63" spans="1:10">
      <c r="A63" s="754" t="s">
        <v>42</v>
      </c>
      <c r="B63" s="763" t="s">
        <v>43</v>
      </c>
      <c r="C63" s="16" t="s">
        <v>16</v>
      </c>
      <c r="D63" s="21">
        <f t="shared" ref="D63:I63" si="17">D64+D65+D66</f>
        <v>155.90200000000002</v>
      </c>
      <c r="E63" s="21">
        <f t="shared" si="17"/>
        <v>155.90200000000002</v>
      </c>
      <c r="F63" s="21">
        <f t="shared" si="17"/>
        <v>0</v>
      </c>
      <c r="G63" s="21">
        <f t="shared" si="17"/>
        <v>0</v>
      </c>
      <c r="H63" s="22">
        <f t="shared" si="17"/>
        <v>0</v>
      </c>
      <c r="I63" s="22">
        <f t="shared" si="17"/>
        <v>0</v>
      </c>
      <c r="J63" s="18">
        <f t="shared" si="3"/>
        <v>155.90200000000002</v>
      </c>
    </row>
    <row r="64" spans="1:10" ht="12.75" customHeight="1">
      <c r="A64" s="754"/>
      <c r="B64" s="763"/>
      <c r="C64" s="12">
        <v>2015</v>
      </c>
      <c r="D64" s="20">
        <f>E64+F64+G64+H64+I64</f>
        <v>46.535800000000002</v>
      </c>
      <c r="E64" s="20">
        <f>46535.8/1000</f>
        <v>46.535800000000002</v>
      </c>
      <c r="F64" s="20">
        <v>0</v>
      </c>
      <c r="G64" s="20">
        <v>0</v>
      </c>
      <c r="H64" s="20">
        <v>0</v>
      </c>
      <c r="I64" s="20">
        <v>0</v>
      </c>
      <c r="J64" s="18">
        <f t="shared" si="3"/>
        <v>46.535800000000002</v>
      </c>
    </row>
    <row r="65" spans="1:10">
      <c r="A65" s="754"/>
      <c r="B65" s="763"/>
      <c r="C65" s="12">
        <v>2016</v>
      </c>
      <c r="D65" s="20">
        <f>E65+F65+G65+H65+I65</f>
        <v>50.419899999999998</v>
      </c>
      <c r="E65" s="20">
        <f>50419.9/1000</f>
        <v>50.419899999999998</v>
      </c>
      <c r="F65" s="20">
        <v>0</v>
      </c>
      <c r="G65" s="20">
        <v>0</v>
      </c>
      <c r="H65" s="20">
        <v>0</v>
      </c>
      <c r="I65" s="20">
        <v>0</v>
      </c>
      <c r="J65" s="18">
        <f t="shared" si="3"/>
        <v>50.419899999999998</v>
      </c>
    </row>
    <row r="66" spans="1:10">
      <c r="A66" s="754"/>
      <c r="B66" s="763"/>
      <c r="C66" s="12">
        <v>2017</v>
      </c>
      <c r="D66" s="20">
        <f>E66+F66+G66+H66+I66</f>
        <v>58.946300000000001</v>
      </c>
      <c r="E66" s="20">
        <f>58946.3/1000</f>
        <v>58.946300000000001</v>
      </c>
      <c r="F66" s="20">
        <v>0</v>
      </c>
      <c r="G66" s="20">
        <v>0</v>
      </c>
      <c r="H66" s="20">
        <v>0</v>
      </c>
      <c r="I66" s="20">
        <v>0</v>
      </c>
      <c r="J66" s="18">
        <f t="shared" si="3"/>
        <v>58.946300000000001</v>
      </c>
    </row>
    <row r="67" spans="1:10">
      <c r="A67" s="754" t="s">
        <v>44</v>
      </c>
      <c r="B67" s="764" t="s">
        <v>45</v>
      </c>
      <c r="C67" s="16" t="s">
        <v>16</v>
      </c>
      <c r="D67" s="21">
        <f t="shared" ref="D67:I67" si="18">D68+D69+D70</f>
        <v>154.149</v>
      </c>
      <c r="E67" s="21">
        <f t="shared" si="18"/>
        <v>154.149</v>
      </c>
      <c r="F67" s="21">
        <f t="shared" si="18"/>
        <v>0</v>
      </c>
      <c r="G67" s="21">
        <f t="shared" si="18"/>
        <v>0</v>
      </c>
      <c r="H67" s="22">
        <f t="shared" si="18"/>
        <v>0</v>
      </c>
      <c r="I67" s="22">
        <f t="shared" si="18"/>
        <v>0</v>
      </c>
      <c r="J67" s="18">
        <f t="shared" si="3"/>
        <v>154.149</v>
      </c>
    </row>
    <row r="68" spans="1:10">
      <c r="A68" s="754"/>
      <c r="B68" s="764"/>
      <c r="C68" s="12">
        <v>2015</v>
      </c>
      <c r="D68" s="20">
        <f>E68+F68+G68+H68+I68</f>
        <v>44.9863</v>
      </c>
      <c r="E68" s="22">
        <f>44986.3/1000</f>
        <v>44.9863</v>
      </c>
      <c r="F68" s="22">
        <v>0</v>
      </c>
      <c r="G68" s="22">
        <v>0</v>
      </c>
      <c r="H68" s="22">
        <v>0</v>
      </c>
      <c r="I68" s="22">
        <v>0</v>
      </c>
      <c r="J68" s="18">
        <f t="shared" si="3"/>
        <v>44.9863</v>
      </c>
    </row>
    <row r="69" spans="1:10">
      <c r="A69" s="754"/>
      <c r="B69" s="764"/>
      <c r="C69" s="12">
        <v>2016</v>
      </c>
      <c r="D69" s="20">
        <f>E69+F69+G69+H69+I69</f>
        <v>50.337900000000005</v>
      </c>
      <c r="E69" s="22">
        <f>50337.9/1000</f>
        <v>50.337900000000005</v>
      </c>
      <c r="F69" s="22">
        <v>0</v>
      </c>
      <c r="G69" s="22">
        <v>0</v>
      </c>
      <c r="H69" s="22">
        <v>0</v>
      </c>
      <c r="I69" s="22">
        <v>0</v>
      </c>
      <c r="J69" s="18">
        <f t="shared" si="3"/>
        <v>50.337900000000005</v>
      </c>
    </row>
    <row r="70" spans="1:10">
      <c r="A70" s="754"/>
      <c r="B70" s="764"/>
      <c r="C70" s="12">
        <v>2017</v>
      </c>
      <c r="D70" s="20">
        <f>E70+F70+G70+H70+I70</f>
        <v>58.824800000000003</v>
      </c>
      <c r="E70" s="22">
        <f>58824.8/1000</f>
        <v>58.824800000000003</v>
      </c>
      <c r="F70" s="22">
        <v>0</v>
      </c>
      <c r="G70" s="22">
        <v>0</v>
      </c>
      <c r="H70" s="22">
        <v>0</v>
      </c>
      <c r="I70" s="22">
        <v>0</v>
      </c>
      <c r="J70" s="18">
        <f t="shared" si="3"/>
        <v>58.824800000000003</v>
      </c>
    </row>
    <row r="71" spans="1:10">
      <c r="A71" s="754" t="s">
        <v>46</v>
      </c>
      <c r="B71" s="764" t="s">
        <v>47</v>
      </c>
      <c r="C71" s="16" t="s">
        <v>16</v>
      </c>
      <c r="D71" s="21">
        <f t="shared" ref="D71:I71" si="19">D72+D73+D74</f>
        <v>1.7530000000000001</v>
      </c>
      <c r="E71" s="21">
        <f t="shared" si="19"/>
        <v>1.7530000000000001</v>
      </c>
      <c r="F71" s="21">
        <f t="shared" si="19"/>
        <v>0</v>
      </c>
      <c r="G71" s="21">
        <f t="shared" si="19"/>
        <v>0</v>
      </c>
      <c r="H71" s="22">
        <f t="shared" si="19"/>
        <v>0</v>
      </c>
      <c r="I71" s="22">
        <f t="shared" si="19"/>
        <v>0</v>
      </c>
      <c r="J71" s="18">
        <f t="shared" si="3"/>
        <v>1.7530000000000001</v>
      </c>
    </row>
    <row r="72" spans="1:10">
      <c r="A72" s="754"/>
      <c r="B72" s="764"/>
      <c r="C72" s="12">
        <v>2015</v>
      </c>
      <c r="D72" s="20">
        <f>E72+F72+G72+H72+I72</f>
        <v>1.5495000000000001</v>
      </c>
      <c r="E72" s="20">
        <f>1549.5/1000</f>
        <v>1.5495000000000001</v>
      </c>
      <c r="F72" s="20">
        <v>0</v>
      </c>
      <c r="G72" s="20">
        <v>0</v>
      </c>
      <c r="H72" s="20">
        <v>0</v>
      </c>
      <c r="I72" s="20">
        <v>0</v>
      </c>
      <c r="J72" s="18">
        <f t="shared" si="3"/>
        <v>1.5495000000000001</v>
      </c>
    </row>
    <row r="73" spans="1:10">
      <c r="A73" s="754"/>
      <c r="B73" s="764"/>
      <c r="C73" s="12">
        <v>2016</v>
      </c>
      <c r="D73" s="20">
        <f>E73+F73+G73+H73+I73</f>
        <v>8.2000000000000003E-2</v>
      </c>
      <c r="E73" s="20">
        <f>82/1000</f>
        <v>8.2000000000000003E-2</v>
      </c>
      <c r="F73" s="20">
        <v>0</v>
      </c>
      <c r="G73" s="20">
        <v>0</v>
      </c>
      <c r="H73" s="20">
        <v>0</v>
      </c>
      <c r="I73" s="20">
        <v>0</v>
      </c>
      <c r="J73" s="18">
        <f t="shared" si="3"/>
        <v>8.2000000000000003E-2</v>
      </c>
    </row>
    <row r="74" spans="1:10">
      <c r="A74" s="754"/>
      <c r="B74" s="764"/>
      <c r="C74" s="12">
        <v>2017</v>
      </c>
      <c r="D74" s="20">
        <f>E74+F74+G74+H74+I74</f>
        <v>0.1215</v>
      </c>
      <c r="E74" s="20">
        <f>121.5/1000</f>
        <v>0.1215</v>
      </c>
      <c r="F74" s="20">
        <v>0</v>
      </c>
      <c r="G74" s="20">
        <v>0</v>
      </c>
      <c r="H74" s="20">
        <v>0</v>
      </c>
      <c r="I74" s="20">
        <v>0</v>
      </c>
      <c r="J74" s="18">
        <f t="shared" si="3"/>
        <v>0.1215</v>
      </c>
    </row>
    <row r="75" spans="1:10" ht="14.25" customHeight="1">
      <c r="A75" s="754" t="s">
        <v>48</v>
      </c>
      <c r="B75" s="763" t="s">
        <v>49</v>
      </c>
      <c r="C75" s="16" t="s">
        <v>16</v>
      </c>
      <c r="D75" s="21">
        <f t="shared" ref="D75:I75" si="20">D76+D77+D78</f>
        <v>135.26819999999998</v>
      </c>
      <c r="E75" s="21">
        <f t="shared" si="20"/>
        <v>135.26819999999998</v>
      </c>
      <c r="F75" s="21">
        <f t="shared" si="20"/>
        <v>0</v>
      </c>
      <c r="G75" s="21">
        <f t="shared" si="20"/>
        <v>0</v>
      </c>
      <c r="H75" s="22">
        <f t="shared" si="20"/>
        <v>0</v>
      </c>
      <c r="I75" s="22">
        <f t="shared" si="20"/>
        <v>0</v>
      </c>
      <c r="J75" s="18">
        <f t="shared" si="3"/>
        <v>135.26819999999998</v>
      </c>
    </row>
    <row r="76" spans="1:10" ht="14.25" customHeight="1">
      <c r="A76" s="754"/>
      <c r="B76" s="763"/>
      <c r="C76" s="12">
        <v>2015</v>
      </c>
      <c r="D76" s="20">
        <f>E76+F76+G76+H76+I76</f>
        <v>45.703000000000003</v>
      </c>
      <c r="E76" s="20">
        <f>45703/1000</f>
        <v>45.703000000000003</v>
      </c>
      <c r="F76" s="20">
        <v>0</v>
      </c>
      <c r="G76" s="20">
        <v>0</v>
      </c>
      <c r="H76" s="20">
        <v>0</v>
      </c>
      <c r="I76" s="20">
        <v>0</v>
      </c>
      <c r="J76" s="18">
        <f t="shared" si="3"/>
        <v>45.703000000000003</v>
      </c>
    </row>
    <row r="77" spans="1:10" ht="14.25" customHeight="1">
      <c r="A77" s="754"/>
      <c r="B77" s="763"/>
      <c r="C77" s="12">
        <v>2016</v>
      </c>
      <c r="D77" s="20">
        <f>E77+F77+G77+H77+I77</f>
        <v>44.747099999999996</v>
      </c>
      <c r="E77" s="20">
        <f>44747.1/1000</f>
        <v>44.747099999999996</v>
      </c>
      <c r="F77" s="20">
        <v>0</v>
      </c>
      <c r="G77" s="20">
        <v>0</v>
      </c>
      <c r="H77" s="20">
        <v>0</v>
      </c>
      <c r="I77" s="20">
        <v>0</v>
      </c>
      <c r="J77" s="18">
        <f t="shared" si="3"/>
        <v>44.747099999999996</v>
      </c>
    </row>
    <row r="78" spans="1:10" ht="15.75" customHeight="1">
      <c r="A78" s="754"/>
      <c r="B78" s="763"/>
      <c r="C78" s="12">
        <v>2017</v>
      </c>
      <c r="D78" s="20">
        <f>E78+F78+G78+H78+I78</f>
        <v>44.818100000000001</v>
      </c>
      <c r="E78" s="20">
        <f>44818.1/1000</f>
        <v>44.818100000000001</v>
      </c>
      <c r="F78" s="20">
        <v>0</v>
      </c>
      <c r="G78" s="20">
        <v>0</v>
      </c>
      <c r="H78" s="20">
        <v>0</v>
      </c>
      <c r="I78" s="20">
        <v>0</v>
      </c>
      <c r="J78" s="18">
        <f t="shared" si="3"/>
        <v>44.818100000000001</v>
      </c>
    </row>
    <row r="79" spans="1:10">
      <c r="A79" s="754" t="s">
        <v>50</v>
      </c>
      <c r="B79" s="764" t="s">
        <v>51</v>
      </c>
      <c r="C79" s="16" t="s">
        <v>16</v>
      </c>
      <c r="D79" s="21">
        <f t="shared" ref="D79:I79" si="21">D80+D81+D82</f>
        <v>18.072000000000003</v>
      </c>
      <c r="E79" s="21">
        <f t="shared" si="21"/>
        <v>18.072000000000003</v>
      </c>
      <c r="F79" s="21">
        <f t="shared" si="21"/>
        <v>0</v>
      </c>
      <c r="G79" s="21">
        <f t="shared" si="21"/>
        <v>0</v>
      </c>
      <c r="H79" s="22">
        <f t="shared" si="21"/>
        <v>0</v>
      </c>
      <c r="I79" s="22">
        <f t="shared" si="21"/>
        <v>0</v>
      </c>
      <c r="J79" s="18">
        <f t="shared" ref="J79:J142" si="22">SUM(E79:I79)</f>
        <v>18.072000000000003</v>
      </c>
    </row>
    <row r="80" spans="1:10" ht="15.75" customHeight="1">
      <c r="A80" s="754"/>
      <c r="B80" s="764"/>
      <c r="C80" s="12">
        <v>2015</v>
      </c>
      <c r="D80" s="20">
        <f>E80+F80+G80+H80+I80</f>
        <v>6.1076000000000006</v>
      </c>
      <c r="E80" s="22">
        <f>6107.6/1000</f>
        <v>6.1076000000000006</v>
      </c>
      <c r="F80" s="22">
        <v>0</v>
      </c>
      <c r="G80" s="22">
        <v>0</v>
      </c>
      <c r="H80" s="22">
        <v>0</v>
      </c>
      <c r="I80" s="20">
        <v>0</v>
      </c>
      <c r="J80" s="18">
        <f t="shared" si="22"/>
        <v>6.1076000000000006</v>
      </c>
    </row>
    <row r="81" spans="1:10" ht="15.75" customHeight="1">
      <c r="A81" s="754"/>
      <c r="B81" s="764"/>
      <c r="C81" s="12">
        <v>2016</v>
      </c>
      <c r="D81" s="20">
        <f>E81+F81+G81+H81+I81</f>
        <v>5.9818999999999996</v>
      </c>
      <c r="E81" s="22">
        <f>5981.9/1000</f>
        <v>5.9818999999999996</v>
      </c>
      <c r="F81" s="22">
        <v>0</v>
      </c>
      <c r="G81" s="22">
        <v>0</v>
      </c>
      <c r="H81" s="22">
        <v>0</v>
      </c>
      <c r="I81" s="20">
        <v>0</v>
      </c>
      <c r="J81" s="18">
        <f t="shared" si="22"/>
        <v>5.9818999999999996</v>
      </c>
    </row>
    <row r="82" spans="1:10" ht="15.75" customHeight="1">
      <c r="A82" s="754"/>
      <c r="B82" s="764"/>
      <c r="C82" s="12">
        <v>2017</v>
      </c>
      <c r="D82" s="20">
        <f>E82+F82+G82+H82+I82</f>
        <v>5.9824999999999999</v>
      </c>
      <c r="E82" s="22">
        <f>5982.5/1000</f>
        <v>5.9824999999999999</v>
      </c>
      <c r="F82" s="22">
        <v>0</v>
      </c>
      <c r="G82" s="22">
        <v>0</v>
      </c>
      <c r="H82" s="22">
        <v>0</v>
      </c>
      <c r="I82" s="20">
        <v>0</v>
      </c>
      <c r="J82" s="18">
        <f t="shared" si="22"/>
        <v>5.9824999999999999</v>
      </c>
    </row>
    <row r="83" spans="1:10" ht="15.75" customHeight="1">
      <c r="A83" s="754" t="s">
        <v>52</v>
      </c>
      <c r="B83" s="764" t="s">
        <v>53</v>
      </c>
      <c r="C83" s="16" t="s">
        <v>16</v>
      </c>
      <c r="D83" s="21">
        <f t="shared" ref="D83:I83" si="23">D84+D85+D86</f>
        <v>95.993200000000002</v>
      </c>
      <c r="E83" s="21">
        <f t="shared" si="23"/>
        <v>95.993200000000002</v>
      </c>
      <c r="F83" s="21">
        <f t="shared" si="23"/>
        <v>0</v>
      </c>
      <c r="G83" s="21">
        <f t="shared" si="23"/>
        <v>0</v>
      </c>
      <c r="H83" s="22">
        <f t="shared" si="23"/>
        <v>0</v>
      </c>
      <c r="I83" s="22">
        <f t="shared" si="23"/>
        <v>0</v>
      </c>
      <c r="J83" s="18">
        <f t="shared" si="22"/>
        <v>95.993200000000002</v>
      </c>
    </row>
    <row r="84" spans="1:10" ht="15.75" customHeight="1">
      <c r="A84" s="754"/>
      <c r="B84" s="764"/>
      <c r="C84" s="12">
        <v>2015</v>
      </c>
      <c r="D84" s="20">
        <f>E84+F84+G84+H84+I84</f>
        <v>32.4953</v>
      </c>
      <c r="E84" s="22">
        <f>32495.3/1000</f>
        <v>32.4953</v>
      </c>
      <c r="F84" s="22">
        <v>0</v>
      </c>
      <c r="G84" s="22">
        <v>0</v>
      </c>
      <c r="H84" s="22">
        <v>0</v>
      </c>
      <c r="I84" s="20">
        <v>0</v>
      </c>
      <c r="J84" s="18">
        <f t="shared" si="22"/>
        <v>32.4953</v>
      </c>
    </row>
    <row r="85" spans="1:10" ht="15.75" customHeight="1">
      <c r="A85" s="754"/>
      <c r="B85" s="764"/>
      <c r="C85" s="12">
        <v>2016</v>
      </c>
      <c r="D85" s="20">
        <f>E85+F85+G85+H85+I85</f>
        <v>31.713799999999999</v>
      </c>
      <c r="E85" s="22">
        <f>31713.8/1000</f>
        <v>31.713799999999999</v>
      </c>
      <c r="F85" s="22">
        <v>0</v>
      </c>
      <c r="G85" s="22">
        <v>0</v>
      </c>
      <c r="H85" s="22">
        <v>0</v>
      </c>
      <c r="I85" s="20">
        <v>0</v>
      </c>
      <c r="J85" s="18">
        <f t="shared" si="22"/>
        <v>31.713799999999999</v>
      </c>
    </row>
    <row r="86" spans="1:10" ht="15.75" customHeight="1">
      <c r="A86" s="754"/>
      <c r="B86" s="764"/>
      <c r="C86" s="12">
        <v>2017</v>
      </c>
      <c r="D86" s="20">
        <f>E86+F86+G86+H86+I86</f>
        <v>31.784099999999999</v>
      </c>
      <c r="E86" s="22">
        <f>31784.1/1000</f>
        <v>31.784099999999999</v>
      </c>
      <c r="F86" s="22">
        <v>0</v>
      </c>
      <c r="G86" s="22">
        <v>0</v>
      </c>
      <c r="H86" s="22">
        <v>0</v>
      </c>
      <c r="I86" s="20">
        <v>0</v>
      </c>
      <c r="J86" s="18">
        <f t="shared" si="22"/>
        <v>31.784099999999999</v>
      </c>
    </row>
    <row r="87" spans="1:10">
      <c r="A87" s="754" t="s">
        <v>54</v>
      </c>
      <c r="B87" s="764" t="s">
        <v>55</v>
      </c>
      <c r="C87" s="16" t="s">
        <v>16</v>
      </c>
      <c r="D87" s="21">
        <f t="shared" ref="D87:I87" si="24">D88+D89+D90</f>
        <v>21.202999999999999</v>
      </c>
      <c r="E87" s="21">
        <f t="shared" si="24"/>
        <v>21.202999999999999</v>
      </c>
      <c r="F87" s="21">
        <f t="shared" si="24"/>
        <v>0</v>
      </c>
      <c r="G87" s="21">
        <f t="shared" si="24"/>
        <v>0</v>
      </c>
      <c r="H87" s="22">
        <f t="shared" si="24"/>
        <v>0</v>
      </c>
      <c r="I87" s="22">
        <f t="shared" si="24"/>
        <v>0</v>
      </c>
      <c r="J87" s="18">
        <f t="shared" si="22"/>
        <v>21.202999999999999</v>
      </c>
    </row>
    <row r="88" spans="1:10" ht="15.75" customHeight="1">
      <c r="A88" s="754"/>
      <c r="B88" s="764"/>
      <c r="C88" s="12">
        <v>2015</v>
      </c>
      <c r="D88" s="20">
        <f>E88+F88+G88+H88+I88</f>
        <v>7.1001000000000003</v>
      </c>
      <c r="E88" s="22">
        <f>7100.1/1000</f>
        <v>7.1001000000000003</v>
      </c>
      <c r="F88" s="22">
        <v>0</v>
      </c>
      <c r="G88" s="22">
        <v>0</v>
      </c>
      <c r="H88" s="22">
        <v>0</v>
      </c>
      <c r="I88" s="20">
        <v>0</v>
      </c>
      <c r="J88" s="18">
        <f t="shared" si="22"/>
        <v>7.1001000000000003</v>
      </c>
    </row>
    <row r="89" spans="1:10" ht="15.75" customHeight="1">
      <c r="A89" s="754"/>
      <c r="B89" s="764"/>
      <c r="C89" s="12">
        <v>2016</v>
      </c>
      <c r="D89" s="20">
        <f>E89+F89+G89+H89+I89</f>
        <v>7.0513999999999992</v>
      </c>
      <c r="E89" s="22">
        <f>7051.4/1000</f>
        <v>7.0513999999999992</v>
      </c>
      <c r="F89" s="22">
        <v>0</v>
      </c>
      <c r="G89" s="22">
        <v>0</v>
      </c>
      <c r="H89" s="22">
        <v>0</v>
      </c>
      <c r="I89" s="20">
        <v>0</v>
      </c>
      <c r="J89" s="18">
        <f t="shared" si="22"/>
        <v>7.0513999999999992</v>
      </c>
    </row>
    <row r="90" spans="1:10" ht="15.75" customHeight="1">
      <c r="A90" s="754"/>
      <c r="B90" s="764"/>
      <c r="C90" s="12">
        <v>2017</v>
      </c>
      <c r="D90" s="20">
        <f>E90+F90+G90+H90+I90</f>
        <v>7.0514999999999999</v>
      </c>
      <c r="E90" s="22">
        <f>7051.5/1000</f>
        <v>7.0514999999999999</v>
      </c>
      <c r="F90" s="22">
        <v>0</v>
      </c>
      <c r="G90" s="22">
        <v>0</v>
      </c>
      <c r="H90" s="22">
        <v>0</v>
      </c>
      <c r="I90" s="20">
        <v>0</v>
      </c>
      <c r="J90" s="18">
        <f t="shared" si="22"/>
        <v>7.0514999999999999</v>
      </c>
    </row>
    <row r="91" spans="1:10">
      <c r="A91" s="754" t="s">
        <v>56</v>
      </c>
      <c r="B91" s="762" t="s">
        <v>57</v>
      </c>
      <c r="C91" s="16" t="s">
        <v>16</v>
      </c>
      <c r="D91" s="21">
        <f t="shared" ref="D91:I91" si="25">D92+D93+D94</f>
        <v>410.77689999999996</v>
      </c>
      <c r="E91" s="21">
        <f t="shared" si="25"/>
        <v>409.91829999999993</v>
      </c>
      <c r="F91" s="21">
        <f t="shared" si="25"/>
        <v>0.1056</v>
      </c>
      <c r="G91" s="21">
        <f t="shared" si="25"/>
        <v>0.753</v>
      </c>
      <c r="H91" s="22">
        <f t="shared" si="25"/>
        <v>0</v>
      </c>
      <c r="I91" s="22">
        <f t="shared" si="25"/>
        <v>0</v>
      </c>
      <c r="J91" s="18">
        <f t="shared" si="22"/>
        <v>410.7768999999999</v>
      </c>
    </row>
    <row r="92" spans="1:10">
      <c r="A92" s="754"/>
      <c r="B92" s="762"/>
      <c r="C92" s="12">
        <v>2015</v>
      </c>
      <c r="D92" s="20">
        <f t="shared" ref="D92:I94" si="26">D96</f>
        <v>117.7098</v>
      </c>
      <c r="E92" s="22">
        <f t="shared" si="26"/>
        <v>117.42359999999999</v>
      </c>
      <c r="F92" s="22">
        <f t="shared" si="26"/>
        <v>3.5200000000000002E-2</v>
      </c>
      <c r="G92" s="22">
        <f t="shared" si="26"/>
        <v>0.251</v>
      </c>
      <c r="H92" s="22">
        <f t="shared" si="26"/>
        <v>0</v>
      </c>
      <c r="I92" s="22">
        <f t="shared" si="26"/>
        <v>0</v>
      </c>
      <c r="J92" s="18">
        <f t="shared" si="22"/>
        <v>117.7098</v>
      </c>
    </row>
    <row r="93" spans="1:10">
      <c r="A93" s="754"/>
      <c r="B93" s="762"/>
      <c r="C93" s="12">
        <v>2016</v>
      </c>
      <c r="D93" s="20">
        <f t="shared" si="26"/>
        <v>136.09410000000003</v>
      </c>
      <c r="E93" s="22">
        <f t="shared" si="26"/>
        <v>135.80790000000002</v>
      </c>
      <c r="F93" s="22">
        <f t="shared" si="26"/>
        <v>3.5200000000000002E-2</v>
      </c>
      <c r="G93" s="22">
        <f t="shared" si="26"/>
        <v>0.251</v>
      </c>
      <c r="H93" s="22">
        <f t="shared" si="26"/>
        <v>0</v>
      </c>
      <c r="I93" s="22">
        <f t="shared" si="26"/>
        <v>0</v>
      </c>
      <c r="J93" s="18">
        <f t="shared" si="22"/>
        <v>136.09410000000003</v>
      </c>
    </row>
    <row r="94" spans="1:10">
      <c r="A94" s="754"/>
      <c r="B94" s="762"/>
      <c r="C94" s="12">
        <v>2017</v>
      </c>
      <c r="D94" s="20">
        <f t="shared" si="26"/>
        <v>156.97299999999996</v>
      </c>
      <c r="E94" s="22">
        <f t="shared" si="26"/>
        <v>156.68679999999995</v>
      </c>
      <c r="F94" s="22">
        <f t="shared" si="26"/>
        <v>3.5200000000000002E-2</v>
      </c>
      <c r="G94" s="22">
        <f t="shared" si="26"/>
        <v>0.251</v>
      </c>
      <c r="H94" s="22">
        <f t="shared" si="26"/>
        <v>0</v>
      </c>
      <c r="I94" s="22">
        <f t="shared" si="26"/>
        <v>0</v>
      </c>
      <c r="J94" s="18">
        <f t="shared" si="22"/>
        <v>156.97299999999996</v>
      </c>
    </row>
    <row r="95" spans="1:10" ht="15.75" customHeight="1">
      <c r="A95" s="754" t="s">
        <v>58</v>
      </c>
      <c r="B95" s="765" t="s">
        <v>59</v>
      </c>
      <c r="C95" s="16" t="s">
        <v>16</v>
      </c>
      <c r="D95" s="21">
        <f t="shared" ref="D95:I95" si="27">D96+D97+D98</f>
        <v>410.77689999999996</v>
      </c>
      <c r="E95" s="21">
        <f t="shared" si="27"/>
        <v>409.91829999999993</v>
      </c>
      <c r="F95" s="21">
        <f t="shared" si="27"/>
        <v>0.1056</v>
      </c>
      <c r="G95" s="21">
        <f t="shared" si="27"/>
        <v>0.753</v>
      </c>
      <c r="H95" s="22">
        <f t="shared" si="27"/>
        <v>0</v>
      </c>
      <c r="I95" s="22">
        <f t="shared" si="27"/>
        <v>0</v>
      </c>
      <c r="J95" s="18">
        <f t="shared" si="22"/>
        <v>410.7768999999999</v>
      </c>
    </row>
    <row r="96" spans="1:10">
      <c r="A96" s="754"/>
      <c r="B96" s="765"/>
      <c r="C96" s="12">
        <v>2015</v>
      </c>
      <c r="D96" s="20">
        <f>E96+F96+G96+H96+I96</f>
        <v>117.7098</v>
      </c>
      <c r="E96" s="23">
        <f t="shared" ref="E96:I98" si="28">E100+E124+E140+E160+E180+E216</f>
        <v>117.42359999999999</v>
      </c>
      <c r="F96" s="23">
        <f t="shared" si="28"/>
        <v>3.5200000000000002E-2</v>
      </c>
      <c r="G96" s="23">
        <f t="shared" si="28"/>
        <v>0.251</v>
      </c>
      <c r="H96" s="23">
        <f t="shared" si="28"/>
        <v>0</v>
      </c>
      <c r="I96" s="23">
        <f t="shared" si="28"/>
        <v>0</v>
      </c>
      <c r="J96" s="18">
        <f t="shared" si="22"/>
        <v>117.7098</v>
      </c>
    </row>
    <row r="97" spans="1:10">
      <c r="A97" s="754"/>
      <c r="B97" s="765"/>
      <c r="C97" s="12">
        <v>2016</v>
      </c>
      <c r="D97" s="20">
        <f>E97+F97+G97+H97+I97</f>
        <v>136.09410000000003</v>
      </c>
      <c r="E97" s="23">
        <f t="shared" si="28"/>
        <v>135.80790000000002</v>
      </c>
      <c r="F97" s="23">
        <f t="shared" si="28"/>
        <v>3.5200000000000002E-2</v>
      </c>
      <c r="G97" s="23">
        <f t="shared" si="28"/>
        <v>0.251</v>
      </c>
      <c r="H97" s="23">
        <f t="shared" si="28"/>
        <v>0</v>
      </c>
      <c r="I97" s="23">
        <f t="shared" si="28"/>
        <v>0</v>
      </c>
      <c r="J97" s="18">
        <f t="shared" si="22"/>
        <v>136.09410000000003</v>
      </c>
    </row>
    <row r="98" spans="1:10">
      <c r="A98" s="754"/>
      <c r="B98" s="765"/>
      <c r="C98" s="12">
        <v>2017</v>
      </c>
      <c r="D98" s="20">
        <f>E98+F98+G98+H98+I98</f>
        <v>156.97299999999996</v>
      </c>
      <c r="E98" s="23">
        <f t="shared" si="28"/>
        <v>156.68679999999995</v>
      </c>
      <c r="F98" s="23">
        <f t="shared" si="28"/>
        <v>3.5200000000000002E-2</v>
      </c>
      <c r="G98" s="23">
        <f t="shared" si="28"/>
        <v>0.251</v>
      </c>
      <c r="H98" s="23">
        <f t="shared" si="28"/>
        <v>0</v>
      </c>
      <c r="I98" s="23">
        <f t="shared" si="28"/>
        <v>0</v>
      </c>
      <c r="J98" s="18">
        <f t="shared" si="22"/>
        <v>156.97299999999996</v>
      </c>
    </row>
    <row r="99" spans="1:10">
      <c r="A99" s="754" t="s">
        <v>60</v>
      </c>
      <c r="B99" s="767" t="s">
        <v>61</v>
      </c>
      <c r="C99" s="16" t="s">
        <v>16</v>
      </c>
      <c r="D99" s="21">
        <f t="shared" ref="D99:I99" si="29">D100+D101+D102</f>
        <v>0.49680000000000007</v>
      </c>
      <c r="E99" s="21">
        <f t="shared" si="29"/>
        <v>0.28560000000000002</v>
      </c>
      <c r="F99" s="21">
        <f t="shared" si="29"/>
        <v>0.1056</v>
      </c>
      <c r="G99" s="21">
        <f t="shared" si="29"/>
        <v>0.1056</v>
      </c>
      <c r="H99" s="22">
        <f t="shared" si="29"/>
        <v>0</v>
      </c>
      <c r="I99" s="22">
        <f t="shared" si="29"/>
        <v>0</v>
      </c>
      <c r="J99" s="18">
        <f t="shared" si="22"/>
        <v>0.49680000000000002</v>
      </c>
    </row>
    <row r="100" spans="1:10">
      <c r="A100" s="754"/>
      <c r="B100" s="767"/>
      <c r="C100" s="12">
        <v>2015</v>
      </c>
      <c r="D100" s="20">
        <f>E100+F100+G100+H100+I100</f>
        <v>0.16560000000000002</v>
      </c>
      <c r="E100" s="23">
        <f>95.2/1000</f>
        <v>9.5200000000000007E-2</v>
      </c>
      <c r="F100" s="23">
        <f t="shared" ref="F100:G102" si="30">35.2/1000</f>
        <v>3.5200000000000002E-2</v>
      </c>
      <c r="G100" s="23">
        <f t="shared" si="30"/>
        <v>3.5200000000000002E-2</v>
      </c>
      <c r="H100" s="22">
        <v>0</v>
      </c>
      <c r="I100" s="20">
        <v>0</v>
      </c>
      <c r="J100" s="18">
        <f t="shared" si="22"/>
        <v>0.16560000000000002</v>
      </c>
    </row>
    <row r="101" spans="1:10">
      <c r="A101" s="754"/>
      <c r="B101" s="767"/>
      <c r="C101" s="12">
        <v>2016</v>
      </c>
      <c r="D101" s="20">
        <f>E101+F101+G101+H101+I101</f>
        <v>0.16560000000000002</v>
      </c>
      <c r="E101" s="23">
        <f>95.2/1000</f>
        <v>9.5200000000000007E-2</v>
      </c>
      <c r="F101" s="23">
        <f t="shared" si="30"/>
        <v>3.5200000000000002E-2</v>
      </c>
      <c r="G101" s="23">
        <f t="shared" si="30"/>
        <v>3.5200000000000002E-2</v>
      </c>
      <c r="H101" s="22">
        <v>0</v>
      </c>
      <c r="I101" s="20">
        <v>0</v>
      </c>
      <c r="J101" s="18">
        <f t="shared" si="22"/>
        <v>0.16560000000000002</v>
      </c>
    </row>
    <row r="102" spans="1:10">
      <c r="A102" s="754"/>
      <c r="B102" s="767"/>
      <c r="C102" s="12">
        <v>2017</v>
      </c>
      <c r="D102" s="20">
        <f>E102+F102+G102+H102+I102</f>
        <v>0.16560000000000002</v>
      </c>
      <c r="E102" s="23">
        <f>95.2/1000</f>
        <v>9.5200000000000007E-2</v>
      </c>
      <c r="F102" s="23">
        <f t="shared" si="30"/>
        <v>3.5200000000000002E-2</v>
      </c>
      <c r="G102" s="23">
        <f t="shared" si="30"/>
        <v>3.5200000000000002E-2</v>
      </c>
      <c r="H102" s="22">
        <v>0</v>
      </c>
      <c r="I102" s="20">
        <v>0</v>
      </c>
      <c r="J102" s="18">
        <f t="shared" si="22"/>
        <v>0.16560000000000002</v>
      </c>
    </row>
    <row r="103" spans="1:10" ht="15.75" customHeight="1">
      <c r="A103" s="754" t="s">
        <v>62</v>
      </c>
      <c r="B103" s="767" t="s">
        <v>63</v>
      </c>
      <c r="C103" s="16" t="s">
        <v>16</v>
      </c>
      <c r="D103" s="21">
        <f t="shared" ref="D103:I103" si="31">D104+D105+D106</f>
        <v>0.09</v>
      </c>
      <c r="E103" s="21">
        <f t="shared" si="31"/>
        <v>0.09</v>
      </c>
      <c r="F103" s="21">
        <f t="shared" si="31"/>
        <v>0</v>
      </c>
      <c r="G103" s="21">
        <f t="shared" si="31"/>
        <v>0</v>
      </c>
      <c r="H103" s="22">
        <f t="shared" si="31"/>
        <v>0</v>
      </c>
      <c r="I103" s="22">
        <f t="shared" si="31"/>
        <v>0</v>
      </c>
      <c r="J103" s="18">
        <f t="shared" si="22"/>
        <v>0.09</v>
      </c>
    </row>
    <row r="104" spans="1:10" ht="15.75" customHeight="1">
      <c r="A104" s="754"/>
      <c r="B104" s="767"/>
      <c r="C104" s="12">
        <v>2015</v>
      </c>
      <c r="D104" s="20">
        <f>E104+F104+G104+H104+I104</f>
        <v>0.03</v>
      </c>
      <c r="E104" s="23">
        <f>30/1000</f>
        <v>0.03</v>
      </c>
      <c r="F104" s="23">
        <v>0</v>
      </c>
      <c r="G104" s="23">
        <v>0</v>
      </c>
      <c r="H104" s="22">
        <v>0</v>
      </c>
      <c r="I104" s="22">
        <v>0</v>
      </c>
      <c r="J104" s="18">
        <f t="shared" si="22"/>
        <v>0.03</v>
      </c>
    </row>
    <row r="105" spans="1:10" ht="15.75" customHeight="1">
      <c r="A105" s="754"/>
      <c r="B105" s="767"/>
      <c r="C105" s="12">
        <v>2016</v>
      </c>
      <c r="D105" s="20">
        <f>E105+F105+G105+H105+I105</f>
        <v>0.03</v>
      </c>
      <c r="E105" s="23">
        <f>30/1000</f>
        <v>0.03</v>
      </c>
      <c r="F105" s="23">
        <v>0</v>
      </c>
      <c r="G105" s="23">
        <v>0</v>
      </c>
      <c r="H105" s="22">
        <v>0</v>
      </c>
      <c r="I105" s="22">
        <v>0</v>
      </c>
      <c r="J105" s="18">
        <f t="shared" si="22"/>
        <v>0.03</v>
      </c>
    </row>
    <row r="106" spans="1:10" ht="15.75" customHeight="1">
      <c r="A106" s="754"/>
      <c r="B106" s="767"/>
      <c r="C106" s="12">
        <v>2017</v>
      </c>
      <c r="D106" s="20">
        <f>E106+F106+G106+H106+I106</f>
        <v>0.03</v>
      </c>
      <c r="E106" s="23">
        <f>30/1000</f>
        <v>0.03</v>
      </c>
      <c r="F106" s="23">
        <v>0</v>
      </c>
      <c r="G106" s="23">
        <v>0</v>
      </c>
      <c r="H106" s="22">
        <v>0</v>
      </c>
      <c r="I106" s="22">
        <v>0</v>
      </c>
      <c r="J106" s="18">
        <f t="shared" si="22"/>
        <v>0.03</v>
      </c>
    </row>
    <row r="107" spans="1:10" ht="15.75" customHeight="1">
      <c r="A107" s="754" t="s">
        <v>64</v>
      </c>
      <c r="B107" s="766" t="s">
        <v>65</v>
      </c>
      <c r="C107" s="16" t="s">
        <v>16</v>
      </c>
      <c r="D107" s="21">
        <f t="shared" ref="D107:I107" si="32">D108+D109+D110</f>
        <v>1.4999999999999999E-2</v>
      </c>
      <c r="E107" s="21">
        <f t="shared" si="32"/>
        <v>1.4999999999999999E-2</v>
      </c>
      <c r="F107" s="21">
        <f t="shared" si="32"/>
        <v>0</v>
      </c>
      <c r="G107" s="21">
        <f t="shared" si="32"/>
        <v>0</v>
      </c>
      <c r="H107" s="22">
        <f t="shared" si="32"/>
        <v>0</v>
      </c>
      <c r="I107" s="22">
        <f t="shared" si="32"/>
        <v>0</v>
      </c>
      <c r="J107" s="18">
        <f t="shared" si="22"/>
        <v>1.4999999999999999E-2</v>
      </c>
    </row>
    <row r="108" spans="1:10">
      <c r="A108" s="754"/>
      <c r="B108" s="766"/>
      <c r="C108" s="12">
        <v>2015</v>
      </c>
      <c r="D108" s="20">
        <f>E108+F108+G108+H108+I108</f>
        <v>5.0000000000000001E-3</v>
      </c>
      <c r="E108" s="23">
        <f>5/1000</f>
        <v>5.0000000000000001E-3</v>
      </c>
      <c r="F108" s="23">
        <v>0</v>
      </c>
      <c r="G108" s="23">
        <v>0</v>
      </c>
      <c r="H108" s="22">
        <v>0</v>
      </c>
      <c r="I108" s="20">
        <v>0</v>
      </c>
      <c r="J108" s="18">
        <f t="shared" si="22"/>
        <v>5.0000000000000001E-3</v>
      </c>
    </row>
    <row r="109" spans="1:10">
      <c r="A109" s="754"/>
      <c r="B109" s="766"/>
      <c r="C109" s="12">
        <v>2016</v>
      </c>
      <c r="D109" s="20">
        <f>E109+F109+G109+H109+I109</f>
        <v>5.0000000000000001E-3</v>
      </c>
      <c r="E109" s="23">
        <f>5/1000</f>
        <v>5.0000000000000001E-3</v>
      </c>
      <c r="F109" s="23">
        <v>0</v>
      </c>
      <c r="G109" s="23">
        <v>0</v>
      </c>
      <c r="H109" s="22">
        <v>0</v>
      </c>
      <c r="I109" s="20">
        <v>0</v>
      </c>
      <c r="J109" s="18">
        <f t="shared" si="22"/>
        <v>5.0000000000000001E-3</v>
      </c>
    </row>
    <row r="110" spans="1:10">
      <c r="A110" s="754"/>
      <c r="B110" s="766"/>
      <c r="C110" s="12">
        <v>2017</v>
      </c>
      <c r="D110" s="20">
        <f>E110+F110+G110+H110+I110</f>
        <v>5.0000000000000001E-3</v>
      </c>
      <c r="E110" s="23">
        <f>5/1000</f>
        <v>5.0000000000000001E-3</v>
      </c>
      <c r="F110" s="23">
        <v>0</v>
      </c>
      <c r="G110" s="23">
        <v>0</v>
      </c>
      <c r="H110" s="22">
        <v>0</v>
      </c>
      <c r="I110" s="20">
        <v>0</v>
      </c>
      <c r="J110" s="18">
        <f t="shared" si="22"/>
        <v>5.0000000000000001E-3</v>
      </c>
    </row>
    <row r="111" spans="1:10">
      <c r="A111" s="754" t="s">
        <v>66</v>
      </c>
      <c r="B111" s="766" t="s">
        <v>67</v>
      </c>
      <c r="C111" s="16" t="s">
        <v>16</v>
      </c>
      <c r="D111" s="21">
        <f t="shared" ref="D111:I111" si="33">D112+D113+D114</f>
        <v>0.31679999999999997</v>
      </c>
      <c r="E111" s="21">
        <f t="shared" si="33"/>
        <v>0.1056</v>
      </c>
      <c r="F111" s="21">
        <f t="shared" si="33"/>
        <v>0.1056</v>
      </c>
      <c r="G111" s="21">
        <f t="shared" si="33"/>
        <v>0.1056</v>
      </c>
      <c r="H111" s="21">
        <f t="shared" si="33"/>
        <v>0</v>
      </c>
      <c r="I111" s="21">
        <f t="shared" si="33"/>
        <v>0</v>
      </c>
      <c r="J111" s="18">
        <f t="shared" si="22"/>
        <v>0.31679999999999997</v>
      </c>
    </row>
    <row r="112" spans="1:10">
      <c r="A112" s="754"/>
      <c r="B112" s="766"/>
      <c r="C112" s="12">
        <v>2015</v>
      </c>
      <c r="D112" s="20">
        <f>E112+F112+G112+H112+I112</f>
        <v>0.1056</v>
      </c>
      <c r="E112" s="23">
        <f t="shared" ref="E112:G114" si="34">35.2/1000</f>
        <v>3.5200000000000002E-2</v>
      </c>
      <c r="F112" s="23">
        <f t="shared" si="34"/>
        <v>3.5200000000000002E-2</v>
      </c>
      <c r="G112" s="23">
        <f t="shared" si="34"/>
        <v>3.5200000000000002E-2</v>
      </c>
      <c r="H112" s="22">
        <v>0</v>
      </c>
      <c r="I112" s="20">
        <v>0</v>
      </c>
      <c r="J112" s="18">
        <f t="shared" si="22"/>
        <v>0.1056</v>
      </c>
    </row>
    <row r="113" spans="1:10" ht="15.75" customHeight="1">
      <c r="A113" s="754"/>
      <c r="B113" s="766"/>
      <c r="C113" s="12">
        <v>2016</v>
      </c>
      <c r="D113" s="20">
        <f>E113+F113+G113+H113+I113</f>
        <v>0.1056</v>
      </c>
      <c r="E113" s="23">
        <f t="shared" si="34"/>
        <v>3.5200000000000002E-2</v>
      </c>
      <c r="F113" s="23">
        <f t="shared" si="34"/>
        <v>3.5200000000000002E-2</v>
      </c>
      <c r="G113" s="23">
        <f t="shared" si="34"/>
        <v>3.5200000000000002E-2</v>
      </c>
      <c r="H113" s="22">
        <v>0</v>
      </c>
      <c r="I113" s="20">
        <v>0</v>
      </c>
      <c r="J113" s="18">
        <f t="shared" si="22"/>
        <v>0.1056</v>
      </c>
    </row>
    <row r="114" spans="1:10" ht="15.75" customHeight="1">
      <c r="A114" s="754"/>
      <c r="B114" s="766"/>
      <c r="C114" s="12">
        <v>2017</v>
      </c>
      <c r="D114" s="20">
        <f>E114+F114+G114+H114+I114</f>
        <v>0.1056</v>
      </c>
      <c r="E114" s="23">
        <f t="shared" si="34"/>
        <v>3.5200000000000002E-2</v>
      </c>
      <c r="F114" s="23">
        <f t="shared" si="34"/>
        <v>3.5200000000000002E-2</v>
      </c>
      <c r="G114" s="23">
        <f t="shared" si="34"/>
        <v>3.5200000000000002E-2</v>
      </c>
      <c r="H114" s="22">
        <v>0</v>
      </c>
      <c r="I114" s="20">
        <v>0</v>
      </c>
      <c r="J114" s="18">
        <f t="shared" si="22"/>
        <v>0.1056</v>
      </c>
    </row>
    <row r="115" spans="1:10">
      <c r="A115" s="754" t="s">
        <v>68</v>
      </c>
      <c r="B115" s="766" t="s">
        <v>69</v>
      </c>
      <c r="C115" s="16" t="s">
        <v>16</v>
      </c>
      <c r="D115" s="21">
        <f t="shared" ref="D115:I115" si="35">D116+D117+D118</f>
        <v>4.4999999999999998E-2</v>
      </c>
      <c r="E115" s="21">
        <f t="shared" si="35"/>
        <v>4.4999999999999998E-2</v>
      </c>
      <c r="F115" s="21">
        <f t="shared" si="35"/>
        <v>0</v>
      </c>
      <c r="G115" s="21">
        <f t="shared" si="35"/>
        <v>0</v>
      </c>
      <c r="H115" s="22">
        <f t="shared" si="35"/>
        <v>0</v>
      </c>
      <c r="I115" s="22">
        <f t="shared" si="35"/>
        <v>0</v>
      </c>
      <c r="J115" s="18">
        <f t="shared" si="22"/>
        <v>4.4999999999999998E-2</v>
      </c>
    </row>
    <row r="116" spans="1:10" ht="15.75" customHeight="1">
      <c r="A116" s="754"/>
      <c r="B116" s="766"/>
      <c r="C116" s="12">
        <v>2015</v>
      </c>
      <c r="D116" s="20">
        <f>E116+F116+G116+H116+I116</f>
        <v>1.4999999999999999E-2</v>
      </c>
      <c r="E116" s="23">
        <f>15/1000</f>
        <v>1.4999999999999999E-2</v>
      </c>
      <c r="F116" s="23">
        <v>0</v>
      </c>
      <c r="G116" s="23">
        <v>0</v>
      </c>
      <c r="H116" s="22">
        <f t="shared" ref="H116:I119" si="36">H117+H118+H119</f>
        <v>0</v>
      </c>
      <c r="I116" s="22">
        <f t="shared" si="36"/>
        <v>0</v>
      </c>
      <c r="J116" s="18">
        <f t="shared" si="22"/>
        <v>1.4999999999999999E-2</v>
      </c>
    </row>
    <row r="117" spans="1:10" ht="15.75" customHeight="1">
      <c r="A117" s="754"/>
      <c r="B117" s="766"/>
      <c r="C117" s="12">
        <v>2016</v>
      </c>
      <c r="D117" s="20">
        <f>E117+F117+G117+H117+I117</f>
        <v>1.4999999999999999E-2</v>
      </c>
      <c r="E117" s="23">
        <f>15/1000</f>
        <v>1.4999999999999999E-2</v>
      </c>
      <c r="F117" s="23">
        <v>0</v>
      </c>
      <c r="G117" s="23">
        <v>0</v>
      </c>
      <c r="H117" s="22">
        <f t="shared" si="36"/>
        <v>0</v>
      </c>
      <c r="I117" s="22">
        <f t="shared" si="36"/>
        <v>0</v>
      </c>
      <c r="J117" s="18">
        <f t="shared" si="22"/>
        <v>1.4999999999999999E-2</v>
      </c>
    </row>
    <row r="118" spans="1:10" ht="15.75" customHeight="1">
      <c r="A118" s="754"/>
      <c r="B118" s="766"/>
      <c r="C118" s="12">
        <v>2017</v>
      </c>
      <c r="D118" s="20">
        <f>E118+F118+G118+H118+I118</f>
        <v>1.4999999999999999E-2</v>
      </c>
      <c r="E118" s="23">
        <f>15/1000</f>
        <v>1.4999999999999999E-2</v>
      </c>
      <c r="F118" s="23">
        <v>0</v>
      </c>
      <c r="G118" s="23">
        <v>0</v>
      </c>
      <c r="H118" s="22">
        <f t="shared" si="36"/>
        <v>0</v>
      </c>
      <c r="I118" s="22">
        <f t="shared" si="36"/>
        <v>0</v>
      </c>
      <c r="J118" s="18">
        <f t="shared" si="22"/>
        <v>1.4999999999999999E-2</v>
      </c>
    </row>
    <row r="119" spans="1:10">
      <c r="A119" s="754" t="s">
        <v>70</v>
      </c>
      <c r="B119" s="765" t="s">
        <v>71</v>
      </c>
      <c r="C119" s="16" t="s">
        <v>16</v>
      </c>
      <c r="D119" s="21">
        <f>D120+D121+D122</f>
        <v>0.03</v>
      </c>
      <c r="E119" s="21">
        <f>E120+E121+E122</f>
        <v>0.03</v>
      </c>
      <c r="F119" s="21">
        <f>F120+F121+F122</f>
        <v>0</v>
      </c>
      <c r="G119" s="21">
        <f>G120+G121+G122</f>
        <v>0</v>
      </c>
      <c r="H119" s="22">
        <f t="shared" si="36"/>
        <v>0</v>
      </c>
      <c r="I119" s="22">
        <f t="shared" si="36"/>
        <v>0</v>
      </c>
      <c r="J119" s="18">
        <f t="shared" si="22"/>
        <v>0.03</v>
      </c>
    </row>
    <row r="120" spans="1:10">
      <c r="A120" s="754"/>
      <c r="B120" s="765"/>
      <c r="C120" s="12">
        <v>2015</v>
      </c>
      <c r="D120" s="20">
        <f>E120+F120+G120+H120+I120</f>
        <v>0.01</v>
      </c>
      <c r="E120" s="23">
        <f>10/1000</f>
        <v>0.01</v>
      </c>
      <c r="F120" s="23">
        <v>0</v>
      </c>
      <c r="G120" s="23">
        <v>0</v>
      </c>
      <c r="H120" s="22">
        <v>0</v>
      </c>
      <c r="I120" s="20">
        <v>0</v>
      </c>
      <c r="J120" s="18">
        <f t="shared" si="22"/>
        <v>0.01</v>
      </c>
    </row>
    <row r="121" spans="1:10">
      <c r="A121" s="754"/>
      <c r="B121" s="765"/>
      <c r="C121" s="12">
        <v>2016</v>
      </c>
      <c r="D121" s="20">
        <f>E121+F121+G121+H121+I121</f>
        <v>0.01</v>
      </c>
      <c r="E121" s="23">
        <f>10/1000</f>
        <v>0.01</v>
      </c>
      <c r="F121" s="23">
        <v>0</v>
      </c>
      <c r="G121" s="23">
        <v>0</v>
      </c>
      <c r="H121" s="22">
        <v>0</v>
      </c>
      <c r="I121" s="20">
        <v>0</v>
      </c>
      <c r="J121" s="18">
        <f t="shared" si="22"/>
        <v>0.01</v>
      </c>
    </row>
    <row r="122" spans="1:10">
      <c r="A122" s="754"/>
      <c r="B122" s="765"/>
      <c r="C122" s="12">
        <v>2017</v>
      </c>
      <c r="D122" s="20">
        <f>E122+F122+G122+H122+I122</f>
        <v>0.01</v>
      </c>
      <c r="E122" s="23">
        <f>10/1000</f>
        <v>0.01</v>
      </c>
      <c r="F122" s="23">
        <v>0</v>
      </c>
      <c r="G122" s="23">
        <v>0</v>
      </c>
      <c r="H122" s="22">
        <v>0</v>
      </c>
      <c r="I122" s="20">
        <v>0</v>
      </c>
      <c r="J122" s="18">
        <f t="shared" si="22"/>
        <v>0.01</v>
      </c>
    </row>
    <row r="123" spans="1:10" ht="15.75" customHeight="1">
      <c r="A123" s="754" t="s">
        <v>72</v>
      </c>
      <c r="B123" s="765" t="s">
        <v>73</v>
      </c>
      <c r="C123" s="16" t="s">
        <v>16</v>
      </c>
      <c r="D123" s="21">
        <f t="shared" ref="D123:I123" si="37">D124+D125+D126</f>
        <v>0.33810000000000001</v>
      </c>
      <c r="E123" s="21">
        <f t="shared" si="37"/>
        <v>0.33810000000000001</v>
      </c>
      <c r="F123" s="21">
        <f t="shared" si="37"/>
        <v>0</v>
      </c>
      <c r="G123" s="21">
        <f t="shared" si="37"/>
        <v>0</v>
      </c>
      <c r="H123" s="22">
        <f t="shared" si="37"/>
        <v>0</v>
      </c>
      <c r="I123" s="22">
        <f t="shared" si="37"/>
        <v>0</v>
      </c>
      <c r="J123" s="18">
        <f t="shared" si="22"/>
        <v>0.33810000000000001</v>
      </c>
    </row>
    <row r="124" spans="1:10" ht="15.75" customHeight="1">
      <c r="A124" s="754"/>
      <c r="B124" s="765"/>
      <c r="C124" s="12">
        <v>2015</v>
      </c>
      <c r="D124" s="20">
        <f>E124+F124+G124+H124+I124</f>
        <v>0.1077</v>
      </c>
      <c r="E124" s="23">
        <f>107.7/1000</f>
        <v>0.1077</v>
      </c>
      <c r="F124" s="23">
        <v>0</v>
      </c>
      <c r="G124" s="23">
        <v>0</v>
      </c>
      <c r="H124" s="22">
        <v>0</v>
      </c>
      <c r="I124" s="20">
        <v>0</v>
      </c>
      <c r="J124" s="18">
        <f t="shared" si="22"/>
        <v>0.1077</v>
      </c>
    </row>
    <row r="125" spans="1:10" ht="15.75" customHeight="1">
      <c r="A125" s="754"/>
      <c r="B125" s="765"/>
      <c r="C125" s="12">
        <v>2016</v>
      </c>
      <c r="D125" s="20">
        <f>E125+F125+G125+H125+I125</f>
        <v>0.1128</v>
      </c>
      <c r="E125" s="23">
        <f>112.8/1000</f>
        <v>0.1128</v>
      </c>
      <c r="F125" s="23">
        <v>0</v>
      </c>
      <c r="G125" s="23">
        <v>0</v>
      </c>
      <c r="H125" s="22">
        <v>0</v>
      </c>
      <c r="I125" s="20">
        <v>0</v>
      </c>
      <c r="J125" s="18">
        <f t="shared" si="22"/>
        <v>0.1128</v>
      </c>
    </row>
    <row r="126" spans="1:10" ht="15.75" customHeight="1">
      <c r="A126" s="754"/>
      <c r="B126" s="765"/>
      <c r="C126" s="12">
        <v>2017</v>
      </c>
      <c r="D126" s="20">
        <f>E126+F126+G126+H126+I126</f>
        <v>0.1176</v>
      </c>
      <c r="E126" s="23">
        <f>117.6/1000</f>
        <v>0.1176</v>
      </c>
      <c r="F126" s="23">
        <v>0</v>
      </c>
      <c r="G126" s="23">
        <v>0</v>
      </c>
      <c r="H126" s="22">
        <v>0</v>
      </c>
      <c r="I126" s="20">
        <v>0</v>
      </c>
      <c r="J126" s="18">
        <f t="shared" si="22"/>
        <v>0.1176</v>
      </c>
    </row>
    <row r="127" spans="1:10" ht="15.75" customHeight="1">
      <c r="A127" s="754" t="s">
        <v>74</v>
      </c>
      <c r="B127" s="765" t="s">
        <v>75</v>
      </c>
      <c r="C127" s="16" t="s">
        <v>16</v>
      </c>
      <c r="D127" s="21">
        <f t="shared" ref="D127:I127" si="38">D128+D129+D130</f>
        <v>0.32889999999999997</v>
      </c>
      <c r="E127" s="21">
        <f t="shared" si="38"/>
        <v>0.32889999999999997</v>
      </c>
      <c r="F127" s="21">
        <f t="shared" si="38"/>
        <v>0</v>
      </c>
      <c r="G127" s="21">
        <f t="shared" si="38"/>
        <v>0</v>
      </c>
      <c r="H127" s="22">
        <f t="shared" si="38"/>
        <v>0</v>
      </c>
      <c r="I127" s="22">
        <f t="shared" si="38"/>
        <v>0</v>
      </c>
      <c r="J127" s="18">
        <f t="shared" si="22"/>
        <v>0.32889999999999997</v>
      </c>
    </row>
    <row r="128" spans="1:10" ht="15.75" customHeight="1">
      <c r="A128" s="754"/>
      <c r="B128" s="765"/>
      <c r="C128" s="12">
        <v>2015</v>
      </c>
      <c r="D128" s="20">
        <f>E128+F128+G128+H128+I128</f>
        <v>0.1045</v>
      </c>
      <c r="E128" s="23">
        <f>104.5/1000</f>
        <v>0.1045</v>
      </c>
      <c r="F128" s="23">
        <v>0</v>
      </c>
      <c r="G128" s="23">
        <v>0</v>
      </c>
      <c r="H128" s="22">
        <v>0</v>
      </c>
      <c r="I128" s="20">
        <v>0</v>
      </c>
      <c r="J128" s="18">
        <f t="shared" si="22"/>
        <v>0.1045</v>
      </c>
    </row>
    <row r="129" spans="1:10" ht="15.75" customHeight="1">
      <c r="A129" s="754"/>
      <c r="B129" s="765"/>
      <c r="C129" s="12">
        <v>2016</v>
      </c>
      <c r="D129" s="20">
        <f>E129+F129+G129+H129+I129</f>
        <v>0.10979999999999999</v>
      </c>
      <c r="E129" s="23">
        <f>109.8/1000</f>
        <v>0.10979999999999999</v>
      </c>
      <c r="F129" s="23">
        <v>0</v>
      </c>
      <c r="G129" s="23">
        <v>0</v>
      </c>
      <c r="H129" s="22">
        <v>0</v>
      </c>
      <c r="I129" s="20">
        <v>0</v>
      </c>
      <c r="J129" s="18">
        <f t="shared" si="22"/>
        <v>0.10979999999999999</v>
      </c>
    </row>
    <row r="130" spans="1:10" ht="15.75" customHeight="1">
      <c r="A130" s="754"/>
      <c r="B130" s="765"/>
      <c r="C130" s="12">
        <v>2017</v>
      </c>
      <c r="D130" s="20">
        <f>E130+F130+G130+H130+I130</f>
        <v>0.11459999999999999</v>
      </c>
      <c r="E130" s="23">
        <f>114.6/1000</f>
        <v>0.11459999999999999</v>
      </c>
      <c r="F130" s="23">
        <v>0</v>
      </c>
      <c r="G130" s="23">
        <v>0</v>
      </c>
      <c r="H130" s="22">
        <v>0</v>
      </c>
      <c r="I130" s="20">
        <v>0</v>
      </c>
      <c r="J130" s="18">
        <f t="shared" si="22"/>
        <v>0.11459999999999999</v>
      </c>
    </row>
    <row r="131" spans="1:10" ht="15.75" customHeight="1">
      <c r="A131" s="754" t="s">
        <v>76</v>
      </c>
      <c r="B131" s="765" t="s">
        <v>77</v>
      </c>
      <c r="C131" s="16" t="s">
        <v>16</v>
      </c>
      <c r="D131" s="21">
        <f t="shared" ref="D131:I131" si="39">D132+D133+D134</f>
        <v>9.1999999999999998E-3</v>
      </c>
      <c r="E131" s="21">
        <f t="shared" si="39"/>
        <v>9.1999999999999998E-3</v>
      </c>
      <c r="F131" s="21">
        <f t="shared" si="39"/>
        <v>0</v>
      </c>
      <c r="G131" s="21">
        <f t="shared" si="39"/>
        <v>0</v>
      </c>
      <c r="H131" s="22">
        <f t="shared" si="39"/>
        <v>0</v>
      </c>
      <c r="I131" s="22">
        <f t="shared" si="39"/>
        <v>0</v>
      </c>
      <c r="J131" s="18">
        <f t="shared" si="22"/>
        <v>9.1999999999999998E-3</v>
      </c>
    </row>
    <row r="132" spans="1:10" ht="15.75" customHeight="1">
      <c r="A132" s="754"/>
      <c r="B132" s="765"/>
      <c r="C132" s="12">
        <v>2015</v>
      </c>
      <c r="D132" s="20">
        <f>E132+F132+G132+H132+I132</f>
        <v>3.2000000000000002E-3</v>
      </c>
      <c r="E132" s="23">
        <f>3.2/1000</f>
        <v>3.2000000000000002E-3</v>
      </c>
      <c r="F132" s="23">
        <v>0</v>
      </c>
      <c r="G132" s="23">
        <v>0</v>
      </c>
      <c r="H132" s="22">
        <v>0</v>
      </c>
      <c r="I132" s="20">
        <v>0</v>
      </c>
      <c r="J132" s="18">
        <f t="shared" si="22"/>
        <v>3.2000000000000002E-3</v>
      </c>
    </row>
    <row r="133" spans="1:10" ht="15.75" customHeight="1">
      <c r="A133" s="754"/>
      <c r="B133" s="765"/>
      <c r="C133" s="12">
        <v>2016</v>
      </c>
      <c r="D133" s="20">
        <f>E133+F133+G133+H133+I133</f>
        <v>3.0000000000000001E-3</v>
      </c>
      <c r="E133" s="23">
        <f>3/1000</f>
        <v>3.0000000000000001E-3</v>
      </c>
      <c r="F133" s="23">
        <v>0</v>
      </c>
      <c r="G133" s="23">
        <v>0</v>
      </c>
      <c r="H133" s="22">
        <v>0</v>
      </c>
      <c r="I133" s="20">
        <v>0</v>
      </c>
      <c r="J133" s="18">
        <f t="shared" si="22"/>
        <v>3.0000000000000001E-3</v>
      </c>
    </row>
    <row r="134" spans="1:10" ht="15.75" customHeight="1">
      <c r="A134" s="754"/>
      <c r="B134" s="765"/>
      <c r="C134" s="12">
        <v>2017</v>
      </c>
      <c r="D134" s="20">
        <f>E134+F134+G134+H134+I134</f>
        <v>3.0000000000000001E-3</v>
      </c>
      <c r="E134" s="23">
        <f>3/1000</f>
        <v>3.0000000000000001E-3</v>
      </c>
      <c r="F134" s="23">
        <v>0</v>
      </c>
      <c r="G134" s="23">
        <v>0</v>
      </c>
      <c r="H134" s="22">
        <v>0</v>
      </c>
      <c r="I134" s="20">
        <v>0</v>
      </c>
      <c r="J134" s="18">
        <f t="shared" si="22"/>
        <v>3.0000000000000001E-3</v>
      </c>
    </row>
    <row r="135" spans="1:10" ht="15.75" customHeight="1">
      <c r="A135" s="754" t="s">
        <v>78</v>
      </c>
      <c r="B135" s="768" t="s">
        <v>79</v>
      </c>
      <c r="C135" s="16" t="s">
        <v>16</v>
      </c>
      <c r="D135" s="21">
        <f t="shared" ref="D135:I135" si="40">D136+D137+D138</f>
        <v>0</v>
      </c>
      <c r="E135" s="21">
        <f t="shared" si="40"/>
        <v>0</v>
      </c>
      <c r="F135" s="21">
        <f t="shared" si="40"/>
        <v>0</v>
      </c>
      <c r="G135" s="21">
        <f t="shared" si="40"/>
        <v>0</v>
      </c>
      <c r="H135" s="22">
        <f t="shared" si="40"/>
        <v>0</v>
      </c>
      <c r="I135" s="22">
        <f t="shared" si="40"/>
        <v>0</v>
      </c>
      <c r="J135" s="18">
        <f t="shared" si="22"/>
        <v>0</v>
      </c>
    </row>
    <row r="136" spans="1:10" ht="15.75" customHeight="1">
      <c r="A136" s="754"/>
      <c r="B136" s="768"/>
      <c r="C136" s="12">
        <v>2015</v>
      </c>
      <c r="D136" s="20">
        <f>E136+F136+G136+H136+I136</f>
        <v>0</v>
      </c>
      <c r="E136" s="23">
        <v>0</v>
      </c>
      <c r="F136" s="23">
        <v>0</v>
      </c>
      <c r="G136" s="23">
        <v>0</v>
      </c>
      <c r="H136" s="22">
        <v>0</v>
      </c>
      <c r="I136" s="20">
        <v>0</v>
      </c>
      <c r="J136" s="18">
        <f t="shared" si="22"/>
        <v>0</v>
      </c>
    </row>
    <row r="137" spans="1:10" ht="15.75" customHeight="1">
      <c r="A137" s="754"/>
      <c r="B137" s="768"/>
      <c r="C137" s="12">
        <v>2016</v>
      </c>
      <c r="D137" s="20">
        <f>E137+F137+G137+H137+I137</f>
        <v>0</v>
      </c>
      <c r="E137" s="23">
        <v>0</v>
      </c>
      <c r="F137" s="23">
        <v>0</v>
      </c>
      <c r="G137" s="23">
        <v>0</v>
      </c>
      <c r="H137" s="22">
        <v>0</v>
      </c>
      <c r="I137" s="20">
        <v>0</v>
      </c>
      <c r="J137" s="18">
        <f t="shared" si="22"/>
        <v>0</v>
      </c>
    </row>
    <row r="138" spans="1:10" ht="15.75" customHeight="1">
      <c r="A138" s="754"/>
      <c r="B138" s="768"/>
      <c r="C138" s="12">
        <v>2017</v>
      </c>
      <c r="D138" s="20">
        <f>E138+F138+G138+H138+I138</f>
        <v>0</v>
      </c>
      <c r="E138" s="23">
        <v>0</v>
      </c>
      <c r="F138" s="23">
        <v>0</v>
      </c>
      <c r="G138" s="23">
        <v>0</v>
      </c>
      <c r="H138" s="22">
        <v>0</v>
      </c>
      <c r="I138" s="20">
        <v>0</v>
      </c>
      <c r="J138" s="18">
        <f t="shared" si="22"/>
        <v>0</v>
      </c>
    </row>
    <row r="139" spans="1:10" ht="15.75" customHeight="1">
      <c r="A139" s="754" t="s">
        <v>80</v>
      </c>
      <c r="B139" s="765" t="s">
        <v>81</v>
      </c>
      <c r="C139" s="16" t="s">
        <v>16</v>
      </c>
      <c r="D139" s="21">
        <f t="shared" ref="D139:I139" si="41">D140+D141+D142</f>
        <v>8.5999999999999993E-2</v>
      </c>
      <c r="E139" s="21">
        <f t="shared" si="41"/>
        <v>8.5999999999999993E-2</v>
      </c>
      <c r="F139" s="21">
        <f t="shared" si="41"/>
        <v>0</v>
      </c>
      <c r="G139" s="21">
        <f t="shared" si="41"/>
        <v>0</v>
      </c>
      <c r="H139" s="22">
        <f t="shared" si="41"/>
        <v>0</v>
      </c>
      <c r="I139" s="22">
        <f t="shared" si="41"/>
        <v>0</v>
      </c>
      <c r="J139" s="18">
        <f t="shared" si="22"/>
        <v>8.5999999999999993E-2</v>
      </c>
    </row>
    <row r="140" spans="1:10" ht="15.75" customHeight="1">
      <c r="A140" s="754"/>
      <c r="B140" s="765"/>
      <c r="C140" s="12">
        <v>2015</v>
      </c>
      <c r="D140" s="20">
        <f>E140+F140+G140+H140+I140</f>
        <v>2.9600000000000001E-2</v>
      </c>
      <c r="E140" s="23">
        <f>29.6/1000</f>
        <v>2.9600000000000001E-2</v>
      </c>
      <c r="F140" s="23">
        <v>0</v>
      </c>
      <c r="G140" s="23">
        <v>0</v>
      </c>
      <c r="H140" s="22">
        <v>0</v>
      </c>
      <c r="I140" s="20">
        <v>0</v>
      </c>
      <c r="J140" s="18">
        <f t="shared" si="22"/>
        <v>2.9600000000000001E-2</v>
      </c>
    </row>
    <row r="141" spans="1:10" ht="15.75" customHeight="1">
      <c r="A141" s="754"/>
      <c r="B141" s="765"/>
      <c r="C141" s="12">
        <v>2016</v>
      </c>
      <c r="D141" s="20">
        <f>E141+F141+G141+H141+I141</f>
        <v>2.7E-2</v>
      </c>
      <c r="E141" s="23">
        <f>27/1000</f>
        <v>2.7E-2</v>
      </c>
      <c r="F141" s="23">
        <v>0</v>
      </c>
      <c r="G141" s="23">
        <v>0</v>
      </c>
      <c r="H141" s="22">
        <v>0</v>
      </c>
      <c r="I141" s="20">
        <v>0</v>
      </c>
      <c r="J141" s="18">
        <f t="shared" si="22"/>
        <v>2.7E-2</v>
      </c>
    </row>
    <row r="142" spans="1:10" ht="15.75" customHeight="1">
      <c r="A142" s="754"/>
      <c r="B142" s="765"/>
      <c r="C142" s="12">
        <v>2017</v>
      </c>
      <c r="D142" s="20">
        <f>E142+F142+G142+H142+I142</f>
        <v>2.9399999999999999E-2</v>
      </c>
      <c r="E142" s="23">
        <f>29.4/1000</f>
        <v>2.9399999999999999E-2</v>
      </c>
      <c r="F142" s="23">
        <v>0</v>
      </c>
      <c r="G142" s="23">
        <v>0</v>
      </c>
      <c r="H142" s="22">
        <v>0</v>
      </c>
      <c r="I142" s="20">
        <v>0</v>
      </c>
      <c r="J142" s="18">
        <f t="shared" si="22"/>
        <v>2.9399999999999999E-2</v>
      </c>
    </row>
    <row r="143" spans="1:10">
      <c r="A143" s="754" t="s">
        <v>82</v>
      </c>
      <c r="B143" s="765" t="s">
        <v>83</v>
      </c>
      <c r="C143" s="16" t="s">
        <v>16</v>
      </c>
      <c r="D143" s="21">
        <f t="shared" ref="D143:I143" si="42">D144+D145+D146</f>
        <v>1.6E-2</v>
      </c>
      <c r="E143" s="21">
        <f t="shared" si="42"/>
        <v>1.6E-2</v>
      </c>
      <c r="F143" s="21">
        <f t="shared" si="42"/>
        <v>0</v>
      </c>
      <c r="G143" s="21">
        <f t="shared" si="42"/>
        <v>0</v>
      </c>
      <c r="H143" s="22">
        <f t="shared" si="42"/>
        <v>0</v>
      </c>
      <c r="I143" s="22">
        <f t="shared" si="42"/>
        <v>0</v>
      </c>
      <c r="J143" s="18">
        <f t="shared" ref="J143:J206" si="43">SUM(E143:I143)</f>
        <v>1.6E-2</v>
      </c>
    </row>
    <row r="144" spans="1:10">
      <c r="A144" s="754"/>
      <c r="B144" s="765"/>
      <c r="C144" s="12">
        <v>2015</v>
      </c>
      <c r="D144" s="20">
        <f>E144+F144+G144+H144+I144</f>
        <v>6.0000000000000001E-3</v>
      </c>
      <c r="E144" s="23">
        <f>6/1000</f>
        <v>6.0000000000000001E-3</v>
      </c>
      <c r="F144" s="23">
        <v>0</v>
      </c>
      <c r="G144" s="23">
        <v>0</v>
      </c>
      <c r="H144" s="22">
        <v>0</v>
      </c>
      <c r="I144" s="20">
        <v>0</v>
      </c>
      <c r="J144" s="18">
        <f t="shared" si="43"/>
        <v>6.0000000000000001E-3</v>
      </c>
    </row>
    <row r="145" spans="1:10">
      <c r="A145" s="754"/>
      <c r="B145" s="765"/>
      <c r="C145" s="12">
        <v>2016</v>
      </c>
      <c r="D145" s="20">
        <f>E145+F145+G145+H145+I145</f>
        <v>4.0000000000000001E-3</v>
      </c>
      <c r="E145" s="23">
        <f>4/1000</f>
        <v>4.0000000000000001E-3</v>
      </c>
      <c r="F145" s="23">
        <v>0</v>
      </c>
      <c r="G145" s="23">
        <v>0</v>
      </c>
      <c r="H145" s="22">
        <v>0</v>
      </c>
      <c r="I145" s="20">
        <v>0</v>
      </c>
      <c r="J145" s="18">
        <f t="shared" si="43"/>
        <v>4.0000000000000001E-3</v>
      </c>
    </row>
    <row r="146" spans="1:10">
      <c r="A146" s="754"/>
      <c r="B146" s="765"/>
      <c r="C146" s="12">
        <v>2017</v>
      </c>
      <c r="D146" s="20">
        <f>E146+F146+G146+H146+I146</f>
        <v>6.0000000000000001E-3</v>
      </c>
      <c r="E146" s="23">
        <f>6/1000</f>
        <v>6.0000000000000001E-3</v>
      </c>
      <c r="F146" s="23">
        <v>0</v>
      </c>
      <c r="G146" s="23">
        <v>0</v>
      </c>
      <c r="H146" s="22">
        <v>0</v>
      </c>
      <c r="I146" s="20">
        <v>0</v>
      </c>
      <c r="J146" s="18">
        <f t="shared" si="43"/>
        <v>6.0000000000000001E-3</v>
      </c>
    </row>
    <row r="147" spans="1:10" ht="15.75" customHeight="1">
      <c r="A147" s="754" t="s">
        <v>84</v>
      </c>
      <c r="B147" s="765" t="s">
        <v>85</v>
      </c>
      <c r="C147" s="16" t="s">
        <v>16</v>
      </c>
      <c r="D147" s="21">
        <f t="shared" ref="D147:I147" si="44">D148+D149+D150</f>
        <v>1.3999999999999999E-2</v>
      </c>
      <c r="E147" s="21">
        <f t="shared" si="44"/>
        <v>1.3999999999999999E-2</v>
      </c>
      <c r="F147" s="21">
        <f t="shared" si="44"/>
        <v>0</v>
      </c>
      <c r="G147" s="21">
        <f t="shared" si="44"/>
        <v>0</v>
      </c>
      <c r="H147" s="22">
        <f t="shared" si="44"/>
        <v>0</v>
      </c>
      <c r="I147" s="22">
        <f t="shared" si="44"/>
        <v>0</v>
      </c>
      <c r="J147" s="18">
        <f t="shared" si="43"/>
        <v>1.3999999999999999E-2</v>
      </c>
    </row>
    <row r="148" spans="1:10" ht="15.75" customHeight="1">
      <c r="A148" s="754"/>
      <c r="B148" s="765"/>
      <c r="C148" s="12">
        <v>2015</v>
      </c>
      <c r="D148" s="20">
        <f>E148+F148+G148+H148+I148</f>
        <v>5.0000000000000001E-3</v>
      </c>
      <c r="E148" s="23">
        <f>5/1000</f>
        <v>5.0000000000000001E-3</v>
      </c>
      <c r="F148" s="23">
        <v>0</v>
      </c>
      <c r="G148" s="23">
        <v>0</v>
      </c>
      <c r="H148" s="22">
        <v>0</v>
      </c>
      <c r="I148" s="22">
        <v>0</v>
      </c>
      <c r="J148" s="18">
        <f t="shared" si="43"/>
        <v>5.0000000000000001E-3</v>
      </c>
    </row>
    <row r="149" spans="1:10" ht="15.75" customHeight="1">
      <c r="A149" s="754"/>
      <c r="B149" s="765"/>
      <c r="C149" s="12">
        <v>2016</v>
      </c>
      <c r="D149" s="20">
        <f>E149+F149+G149+H149+I149</f>
        <v>4.3E-3</v>
      </c>
      <c r="E149" s="23">
        <f>4.3/1000</f>
        <v>4.3E-3</v>
      </c>
      <c r="F149" s="23">
        <v>0</v>
      </c>
      <c r="G149" s="23">
        <v>0</v>
      </c>
      <c r="H149" s="22">
        <v>0</v>
      </c>
      <c r="I149" s="22">
        <v>0</v>
      </c>
      <c r="J149" s="18">
        <f t="shared" si="43"/>
        <v>4.3E-3</v>
      </c>
    </row>
    <row r="150" spans="1:10" ht="15.75" customHeight="1">
      <c r="A150" s="754"/>
      <c r="B150" s="765"/>
      <c r="C150" s="12">
        <v>2017</v>
      </c>
      <c r="D150" s="20">
        <f>E150+F150+G150+H150+I150</f>
        <v>4.7000000000000002E-3</v>
      </c>
      <c r="E150" s="23">
        <f>4.7/1000</f>
        <v>4.7000000000000002E-3</v>
      </c>
      <c r="F150" s="23">
        <v>0</v>
      </c>
      <c r="G150" s="23">
        <v>0</v>
      </c>
      <c r="H150" s="22">
        <v>0</v>
      </c>
      <c r="I150" s="22">
        <v>0</v>
      </c>
      <c r="J150" s="18">
        <f t="shared" si="43"/>
        <v>4.7000000000000002E-3</v>
      </c>
    </row>
    <row r="151" spans="1:10">
      <c r="A151" s="754" t="s">
        <v>86</v>
      </c>
      <c r="B151" s="767" t="s">
        <v>87</v>
      </c>
      <c r="C151" s="16" t="s">
        <v>16</v>
      </c>
      <c r="D151" s="21">
        <f t="shared" ref="D151:I151" si="45">D152+D153+D154</f>
        <v>4.4999999999999998E-2</v>
      </c>
      <c r="E151" s="21">
        <f t="shared" si="45"/>
        <v>4.4999999999999998E-2</v>
      </c>
      <c r="F151" s="21">
        <f t="shared" si="45"/>
        <v>0</v>
      </c>
      <c r="G151" s="21">
        <f t="shared" si="45"/>
        <v>0</v>
      </c>
      <c r="H151" s="22">
        <f t="shared" si="45"/>
        <v>0</v>
      </c>
      <c r="I151" s="22">
        <f t="shared" si="45"/>
        <v>0</v>
      </c>
      <c r="J151" s="18">
        <f t="shared" si="43"/>
        <v>4.4999999999999998E-2</v>
      </c>
    </row>
    <row r="152" spans="1:10">
      <c r="A152" s="754"/>
      <c r="B152" s="767"/>
      <c r="C152" s="12">
        <v>2015</v>
      </c>
      <c r="D152" s="20">
        <f>E152+F152+G152+H152+I152</f>
        <v>1.4999999999999999E-2</v>
      </c>
      <c r="E152" s="23">
        <f>15/1000</f>
        <v>1.4999999999999999E-2</v>
      </c>
      <c r="F152" s="23">
        <v>0</v>
      </c>
      <c r="G152" s="23">
        <v>0</v>
      </c>
      <c r="H152" s="22">
        <v>0</v>
      </c>
      <c r="I152" s="22">
        <v>0</v>
      </c>
      <c r="J152" s="18">
        <f t="shared" si="43"/>
        <v>1.4999999999999999E-2</v>
      </c>
    </row>
    <row r="153" spans="1:10">
      <c r="A153" s="754"/>
      <c r="B153" s="767"/>
      <c r="C153" s="12">
        <v>2016</v>
      </c>
      <c r="D153" s="20">
        <f>E153+F153+G153+H153+I153</f>
        <v>1.4999999999999999E-2</v>
      </c>
      <c r="E153" s="23">
        <f>15/1000</f>
        <v>1.4999999999999999E-2</v>
      </c>
      <c r="F153" s="23">
        <v>0</v>
      </c>
      <c r="G153" s="23">
        <v>0</v>
      </c>
      <c r="H153" s="22">
        <v>0</v>
      </c>
      <c r="I153" s="22">
        <v>0</v>
      </c>
      <c r="J153" s="18">
        <f t="shared" si="43"/>
        <v>1.4999999999999999E-2</v>
      </c>
    </row>
    <row r="154" spans="1:10">
      <c r="A154" s="754"/>
      <c r="B154" s="767"/>
      <c r="C154" s="12">
        <v>2017</v>
      </c>
      <c r="D154" s="20">
        <f>E154+F154+G154+H154+I154</f>
        <v>1.4999999999999999E-2</v>
      </c>
      <c r="E154" s="23">
        <f>15/1000</f>
        <v>1.4999999999999999E-2</v>
      </c>
      <c r="F154" s="23">
        <v>0</v>
      </c>
      <c r="G154" s="23">
        <v>0</v>
      </c>
      <c r="H154" s="22">
        <v>0</v>
      </c>
      <c r="I154" s="22">
        <v>0</v>
      </c>
      <c r="J154" s="18">
        <f t="shared" si="43"/>
        <v>1.4999999999999999E-2</v>
      </c>
    </row>
    <row r="155" spans="1:10" ht="15.75" customHeight="1">
      <c r="A155" s="754" t="s">
        <v>88</v>
      </c>
      <c r="B155" s="767" t="s">
        <v>89</v>
      </c>
      <c r="C155" s="16" t="s">
        <v>16</v>
      </c>
      <c r="D155" s="21">
        <f t="shared" ref="D155:I155" si="46">D156+D157+D158</f>
        <v>1.0999999999999999E-2</v>
      </c>
      <c r="E155" s="21">
        <f t="shared" si="46"/>
        <v>1.0999999999999999E-2</v>
      </c>
      <c r="F155" s="21">
        <f t="shared" si="46"/>
        <v>0</v>
      </c>
      <c r="G155" s="21">
        <f t="shared" si="46"/>
        <v>0</v>
      </c>
      <c r="H155" s="22">
        <f t="shared" si="46"/>
        <v>0</v>
      </c>
      <c r="I155" s="22">
        <f t="shared" si="46"/>
        <v>0</v>
      </c>
      <c r="J155" s="18">
        <f t="shared" si="43"/>
        <v>1.0999999999999999E-2</v>
      </c>
    </row>
    <row r="156" spans="1:10">
      <c r="A156" s="754"/>
      <c r="B156" s="767"/>
      <c r="C156" s="12">
        <v>2015</v>
      </c>
      <c r="D156" s="20">
        <f>E156+F156+G156+H156+I156</f>
        <v>3.5999999999999999E-3</v>
      </c>
      <c r="E156" s="23">
        <f>3.6/1000</f>
        <v>3.5999999999999999E-3</v>
      </c>
      <c r="F156" s="23">
        <v>0</v>
      </c>
      <c r="G156" s="23">
        <v>0</v>
      </c>
      <c r="H156" s="22">
        <v>0</v>
      </c>
      <c r="I156" s="22">
        <v>0</v>
      </c>
      <c r="J156" s="18">
        <f t="shared" si="43"/>
        <v>3.5999999999999999E-3</v>
      </c>
    </row>
    <row r="157" spans="1:10">
      <c r="A157" s="754"/>
      <c r="B157" s="767"/>
      <c r="C157" s="12">
        <v>2016</v>
      </c>
      <c r="D157" s="20">
        <f>E157+F157+G157+H157+I157</f>
        <v>3.7000000000000002E-3</v>
      </c>
      <c r="E157" s="23">
        <f>3.7/1000</f>
        <v>3.7000000000000002E-3</v>
      </c>
      <c r="F157" s="23">
        <v>0</v>
      </c>
      <c r="G157" s="23">
        <v>0</v>
      </c>
      <c r="H157" s="22">
        <v>0</v>
      </c>
      <c r="I157" s="22">
        <v>0</v>
      </c>
      <c r="J157" s="18">
        <f t="shared" si="43"/>
        <v>3.7000000000000002E-3</v>
      </c>
    </row>
    <row r="158" spans="1:10">
      <c r="A158" s="754"/>
      <c r="B158" s="767"/>
      <c r="C158" s="12">
        <v>2017</v>
      </c>
      <c r="D158" s="20">
        <f>E158+F158+G158+H158+I158</f>
        <v>3.7000000000000002E-3</v>
      </c>
      <c r="E158" s="23">
        <f>3.7/1000</f>
        <v>3.7000000000000002E-3</v>
      </c>
      <c r="F158" s="23">
        <v>0</v>
      </c>
      <c r="G158" s="23">
        <v>0</v>
      </c>
      <c r="H158" s="22">
        <v>0</v>
      </c>
      <c r="I158" s="22">
        <v>0</v>
      </c>
      <c r="J158" s="18">
        <f t="shared" si="43"/>
        <v>3.7000000000000002E-3</v>
      </c>
    </row>
    <row r="159" spans="1:10">
      <c r="A159" s="754" t="s">
        <v>90</v>
      </c>
      <c r="B159" s="767" t="s">
        <v>91</v>
      </c>
      <c r="C159" s="16" t="s">
        <v>16</v>
      </c>
      <c r="D159" s="21">
        <f t="shared" ref="D159:I159" si="47">D160+D161+D162</f>
        <v>7.9000000000000001E-2</v>
      </c>
      <c r="E159" s="21">
        <f t="shared" si="47"/>
        <v>7.9000000000000001E-2</v>
      </c>
      <c r="F159" s="21">
        <f t="shared" si="47"/>
        <v>0</v>
      </c>
      <c r="G159" s="21">
        <f t="shared" si="47"/>
        <v>0</v>
      </c>
      <c r="H159" s="22">
        <f t="shared" si="47"/>
        <v>0</v>
      </c>
      <c r="I159" s="22">
        <f t="shared" si="47"/>
        <v>0</v>
      </c>
      <c r="J159" s="18">
        <f t="shared" si="43"/>
        <v>7.9000000000000001E-2</v>
      </c>
    </row>
    <row r="160" spans="1:10">
      <c r="A160" s="754"/>
      <c r="B160" s="767"/>
      <c r="C160" s="12">
        <v>2015</v>
      </c>
      <c r="D160" s="20">
        <f>E160+F160+G160+H160+I160</f>
        <v>2.3E-2</v>
      </c>
      <c r="E160" s="23">
        <f>23/1000</f>
        <v>2.3E-2</v>
      </c>
      <c r="F160" s="23">
        <v>0</v>
      </c>
      <c r="G160" s="23">
        <v>0</v>
      </c>
      <c r="H160" s="22">
        <v>0</v>
      </c>
      <c r="I160" s="22">
        <v>0</v>
      </c>
      <c r="J160" s="18">
        <f t="shared" si="43"/>
        <v>2.3E-2</v>
      </c>
    </row>
    <row r="161" spans="1:10">
      <c r="A161" s="754"/>
      <c r="B161" s="767"/>
      <c r="C161" s="12">
        <v>2016</v>
      </c>
      <c r="D161" s="20">
        <f>E161+F161+G161+H161+I161</f>
        <v>2.8000000000000001E-2</v>
      </c>
      <c r="E161" s="23">
        <f>28/1000</f>
        <v>2.8000000000000001E-2</v>
      </c>
      <c r="F161" s="23">
        <v>0</v>
      </c>
      <c r="G161" s="23">
        <v>0</v>
      </c>
      <c r="H161" s="22">
        <v>0</v>
      </c>
      <c r="I161" s="22">
        <v>0</v>
      </c>
      <c r="J161" s="18">
        <f t="shared" si="43"/>
        <v>2.8000000000000001E-2</v>
      </c>
    </row>
    <row r="162" spans="1:10">
      <c r="A162" s="754"/>
      <c r="B162" s="767"/>
      <c r="C162" s="12">
        <v>2017</v>
      </c>
      <c r="D162" s="20">
        <f>E162+F162+G162+H162+I162</f>
        <v>2.8000000000000001E-2</v>
      </c>
      <c r="E162" s="23">
        <f>28/1000</f>
        <v>2.8000000000000001E-2</v>
      </c>
      <c r="F162" s="23">
        <v>0</v>
      </c>
      <c r="G162" s="23">
        <v>0</v>
      </c>
      <c r="H162" s="22">
        <v>0</v>
      </c>
      <c r="I162" s="22">
        <v>0</v>
      </c>
      <c r="J162" s="18">
        <f t="shared" si="43"/>
        <v>2.8000000000000001E-2</v>
      </c>
    </row>
    <row r="163" spans="1:10" ht="15.75" customHeight="1">
      <c r="A163" s="754" t="s">
        <v>92</v>
      </c>
      <c r="B163" s="765" t="s">
        <v>93</v>
      </c>
      <c r="C163" s="16" t="s">
        <v>16</v>
      </c>
      <c r="D163" s="21">
        <f t="shared" ref="D163:I163" si="48">D164+D165+D166</f>
        <v>2.5000000000000001E-2</v>
      </c>
      <c r="E163" s="21">
        <f t="shared" si="48"/>
        <v>2.5000000000000001E-2</v>
      </c>
      <c r="F163" s="21">
        <f t="shared" si="48"/>
        <v>0</v>
      </c>
      <c r="G163" s="21">
        <f t="shared" si="48"/>
        <v>0</v>
      </c>
      <c r="H163" s="22">
        <f t="shared" si="48"/>
        <v>0</v>
      </c>
      <c r="I163" s="22">
        <f t="shared" si="48"/>
        <v>0</v>
      </c>
      <c r="J163" s="18">
        <f t="shared" si="43"/>
        <v>2.5000000000000001E-2</v>
      </c>
    </row>
    <row r="164" spans="1:10" ht="15.75" customHeight="1">
      <c r="A164" s="754"/>
      <c r="B164" s="765"/>
      <c r="C164" s="12">
        <v>2015</v>
      </c>
      <c r="D164" s="20">
        <f>E164+F164+G164+H164+I164</f>
        <v>5.0000000000000001E-3</v>
      </c>
      <c r="E164" s="23">
        <f>5/1000</f>
        <v>5.0000000000000001E-3</v>
      </c>
      <c r="F164" s="23">
        <v>0</v>
      </c>
      <c r="G164" s="23">
        <v>0</v>
      </c>
      <c r="H164" s="22">
        <v>0</v>
      </c>
      <c r="I164" s="22">
        <v>0</v>
      </c>
      <c r="J164" s="18">
        <f t="shared" si="43"/>
        <v>5.0000000000000001E-3</v>
      </c>
    </row>
    <row r="165" spans="1:10">
      <c r="A165" s="754"/>
      <c r="B165" s="765"/>
      <c r="C165" s="12">
        <v>2016</v>
      </c>
      <c r="D165" s="20">
        <f>E165+F165+G165+H165+I165</f>
        <v>0.01</v>
      </c>
      <c r="E165" s="23">
        <f>10/1000</f>
        <v>0.01</v>
      </c>
      <c r="F165" s="23">
        <v>0</v>
      </c>
      <c r="G165" s="23">
        <v>0</v>
      </c>
      <c r="H165" s="22">
        <v>0</v>
      </c>
      <c r="I165" s="22">
        <v>0</v>
      </c>
      <c r="J165" s="18">
        <f t="shared" si="43"/>
        <v>0.01</v>
      </c>
    </row>
    <row r="166" spans="1:10">
      <c r="A166" s="754"/>
      <c r="B166" s="765"/>
      <c r="C166" s="12">
        <v>2017</v>
      </c>
      <c r="D166" s="20">
        <f>E166+F166+G166+H166+I166</f>
        <v>0.01</v>
      </c>
      <c r="E166" s="23">
        <f>10/1000</f>
        <v>0.01</v>
      </c>
      <c r="F166" s="23">
        <v>0</v>
      </c>
      <c r="G166" s="23">
        <v>0</v>
      </c>
      <c r="H166" s="22">
        <v>0</v>
      </c>
      <c r="I166" s="22">
        <v>0</v>
      </c>
      <c r="J166" s="18">
        <f t="shared" si="43"/>
        <v>0.01</v>
      </c>
    </row>
    <row r="167" spans="1:10">
      <c r="A167" s="754" t="s">
        <v>94</v>
      </c>
      <c r="B167" s="765" t="s">
        <v>95</v>
      </c>
      <c r="C167" s="16" t="s">
        <v>16</v>
      </c>
      <c r="D167" s="21">
        <f t="shared" ref="D167:I167" si="49">D168+D169+D170</f>
        <v>0.03</v>
      </c>
      <c r="E167" s="21">
        <f t="shared" si="49"/>
        <v>0.03</v>
      </c>
      <c r="F167" s="21">
        <f t="shared" si="49"/>
        <v>0</v>
      </c>
      <c r="G167" s="21">
        <f t="shared" si="49"/>
        <v>0</v>
      </c>
      <c r="H167" s="22">
        <f t="shared" si="49"/>
        <v>0</v>
      </c>
      <c r="I167" s="22">
        <f t="shared" si="49"/>
        <v>0</v>
      </c>
      <c r="J167" s="18">
        <f t="shared" si="43"/>
        <v>0.03</v>
      </c>
    </row>
    <row r="168" spans="1:10">
      <c r="A168" s="754"/>
      <c r="B168" s="765"/>
      <c r="C168" s="12">
        <v>2015</v>
      </c>
      <c r="D168" s="20">
        <f>E168+F168+G168+H168+I168</f>
        <v>0.01</v>
      </c>
      <c r="E168" s="23">
        <f>10/1000</f>
        <v>0.01</v>
      </c>
      <c r="F168" s="23">
        <v>0</v>
      </c>
      <c r="G168" s="23">
        <v>0</v>
      </c>
      <c r="H168" s="22">
        <v>0</v>
      </c>
      <c r="I168" s="22">
        <v>0</v>
      </c>
      <c r="J168" s="18">
        <f t="shared" si="43"/>
        <v>0.01</v>
      </c>
    </row>
    <row r="169" spans="1:10">
      <c r="A169" s="754"/>
      <c r="B169" s="765"/>
      <c r="C169" s="12">
        <v>2016</v>
      </c>
      <c r="D169" s="20">
        <f>E169+F169+G169+H169+I169</f>
        <v>0.01</v>
      </c>
      <c r="E169" s="23">
        <f>10/1000</f>
        <v>0.01</v>
      </c>
      <c r="F169" s="23">
        <v>0</v>
      </c>
      <c r="G169" s="23">
        <v>0</v>
      </c>
      <c r="H169" s="22">
        <v>0</v>
      </c>
      <c r="I169" s="22">
        <v>0</v>
      </c>
      <c r="J169" s="18">
        <f t="shared" si="43"/>
        <v>0.01</v>
      </c>
    </row>
    <row r="170" spans="1:10">
      <c r="A170" s="754"/>
      <c r="B170" s="765"/>
      <c r="C170" s="12">
        <v>2017</v>
      </c>
      <c r="D170" s="20">
        <f>E170+F170+G170+H170+I170</f>
        <v>0.01</v>
      </c>
      <c r="E170" s="23">
        <f>10/1000</f>
        <v>0.01</v>
      </c>
      <c r="F170" s="23">
        <v>0</v>
      </c>
      <c r="G170" s="23">
        <v>0</v>
      </c>
      <c r="H170" s="22">
        <v>0</v>
      </c>
      <c r="I170" s="22">
        <v>0</v>
      </c>
      <c r="J170" s="18">
        <f t="shared" si="43"/>
        <v>0.01</v>
      </c>
    </row>
    <row r="171" spans="1:10">
      <c r="A171" s="754" t="s">
        <v>96</v>
      </c>
      <c r="B171" s="765" t="s">
        <v>97</v>
      </c>
      <c r="C171" s="16" t="s">
        <v>16</v>
      </c>
      <c r="D171" s="21">
        <f t="shared" ref="D171:I171" si="50">D172+D173+D174</f>
        <v>1.4999999999999999E-2</v>
      </c>
      <c r="E171" s="21">
        <f t="shared" si="50"/>
        <v>1.4999999999999999E-2</v>
      </c>
      <c r="F171" s="21">
        <f t="shared" si="50"/>
        <v>0</v>
      </c>
      <c r="G171" s="21">
        <f t="shared" si="50"/>
        <v>0</v>
      </c>
      <c r="H171" s="22">
        <f t="shared" si="50"/>
        <v>0</v>
      </c>
      <c r="I171" s="22">
        <f t="shared" si="50"/>
        <v>0</v>
      </c>
      <c r="J171" s="18">
        <f t="shared" si="43"/>
        <v>1.4999999999999999E-2</v>
      </c>
    </row>
    <row r="172" spans="1:10">
      <c r="A172" s="754"/>
      <c r="B172" s="765"/>
      <c r="C172" s="12">
        <v>2015</v>
      </c>
      <c r="D172" s="20">
        <f>E172+F172+G172+H172+I172</f>
        <v>5.0000000000000001E-3</v>
      </c>
      <c r="E172" s="23">
        <f>5/1000</f>
        <v>5.0000000000000001E-3</v>
      </c>
      <c r="F172" s="23">
        <v>0</v>
      </c>
      <c r="G172" s="23">
        <v>0</v>
      </c>
      <c r="H172" s="22">
        <v>0</v>
      </c>
      <c r="I172" s="20">
        <v>0</v>
      </c>
      <c r="J172" s="18">
        <f t="shared" si="43"/>
        <v>5.0000000000000001E-3</v>
      </c>
    </row>
    <row r="173" spans="1:10">
      <c r="A173" s="754"/>
      <c r="B173" s="765"/>
      <c r="C173" s="12">
        <v>2016</v>
      </c>
      <c r="D173" s="20">
        <f>E173+F173+G173+H173+I173</f>
        <v>5.0000000000000001E-3</v>
      </c>
      <c r="E173" s="23">
        <f>5/1000</f>
        <v>5.0000000000000001E-3</v>
      </c>
      <c r="F173" s="23">
        <v>0</v>
      </c>
      <c r="G173" s="23">
        <v>0</v>
      </c>
      <c r="H173" s="22">
        <v>0</v>
      </c>
      <c r="I173" s="20">
        <v>0</v>
      </c>
      <c r="J173" s="18">
        <f t="shared" si="43"/>
        <v>5.0000000000000001E-3</v>
      </c>
    </row>
    <row r="174" spans="1:10">
      <c r="A174" s="754"/>
      <c r="B174" s="765"/>
      <c r="C174" s="12">
        <v>2017</v>
      </c>
      <c r="D174" s="20">
        <f>E174+F174+G174+H174+I174</f>
        <v>5.0000000000000001E-3</v>
      </c>
      <c r="E174" s="23">
        <f>5/1000</f>
        <v>5.0000000000000001E-3</v>
      </c>
      <c r="F174" s="23">
        <v>0</v>
      </c>
      <c r="G174" s="23">
        <v>0</v>
      </c>
      <c r="H174" s="22">
        <v>0</v>
      </c>
      <c r="I174" s="20">
        <v>0</v>
      </c>
      <c r="J174" s="18">
        <f t="shared" si="43"/>
        <v>5.0000000000000001E-3</v>
      </c>
    </row>
    <row r="175" spans="1:10">
      <c r="A175" s="754" t="s">
        <v>98</v>
      </c>
      <c r="B175" s="765" t="s">
        <v>99</v>
      </c>
      <c r="C175" s="16" t="s">
        <v>16</v>
      </c>
      <c r="D175" s="21">
        <f t="shared" ref="D175:I175" si="51">D176+D177+D178</f>
        <v>9.0000000000000011E-3</v>
      </c>
      <c r="E175" s="21">
        <f t="shared" si="51"/>
        <v>9.0000000000000011E-3</v>
      </c>
      <c r="F175" s="21">
        <f t="shared" si="51"/>
        <v>0</v>
      </c>
      <c r="G175" s="21">
        <f t="shared" si="51"/>
        <v>0</v>
      </c>
      <c r="H175" s="22">
        <f t="shared" si="51"/>
        <v>0</v>
      </c>
      <c r="I175" s="22">
        <f t="shared" si="51"/>
        <v>0</v>
      </c>
      <c r="J175" s="18">
        <f t="shared" si="43"/>
        <v>9.0000000000000011E-3</v>
      </c>
    </row>
    <row r="176" spans="1:10">
      <c r="A176" s="754"/>
      <c r="B176" s="765"/>
      <c r="C176" s="12">
        <v>2015</v>
      </c>
      <c r="D176" s="20">
        <f>E176+G176+H176+I176</f>
        <v>3.0000000000000001E-3</v>
      </c>
      <c r="E176" s="23">
        <f>3/1000</f>
        <v>3.0000000000000001E-3</v>
      </c>
      <c r="F176" s="23">
        <v>0</v>
      </c>
      <c r="G176" s="23">
        <v>0</v>
      </c>
      <c r="H176" s="22">
        <v>0</v>
      </c>
      <c r="I176" s="20">
        <v>0</v>
      </c>
      <c r="J176" s="18">
        <f t="shared" si="43"/>
        <v>3.0000000000000001E-3</v>
      </c>
    </row>
    <row r="177" spans="1:10">
      <c r="A177" s="754"/>
      <c r="B177" s="765"/>
      <c r="C177" s="12">
        <v>2016</v>
      </c>
      <c r="D177" s="20">
        <f>E177+G177+H177+I177</f>
        <v>3.0000000000000001E-3</v>
      </c>
      <c r="E177" s="23">
        <f>3/1000</f>
        <v>3.0000000000000001E-3</v>
      </c>
      <c r="F177" s="23">
        <v>0</v>
      </c>
      <c r="G177" s="23">
        <v>0</v>
      </c>
      <c r="H177" s="22">
        <v>0</v>
      </c>
      <c r="I177" s="20">
        <v>0</v>
      </c>
      <c r="J177" s="18">
        <f t="shared" si="43"/>
        <v>3.0000000000000001E-3</v>
      </c>
    </row>
    <row r="178" spans="1:10">
      <c r="A178" s="754"/>
      <c r="B178" s="765"/>
      <c r="C178" s="12">
        <v>2017</v>
      </c>
      <c r="D178" s="20">
        <f>E178+G178+H178+I178</f>
        <v>3.0000000000000001E-3</v>
      </c>
      <c r="E178" s="23">
        <f>3/1000</f>
        <v>3.0000000000000001E-3</v>
      </c>
      <c r="F178" s="23">
        <v>0</v>
      </c>
      <c r="G178" s="23">
        <v>0</v>
      </c>
      <c r="H178" s="22">
        <v>0</v>
      </c>
      <c r="I178" s="20">
        <v>0</v>
      </c>
      <c r="J178" s="18">
        <f t="shared" si="43"/>
        <v>3.0000000000000001E-3</v>
      </c>
    </row>
    <row r="179" spans="1:10">
      <c r="A179" s="754" t="s">
        <v>100</v>
      </c>
      <c r="B179" s="765" t="s">
        <v>101</v>
      </c>
      <c r="C179" s="16" t="s">
        <v>16</v>
      </c>
      <c r="D179" s="21">
        <f t="shared" ref="D179:I179" si="52">D180+D181+D182</f>
        <v>407.78890000000001</v>
      </c>
      <c r="E179" s="21">
        <f t="shared" si="52"/>
        <v>407.78890000000001</v>
      </c>
      <c r="F179" s="21">
        <f t="shared" si="52"/>
        <v>0</v>
      </c>
      <c r="G179" s="21">
        <f t="shared" si="52"/>
        <v>0</v>
      </c>
      <c r="H179" s="22">
        <f t="shared" si="52"/>
        <v>0</v>
      </c>
      <c r="I179" s="22">
        <f t="shared" si="52"/>
        <v>0</v>
      </c>
      <c r="J179" s="18">
        <f t="shared" si="43"/>
        <v>407.78890000000001</v>
      </c>
    </row>
    <row r="180" spans="1:10">
      <c r="A180" s="754"/>
      <c r="B180" s="765"/>
      <c r="C180" s="12">
        <v>2015</v>
      </c>
      <c r="D180" s="20">
        <f>E180+G180+H180+I180</f>
        <v>116.741</v>
      </c>
      <c r="E180" s="23">
        <f t="shared" ref="E180:I182" si="53">E184+E188+E192+E196+E200+E204+E208+E212</f>
        <v>116.741</v>
      </c>
      <c r="F180" s="23">
        <f t="shared" si="53"/>
        <v>0</v>
      </c>
      <c r="G180" s="23">
        <f t="shared" si="53"/>
        <v>0</v>
      </c>
      <c r="H180" s="23">
        <f t="shared" si="53"/>
        <v>0</v>
      </c>
      <c r="I180" s="23">
        <f t="shared" si="53"/>
        <v>0</v>
      </c>
      <c r="J180" s="18">
        <f t="shared" si="43"/>
        <v>116.741</v>
      </c>
    </row>
    <row r="181" spans="1:10">
      <c r="A181" s="754"/>
      <c r="B181" s="765"/>
      <c r="C181" s="12">
        <v>2016</v>
      </c>
      <c r="D181" s="20">
        <f>E181+G181+H181+I181</f>
        <v>135.0977</v>
      </c>
      <c r="E181" s="23">
        <f t="shared" si="53"/>
        <v>135.0977</v>
      </c>
      <c r="F181" s="23">
        <f t="shared" si="53"/>
        <v>0</v>
      </c>
      <c r="G181" s="23">
        <f t="shared" si="53"/>
        <v>0</v>
      </c>
      <c r="H181" s="23">
        <f t="shared" si="53"/>
        <v>0</v>
      </c>
      <c r="I181" s="23">
        <f t="shared" si="53"/>
        <v>0</v>
      </c>
      <c r="J181" s="18">
        <f t="shared" si="43"/>
        <v>135.0977</v>
      </c>
    </row>
    <row r="182" spans="1:10">
      <c r="A182" s="754"/>
      <c r="B182" s="765"/>
      <c r="C182" s="12">
        <v>2017</v>
      </c>
      <c r="D182" s="20">
        <f>E182+G182+H182+I182</f>
        <v>155.95019999999997</v>
      </c>
      <c r="E182" s="23">
        <f t="shared" si="53"/>
        <v>155.95019999999997</v>
      </c>
      <c r="F182" s="23">
        <f t="shared" si="53"/>
        <v>0</v>
      </c>
      <c r="G182" s="23">
        <f t="shared" si="53"/>
        <v>0</v>
      </c>
      <c r="H182" s="23">
        <f t="shared" si="53"/>
        <v>0</v>
      </c>
      <c r="I182" s="23">
        <f t="shared" si="53"/>
        <v>0</v>
      </c>
      <c r="J182" s="18">
        <f t="shared" si="43"/>
        <v>155.95019999999997</v>
      </c>
    </row>
    <row r="183" spans="1:10">
      <c r="A183" s="754" t="s">
        <v>102</v>
      </c>
      <c r="B183" s="769" t="s">
        <v>103</v>
      </c>
      <c r="C183" s="16" t="s">
        <v>16</v>
      </c>
      <c r="D183" s="21">
        <f t="shared" ref="D183:I183" si="54">D184+D185+D186</f>
        <v>13.092300000000002</v>
      </c>
      <c r="E183" s="21">
        <f t="shared" si="54"/>
        <v>13.092300000000002</v>
      </c>
      <c r="F183" s="21">
        <f t="shared" si="54"/>
        <v>0</v>
      </c>
      <c r="G183" s="21">
        <f t="shared" si="54"/>
        <v>0</v>
      </c>
      <c r="H183" s="22">
        <f t="shared" si="54"/>
        <v>0</v>
      </c>
      <c r="I183" s="22">
        <f t="shared" si="54"/>
        <v>0</v>
      </c>
      <c r="J183" s="18">
        <f t="shared" si="43"/>
        <v>13.092300000000002</v>
      </c>
    </row>
    <row r="184" spans="1:10">
      <c r="A184" s="754"/>
      <c r="B184" s="769"/>
      <c r="C184" s="12">
        <v>2015</v>
      </c>
      <c r="D184" s="20">
        <f>E184+F184+G184+H184+I184</f>
        <v>4.3715000000000002</v>
      </c>
      <c r="E184" s="23">
        <f>4371.5/1000</f>
        <v>4.3715000000000002</v>
      </c>
      <c r="F184" s="23">
        <v>0</v>
      </c>
      <c r="G184" s="23">
        <v>0</v>
      </c>
      <c r="H184" s="22">
        <v>0</v>
      </c>
      <c r="I184" s="22">
        <v>0</v>
      </c>
      <c r="J184" s="18">
        <f t="shared" si="43"/>
        <v>4.3715000000000002</v>
      </c>
    </row>
    <row r="185" spans="1:10">
      <c r="A185" s="754"/>
      <c r="B185" s="769"/>
      <c r="C185" s="12">
        <v>2016</v>
      </c>
      <c r="D185" s="20">
        <f>E185+F185+G185+H185+I185</f>
        <v>4.3647</v>
      </c>
      <c r="E185" s="23">
        <f>4364.7/1000</f>
        <v>4.3647</v>
      </c>
      <c r="F185" s="23">
        <v>0</v>
      </c>
      <c r="G185" s="23">
        <v>0</v>
      </c>
      <c r="H185" s="22">
        <v>0</v>
      </c>
      <c r="I185" s="22">
        <v>0</v>
      </c>
      <c r="J185" s="18">
        <f t="shared" si="43"/>
        <v>4.3647</v>
      </c>
    </row>
    <row r="186" spans="1:10">
      <c r="A186" s="754"/>
      <c r="B186" s="769"/>
      <c r="C186" s="12">
        <v>2017</v>
      </c>
      <c r="D186" s="20">
        <f>E186+F186+G186+H186+I186</f>
        <v>4.3561000000000005</v>
      </c>
      <c r="E186" s="23">
        <f>4356.1/1000</f>
        <v>4.3561000000000005</v>
      </c>
      <c r="F186" s="23">
        <v>0</v>
      </c>
      <c r="G186" s="23">
        <v>0</v>
      </c>
      <c r="H186" s="22">
        <v>0</v>
      </c>
      <c r="I186" s="22">
        <v>0</v>
      </c>
      <c r="J186" s="18">
        <f t="shared" si="43"/>
        <v>4.3561000000000005</v>
      </c>
    </row>
    <row r="187" spans="1:10">
      <c r="A187" s="754" t="s">
        <v>104</v>
      </c>
      <c r="B187" s="765" t="s">
        <v>105</v>
      </c>
      <c r="C187" s="16" t="s">
        <v>16</v>
      </c>
      <c r="D187" s="21">
        <f t="shared" ref="D187:I187" si="55">D188+D189+D190</f>
        <v>51.1374</v>
      </c>
      <c r="E187" s="21">
        <f t="shared" si="55"/>
        <v>51.1374</v>
      </c>
      <c r="F187" s="21">
        <f t="shared" si="55"/>
        <v>0</v>
      </c>
      <c r="G187" s="21">
        <f t="shared" si="55"/>
        <v>0</v>
      </c>
      <c r="H187" s="22">
        <f t="shared" si="55"/>
        <v>0</v>
      </c>
      <c r="I187" s="22">
        <f t="shared" si="55"/>
        <v>0</v>
      </c>
      <c r="J187" s="18">
        <f t="shared" si="43"/>
        <v>51.1374</v>
      </c>
    </row>
    <row r="188" spans="1:10">
      <c r="A188" s="754"/>
      <c r="B188" s="765"/>
      <c r="C188" s="12">
        <v>2015</v>
      </c>
      <c r="D188" s="20">
        <f>E188+F188+G188+H188+I188</f>
        <v>17.129200000000001</v>
      </c>
      <c r="E188" s="23">
        <f>17129.2/1000</f>
        <v>17.129200000000001</v>
      </c>
      <c r="F188" s="23">
        <v>0</v>
      </c>
      <c r="G188" s="23">
        <v>0</v>
      </c>
      <c r="H188" s="22">
        <v>0</v>
      </c>
      <c r="I188" s="22">
        <v>0</v>
      </c>
      <c r="J188" s="18">
        <f t="shared" si="43"/>
        <v>17.129200000000001</v>
      </c>
    </row>
    <row r="189" spans="1:10">
      <c r="A189" s="754"/>
      <c r="B189" s="765"/>
      <c r="C189" s="12">
        <v>2016</v>
      </c>
      <c r="D189" s="20">
        <f>E189+F189+G189+H189+I189</f>
        <v>17.0291</v>
      </c>
      <c r="E189" s="23">
        <f>17029.1/1000</f>
        <v>17.0291</v>
      </c>
      <c r="F189" s="23">
        <v>0</v>
      </c>
      <c r="G189" s="23">
        <v>0</v>
      </c>
      <c r="H189" s="22">
        <v>0</v>
      </c>
      <c r="I189" s="22">
        <v>0</v>
      </c>
      <c r="J189" s="18">
        <f t="shared" si="43"/>
        <v>17.0291</v>
      </c>
    </row>
    <row r="190" spans="1:10">
      <c r="A190" s="754"/>
      <c r="B190" s="765"/>
      <c r="C190" s="12">
        <v>2017</v>
      </c>
      <c r="D190" s="20">
        <f>E190+F190+G190+H190+I190</f>
        <v>16.979099999999999</v>
      </c>
      <c r="E190" s="23">
        <f>16979.1/1000</f>
        <v>16.979099999999999</v>
      </c>
      <c r="F190" s="23">
        <v>0</v>
      </c>
      <c r="G190" s="23">
        <v>0</v>
      </c>
      <c r="H190" s="22">
        <v>0</v>
      </c>
      <c r="I190" s="22">
        <v>0</v>
      </c>
      <c r="J190" s="18">
        <f t="shared" si="43"/>
        <v>16.979099999999999</v>
      </c>
    </row>
    <row r="191" spans="1:10">
      <c r="A191" s="754" t="s">
        <v>106</v>
      </c>
      <c r="B191" s="765" t="s">
        <v>107</v>
      </c>
      <c r="C191" s="16" t="s">
        <v>16</v>
      </c>
      <c r="D191" s="21">
        <f t="shared" ref="D191:I191" si="56">D192+D193+D194</f>
        <v>0.316</v>
      </c>
      <c r="E191" s="21">
        <f t="shared" si="56"/>
        <v>0.316</v>
      </c>
      <c r="F191" s="21">
        <f t="shared" si="56"/>
        <v>0</v>
      </c>
      <c r="G191" s="21">
        <f t="shared" si="56"/>
        <v>0</v>
      </c>
      <c r="H191" s="22">
        <f t="shared" si="56"/>
        <v>0</v>
      </c>
      <c r="I191" s="22">
        <f t="shared" si="56"/>
        <v>0</v>
      </c>
      <c r="J191" s="18">
        <f t="shared" si="43"/>
        <v>0.316</v>
      </c>
    </row>
    <row r="192" spans="1:10">
      <c r="A192" s="754"/>
      <c r="B192" s="765"/>
      <c r="C192" s="12">
        <v>2015</v>
      </c>
      <c r="D192" s="20">
        <f>E192+F192+G192+H192+I192</f>
        <v>0.316</v>
      </c>
      <c r="E192" s="23">
        <f>316/1000</f>
        <v>0.316</v>
      </c>
      <c r="F192" s="23">
        <v>0</v>
      </c>
      <c r="G192" s="23">
        <v>0</v>
      </c>
      <c r="H192" s="22">
        <v>0</v>
      </c>
      <c r="I192" s="22">
        <v>0</v>
      </c>
      <c r="J192" s="18">
        <f t="shared" si="43"/>
        <v>0.316</v>
      </c>
    </row>
    <row r="193" spans="1:10">
      <c r="A193" s="754"/>
      <c r="B193" s="765"/>
      <c r="C193" s="12">
        <v>2016</v>
      </c>
      <c r="D193" s="20">
        <f>E193+F193+G193+H193+I193</f>
        <v>0</v>
      </c>
      <c r="E193" s="23">
        <v>0</v>
      </c>
      <c r="F193" s="23">
        <v>0</v>
      </c>
      <c r="G193" s="23">
        <v>0</v>
      </c>
      <c r="H193" s="22">
        <v>0</v>
      </c>
      <c r="I193" s="22">
        <v>0</v>
      </c>
      <c r="J193" s="18">
        <f t="shared" si="43"/>
        <v>0</v>
      </c>
    </row>
    <row r="194" spans="1:10">
      <c r="A194" s="754"/>
      <c r="B194" s="765"/>
      <c r="C194" s="12">
        <v>2017</v>
      </c>
      <c r="D194" s="20">
        <f>E194+F194+G194+H194+I194</f>
        <v>0</v>
      </c>
      <c r="E194" s="23">
        <v>0</v>
      </c>
      <c r="F194" s="23">
        <v>0</v>
      </c>
      <c r="G194" s="23">
        <v>0</v>
      </c>
      <c r="H194" s="22">
        <v>0</v>
      </c>
      <c r="I194" s="22">
        <v>0</v>
      </c>
      <c r="J194" s="18">
        <f t="shared" si="43"/>
        <v>0</v>
      </c>
    </row>
    <row r="195" spans="1:10" ht="19.5" customHeight="1">
      <c r="A195" s="754" t="s">
        <v>108</v>
      </c>
      <c r="B195" s="765" t="s">
        <v>109</v>
      </c>
      <c r="C195" s="16" t="s">
        <v>16</v>
      </c>
      <c r="D195" s="21">
        <f t="shared" ref="D195:I195" si="57">D196+D197+D198</f>
        <v>98.6614</v>
      </c>
      <c r="E195" s="21">
        <f t="shared" si="57"/>
        <v>98.6614</v>
      </c>
      <c r="F195" s="21">
        <f t="shared" si="57"/>
        <v>0</v>
      </c>
      <c r="G195" s="21">
        <f t="shared" si="57"/>
        <v>0</v>
      </c>
      <c r="H195" s="22">
        <f t="shared" si="57"/>
        <v>0</v>
      </c>
      <c r="I195" s="22">
        <f t="shared" si="57"/>
        <v>0</v>
      </c>
      <c r="J195" s="18">
        <f t="shared" si="43"/>
        <v>98.6614</v>
      </c>
    </row>
    <row r="196" spans="1:10">
      <c r="A196" s="754"/>
      <c r="B196" s="765"/>
      <c r="C196" s="12">
        <v>2015</v>
      </c>
      <c r="D196" s="20">
        <f>E196+F196+G196+H196+I196</f>
        <v>24.477400000000003</v>
      </c>
      <c r="E196" s="23">
        <f>24477.4/1000</f>
        <v>24.477400000000003</v>
      </c>
      <c r="F196" s="23">
        <v>0</v>
      </c>
      <c r="G196" s="23">
        <v>0</v>
      </c>
      <c r="H196" s="22">
        <v>0</v>
      </c>
      <c r="I196" s="22">
        <v>0</v>
      </c>
      <c r="J196" s="18">
        <f t="shared" si="43"/>
        <v>24.477400000000003</v>
      </c>
    </row>
    <row r="197" spans="1:10">
      <c r="A197" s="754"/>
      <c r="B197" s="765"/>
      <c r="C197" s="12">
        <v>2016</v>
      </c>
      <c r="D197" s="20">
        <f>E197+F197+G197+H197+I197</f>
        <v>33.338900000000002</v>
      </c>
      <c r="E197" s="23">
        <f>33338.9/1000</f>
        <v>33.338900000000002</v>
      </c>
      <c r="F197" s="23">
        <v>0</v>
      </c>
      <c r="G197" s="23">
        <v>0</v>
      </c>
      <c r="H197" s="22">
        <v>0</v>
      </c>
      <c r="I197" s="22">
        <v>0</v>
      </c>
      <c r="J197" s="18">
        <f t="shared" si="43"/>
        <v>33.338900000000002</v>
      </c>
    </row>
    <row r="198" spans="1:10">
      <c r="A198" s="754"/>
      <c r="B198" s="765"/>
      <c r="C198" s="12">
        <v>2017</v>
      </c>
      <c r="D198" s="20">
        <f>E198+F198+G198+H198+I198</f>
        <v>40.845099999999995</v>
      </c>
      <c r="E198" s="23">
        <f>40845.1/1000</f>
        <v>40.845099999999995</v>
      </c>
      <c r="F198" s="23">
        <v>0</v>
      </c>
      <c r="G198" s="23">
        <v>0</v>
      </c>
      <c r="H198" s="22">
        <v>0</v>
      </c>
      <c r="I198" s="22">
        <v>0</v>
      </c>
      <c r="J198" s="18">
        <f t="shared" si="43"/>
        <v>40.845099999999995</v>
      </c>
    </row>
    <row r="199" spans="1:10">
      <c r="A199" s="754" t="s">
        <v>110</v>
      </c>
      <c r="B199" s="765" t="s">
        <v>111</v>
      </c>
      <c r="C199" s="16" t="s">
        <v>16</v>
      </c>
      <c r="D199" s="21">
        <f t="shared" ref="D199:I199" si="58">D200+D201+D202</f>
        <v>155.68289999999999</v>
      </c>
      <c r="E199" s="21">
        <f t="shared" si="58"/>
        <v>155.68289999999999</v>
      </c>
      <c r="F199" s="21">
        <f t="shared" si="58"/>
        <v>0</v>
      </c>
      <c r="G199" s="21">
        <f t="shared" si="58"/>
        <v>0</v>
      </c>
      <c r="H199" s="22">
        <f t="shared" si="58"/>
        <v>0</v>
      </c>
      <c r="I199" s="22">
        <f t="shared" si="58"/>
        <v>0</v>
      </c>
      <c r="J199" s="18">
        <f t="shared" si="43"/>
        <v>155.68289999999999</v>
      </c>
    </row>
    <row r="200" spans="1:10">
      <c r="A200" s="754"/>
      <c r="B200" s="765"/>
      <c r="C200" s="12">
        <v>2015</v>
      </c>
      <c r="D200" s="20">
        <f>E200+F200+G200+H200+I200</f>
        <v>43.609300000000005</v>
      </c>
      <c r="E200" s="23">
        <f>43609.3/1000</f>
        <v>43.609300000000005</v>
      </c>
      <c r="F200" s="23">
        <v>0</v>
      </c>
      <c r="G200" s="23">
        <v>0</v>
      </c>
      <c r="H200" s="22">
        <v>0</v>
      </c>
      <c r="I200" s="22">
        <v>0</v>
      </c>
      <c r="J200" s="18">
        <f t="shared" si="43"/>
        <v>43.609300000000005</v>
      </c>
    </row>
    <row r="201" spans="1:10">
      <c r="A201" s="754"/>
      <c r="B201" s="765"/>
      <c r="C201" s="12">
        <v>2016</v>
      </c>
      <c r="D201" s="20">
        <f>E201+F201+G201+H201+I201</f>
        <v>51.239100000000001</v>
      </c>
      <c r="E201" s="23">
        <f>51239.1/1000</f>
        <v>51.239100000000001</v>
      </c>
      <c r="F201" s="23">
        <v>0</v>
      </c>
      <c r="G201" s="23">
        <v>0</v>
      </c>
      <c r="H201" s="22">
        <v>0</v>
      </c>
      <c r="I201" s="22">
        <v>0</v>
      </c>
      <c r="J201" s="18">
        <f t="shared" si="43"/>
        <v>51.239100000000001</v>
      </c>
    </row>
    <row r="202" spans="1:10">
      <c r="A202" s="754"/>
      <c r="B202" s="765"/>
      <c r="C202" s="12">
        <v>2017</v>
      </c>
      <c r="D202" s="20">
        <f>E202+F202+G202+H202+I202</f>
        <v>60.834499999999998</v>
      </c>
      <c r="E202" s="23">
        <f>60834.5/1000</f>
        <v>60.834499999999998</v>
      </c>
      <c r="F202" s="23">
        <v>0</v>
      </c>
      <c r="G202" s="23">
        <v>0</v>
      </c>
      <c r="H202" s="22">
        <v>0</v>
      </c>
      <c r="I202" s="22">
        <v>0</v>
      </c>
      <c r="J202" s="18">
        <f t="shared" si="43"/>
        <v>60.834499999999998</v>
      </c>
    </row>
    <row r="203" spans="1:10">
      <c r="A203" s="754" t="s">
        <v>112</v>
      </c>
      <c r="B203" s="765" t="s">
        <v>113</v>
      </c>
      <c r="C203" s="16" t="s">
        <v>16</v>
      </c>
      <c r="D203" s="21">
        <f t="shared" ref="D203:I203" si="59">D204+D205+D206</f>
        <v>59.709400000000002</v>
      </c>
      <c r="E203" s="21">
        <f t="shared" si="59"/>
        <v>59.709400000000002</v>
      </c>
      <c r="F203" s="21">
        <f t="shared" si="59"/>
        <v>0</v>
      </c>
      <c r="G203" s="21">
        <f t="shared" si="59"/>
        <v>0</v>
      </c>
      <c r="H203" s="22">
        <f t="shared" si="59"/>
        <v>0</v>
      </c>
      <c r="I203" s="22">
        <f t="shared" si="59"/>
        <v>0</v>
      </c>
      <c r="J203" s="18">
        <f t="shared" si="43"/>
        <v>59.709400000000002</v>
      </c>
    </row>
    <row r="204" spans="1:10">
      <c r="A204" s="754"/>
      <c r="B204" s="765"/>
      <c r="C204" s="12">
        <v>2015</v>
      </c>
      <c r="D204" s="20">
        <f>E204+F204+G204+H204+I204</f>
        <v>19.035299999999999</v>
      </c>
      <c r="E204" s="23">
        <f>19035.3/1000</f>
        <v>19.035299999999999</v>
      </c>
      <c r="F204" s="23">
        <v>0</v>
      </c>
      <c r="G204" s="23">
        <v>0</v>
      </c>
      <c r="H204" s="22">
        <v>0</v>
      </c>
      <c r="I204" s="22">
        <v>0</v>
      </c>
      <c r="J204" s="18">
        <f t="shared" si="43"/>
        <v>19.035299999999999</v>
      </c>
    </row>
    <row r="205" spans="1:10">
      <c r="A205" s="754"/>
      <c r="B205" s="765"/>
      <c r="C205" s="12">
        <v>2016</v>
      </c>
      <c r="D205" s="20">
        <f>E205+F205+G205+H205+I205</f>
        <v>19.558400000000002</v>
      </c>
      <c r="E205" s="23">
        <f>19558.4/1000</f>
        <v>19.558400000000002</v>
      </c>
      <c r="F205" s="23">
        <v>0</v>
      </c>
      <c r="G205" s="23">
        <v>0</v>
      </c>
      <c r="H205" s="22">
        <v>0</v>
      </c>
      <c r="I205" s="22">
        <v>0</v>
      </c>
      <c r="J205" s="18">
        <f t="shared" si="43"/>
        <v>19.558400000000002</v>
      </c>
    </row>
    <row r="206" spans="1:10">
      <c r="A206" s="754"/>
      <c r="B206" s="765"/>
      <c r="C206" s="12">
        <v>2017</v>
      </c>
      <c r="D206" s="20">
        <f>E206+F206+G206+H206+I206</f>
        <v>21.1157</v>
      </c>
      <c r="E206" s="23">
        <f>21115.7/1000</f>
        <v>21.1157</v>
      </c>
      <c r="F206" s="23">
        <v>0</v>
      </c>
      <c r="G206" s="23">
        <v>0</v>
      </c>
      <c r="H206" s="22">
        <v>0</v>
      </c>
      <c r="I206" s="22">
        <v>0</v>
      </c>
      <c r="J206" s="18">
        <f t="shared" si="43"/>
        <v>21.1157</v>
      </c>
    </row>
    <row r="207" spans="1:10">
      <c r="A207" s="754" t="s">
        <v>114</v>
      </c>
      <c r="B207" s="765" t="s">
        <v>115</v>
      </c>
      <c r="C207" s="16" t="s">
        <v>16</v>
      </c>
      <c r="D207" s="21">
        <f t="shared" ref="D207:I207" si="60">D208+D209+D210</f>
        <v>9.5348000000000006</v>
      </c>
      <c r="E207" s="21">
        <f t="shared" si="60"/>
        <v>9.5348000000000006</v>
      </c>
      <c r="F207" s="21">
        <f t="shared" si="60"/>
        <v>0</v>
      </c>
      <c r="G207" s="21">
        <f t="shared" si="60"/>
        <v>0</v>
      </c>
      <c r="H207" s="22">
        <f t="shared" si="60"/>
        <v>0</v>
      </c>
      <c r="I207" s="22">
        <f t="shared" si="60"/>
        <v>0</v>
      </c>
      <c r="J207" s="18">
        <f t="shared" ref="J207:J260" si="61">SUM(E207:I207)</f>
        <v>9.5348000000000006</v>
      </c>
    </row>
    <row r="208" spans="1:10">
      <c r="A208" s="754"/>
      <c r="B208" s="765"/>
      <c r="C208" s="12">
        <v>2015</v>
      </c>
      <c r="D208" s="20">
        <f>E208+F208+G208+H208+I208</f>
        <v>2.5683000000000002</v>
      </c>
      <c r="E208" s="23">
        <f>2568.3/1000</f>
        <v>2.5683000000000002</v>
      </c>
      <c r="F208" s="23">
        <v>0</v>
      </c>
      <c r="G208" s="23">
        <v>0</v>
      </c>
      <c r="H208" s="22">
        <v>0</v>
      </c>
      <c r="I208" s="22">
        <v>0</v>
      </c>
      <c r="J208" s="18">
        <f t="shared" si="61"/>
        <v>2.5683000000000002</v>
      </c>
    </row>
    <row r="209" spans="1:10">
      <c r="A209" s="754"/>
      <c r="B209" s="765"/>
      <c r="C209" s="12">
        <v>2016</v>
      </c>
      <c r="D209" s="20">
        <f>E209+F209+G209+H209+I209</f>
        <v>3.1275999999999997</v>
      </c>
      <c r="E209" s="23">
        <f>3127.6/1000</f>
        <v>3.1275999999999997</v>
      </c>
      <c r="F209" s="23">
        <v>0</v>
      </c>
      <c r="G209" s="23">
        <v>0</v>
      </c>
      <c r="H209" s="22">
        <v>0</v>
      </c>
      <c r="I209" s="22">
        <v>0</v>
      </c>
      <c r="J209" s="18">
        <f t="shared" si="61"/>
        <v>3.1275999999999997</v>
      </c>
    </row>
    <row r="210" spans="1:10">
      <c r="A210" s="754"/>
      <c r="B210" s="765"/>
      <c r="C210" s="12">
        <v>2017</v>
      </c>
      <c r="D210" s="20">
        <f>E210+F210+G210+H210+I210</f>
        <v>3.8389000000000002</v>
      </c>
      <c r="E210" s="23">
        <f>3838.9/1000</f>
        <v>3.8389000000000002</v>
      </c>
      <c r="F210" s="23">
        <v>0</v>
      </c>
      <c r="G210" s="23">
        <v>0</v>
      </c>
      <c r="H210" s="22">
        <v>0</v>
      </c>
      <c r="I210" s="22">
        <v>0</v>
      </c>
      <c r="J210" s="18">
        <f t="shared" si="61"/>
        <v>3.8389000000000002</v>
      </c>
    </row>
    <row r="211" spans="1:10">
      <c r="A211" s="754" t="s">
        <v>116</v>
      </c>
      <c r="B211" s="765" t="s">
        <v>117</v>
      </c>
      <c r="C211" s="16" t="s">
        <v>16</v>
      </c>
      <c r="D211" s="21">
        <f t="shared" ref="D211:I211" si="62">D212+D213+D214</f>
        <v>19.654699999999998</v>
      </c>
      <c r="E211" s="21">
        <f t="shared" si="62"/>
        <v>19.654699999999998</v>
      </c>
      <c r="F211" s="21">
        <f t="shared" si="62"/>
        <v>0</v>
      </c>
      <c r="G211" s="21">
        <f t="shared" si="62"/>
        <v>0</v>
      </c>
      <c r="H211" s="22">
        <f t="shared" si="62"/>
        <v>0</v>
      </c>
      <c r="I211" s="22">
        <f t="shared" si="62"/>
        <v>0</v>
      </c>
      <c r="J211" s="18">
        <f t="shared" si="61"/>
        <v>19.654699999999998</v>
      </c>
    </row>
    <row r="212" spans="1:10">
      <c r="A212" s="754"/>
      <c r="B212" s="765"/>
      <c r="C212" s="12">
        <v>2015</v>
      </c>
      <c r="D212" s="20">
        <f>E212+F212+G212+H212+I212</f>
        <v>5.234</v>
      </c>
      <c r="E212" s="23">
        <f>5234/1000</f>
        <v>5.234</v>
      </c>
      <c r="F212" s="23">
        <v>0</v>
      </c>
      <c r="G212" s="23">
        <v>0</v>
      </c>
      <c r="H212" s="22">
        <v>0</v>
      </c>
      <c r="I212" s="22">
        <v>0</v>
      </c>
      <c r="J212" s="18">
        <f t="shared" si="61"/>
        <v>5.234</v>
      </c>
    </row>
    <row r="213" spans="1:10">
      <c r="A213" s="754"/>
      <c r="B213" s="765"/>
      <c r="C213" s="12">
        <v>2016</v>
      </c>
      <c r="D213" s="20">
        <f>E213+F213+G213+H213+I213</f>
        <v>6.4398999999999997</v>
      </c>
      <c r="E213" s="23">
        <f>6439.9/1000</f>
        <v>6.4398999999999997</v>
      </c>
      <c r="F213" s="23">
        <v>0</v>
      </c>
      <c r="G213" s="23">
        <v>0</v>
      </c>
      <c r="H213" s="22">
        <v>0</v>
      </c>
      <c r="I213" s="22">
        <v>0</v>
      </c>
      <c r="J213" s="18">
        <f t="shared" si="61"/>
        <v>6.4398999999999997</v>
      </c>
    </row>
    <row r="214" spans="1:10">
      <c r="A214" s="754"/>
      <c r="B214" s="765"/>
      <c r="C214" s="12">
        <v>2017</v>
      </c>
      <c r="D214" s="20">
        <f>E214+F214+G214+H214+I214</f>
        <v>7.9808000000000003</v>
      </c>
      <c r="E214" s="23">
        <f>7980.8/1000</f>
        <v>7.9808000000000003</v>
      </c>
      <c r="F214" s="23">
        <v>0</v>
      </c>
      <c r="G214" s="23">
        <v>0</v>
      </c>
      <c r="H214" s="22">
        <v>0</v>
      </c>
      <c r="I214" s="22">
        <v>0</v>
      </c>
      <c r="J214" s="18">
        <f t="shared" si="61"/>
        <v>7.9808000000000003</v>
      </c>
    </row>
    <row r="215" spans="1:10">
      <c r="A215" s="754" t="s">
        <v>118</v>
      </c>
      <c r="B215" s="771" t="s">
        <v>119</v>
      </c>
      <c r="C215" s="16" t="s">
        <v>16</v>
      </c>
      <c r="D215" s="21">
        <f>D216+D217+D218</f>
        <v>1.9881000000000002</v>
      </c>
      <c r="E215" s="21">
        <f>E216+E217+E218</f>
        <v>1.3407</v>
      </c>
      <c r="F215" s="21">
        <v>0</v>
      </c>
      <c r="G215" s="21">
        <f>G216+G217+G218</f>
        <v>0.64740000000000009</v>
      </c>
      <c r="H215" s="21">
        <f>H216+H217+H218</f>
        <v>0</v>
      </c>
      <c r="I215" s="21">
        <f>I216+I217+I218</f>
        <v>0</v>
      </c>
      <c r="J215" s="18">
        <f t="shared" si="61"/>
        <v>1.9881000000000002</v>
      </c>
    </row>
    <row r="216" spans="1:10">
      <c r="A216" s="754"/>
      <c r="B216" s="771"/>
      <c r="C216" s="12">
        <v>2015</v>
      </c>
      <c r="D216" s="20">
        <f>E216+F216+G216+H216+I216</f>
        <v>0.64290000000000003</v>
      </c>
      <c r="E216" s="23">
        <f>427.1/1000</f>
        <v>0.42710000000000004</v>
      </c>
      <c r="F216" s="21">
        <v>0</v>
      </c>
      <c r="G216" s="23">
        <f>215.8/1000</f>
        <v>0.21580000000000002</v>
      </c>
      <c r="H216" s="21">
        <v>0</v>
      </c>
      <c r="I216" s="21">
        <v>0</v>
      </c>
      <c r="J216" s="18">
        <f t="shared" si="61"/>
        <v>0.64290000000000003</v>
      </c>
    </row>
    <row r="217" spans="1:10">
      <c r="A217" s="754"/>
      <c r="B217" s="771"/>
      <c r="C217" s="12">
        <v>2016</v>
      </c>
      <c r="D217" s="20">
        <f>E217+F217+G217+H217+I217</f>
        <v>0.66300000000000003</v>
      </c>
      <c r="E217" s="23">
        <f>447.2/1000</f>
        <v>0.44719999999999999</v>
      </c>
      <c r="F217" s="21">
        <v>0</v>
      </c>
      <c r="G217" s="23">
        <f>215.8/1000</f>
        <v>0.21580000000000002</v>
      </c>
      <c r="H217" s="21">
        <v>0</v>
      </c>
      <c r="I217" s="21">
        <v>0</v>
      </c>
      <c r="J217" s="18">
        <f t="shared" si="61"/>
        <v>0.66300000000000003</v>
      </c>
    </row>
    <row r="218" spans="1:10">
      <c r="A218" s="754"/>
      <c r="B218" s="771"/>
      <c r="C218" s="12">
        <v>2017</v>
      </c>
      <c r="D218" s="20">
        <f>E218+F218+G218+H218+I218</f>
        <v>0.68220000000000003</v>
      </c>
      <c r="E218" s="23">
        <f>466.4/1000</f>
        <v>0.46639999999999998</v>
      </c>
      <c r="F218" s="21">
        <v>0</v>
      </c>
      <c r="G218" s="23">
        <f>215.8/1000</f>
        <v>0.21580000000000002</v>
      </c>
      <c r="H218" s="21">
        <v>0</v>
      </c>
      <c r="I218" s="21">
        <v>0</v>
      </c>
      <c r="J218" s="18">
        <f t="shared" si="61"/>
        <v>0.68220000000000003</v>
      </c>
    </row>
    <row r="219" spans="1:10">
      <c r="A219" s="754" t="s">
        <v>120</v>
      </c>
      <c r="B219" s="771" t="s">
        <v>121</v>
      </c>
      <c r="C219" s="16" t="s">
        <v>16</v>
      </c>
      <c r="D219" s="21">
        <f t="shared" ref="D219:I219" si="63">D220+D221+D222</f>
        <v>1.0203</v>
      </c>
      <c r="E219" s="21">
        <f t="shared" si="63"/>
        <v>1.0203</v>
      </c>
      <c r="F219" s="21">
        <f t="shared" si="63"/>
        <v>0</v>
      </c>
      <c r="G219" s="21">
        <f t="shared" si="63"/>
        <v>0</v>
      </c>
      <c r="H219" s="21">
        <f t="shared" si="63"/>
        <v>0</v>
      </c>
      <c r="I219" s="21">
        <f t="shared" si="63"/>
        <v>0</v>
      </c>
      <c r="J219" s="18">
        <f t="shared" si="61"/>
        <v>1.0203</v>
      </c>
    </row>
    <row r="220" spans="1:10">
      <c r="A220" s="754"/>
      <c r="B220" s="771"/>
      <c r="C220" s="12">
        <v>2015</v>
      </c>
      <c r="D220" s="21">
        <f>I220+H220+G220+F220+E220</f>
        <v>0.32029999999999997</v>
      </c>
      <c r="E220" s="23">
        <v>0.32029999999999997</v>
      </c>
      <c r="F220" s="23">
        <v>0</v>
      </c>
      <c r="G220" s="23">
        <v>0</v>
      </c>
      <c r="H220" s="23">
        <v>0</v>
      </c>
      <c r="I220" s="23">
        <v>0</v>
      </c>
      <c r="J220" s="18">
        <f t="shared" si="61"/>
        <v>0.32029999999999997</v>
      </c>
    </row>
    <row r="221" spans="1:10">
      <c r="A221" s="754"/>
      <c r="B221" s="771"/>
      <c r="C221" s="12">
        <v>2016</v>
      </c>
      <c r="D221" s="21">
        <f>I221+H221+G221+F221+E221</f>
        <v>0.34039999999999998</v>
      </c>
      <c r="E221" s="23">
        <v>0.34039999999999998</v>
      </c>
      <c r="F221" s="23">
        <v>0</v>
      </c>
      <c r="G221" s="23">
        <v>0</v>
      </c>
      <c r="H221" s="23">
        <v>0</v>
      </c>
      <c r="I221" s="23">
        <v>0</v>
      </c>
      <c r="J221" s="18">
        <f t="shared" si="61"/>
        <v>0.34039999999999998</v>
      </c>
    </row>
    <row r="222" spans="1:10">
      <c r="A222" s="754"/>
      <c r="B222" s="771"/>
      <c r="C222" s="12">
        <v>2017</v>
      </c>
      <c r="D222" s="21">
        <f>I222+H222+G222+F222+E222</f>
        <v>0.35959999999999998</v>
      </c>
      <c r="E222" s="23">
        <v>0.35959999999999998</v>
      </c>
      <c r="F222" s="23">
        <v>0</v>
      </c>
      <c r="G222" s="23">
        <v>0</v>
      </c>
      <c r="H222" s="23">
        <v>0</v>
      </c>
      <c r="I222" s="23">
        <v>0</v>
      </c>
      <c r="J222" s="18">
        <f t="shared" si="61"/>
        <v>0.35959999999999998</v>
      </c>
    </row>
    <row r="223" spans="1:10">
      <c r="A223" s="754" t="s">
        <v>122</v>
      </c>
      <c r="B223" s="771" t="s">
        <v>123</v>
      </c>
      <c r="C223" s="16" t="s">
        <v>16</v>
      </c>
      <c r="D223" s="21">
        <f t="shared" ref="D223:I223" si="64">D224+D225+D226</f>
        <v>0.71939999999999993</v>
      </c>
      <c r="E223" s="21">
        <f t="shared" si="64"/>
        <v>7.2000000000000008E-2</v>
      </c>
      <c r="F223" s="21">
        <f t="shared" si="64"/>
        <v>0</v>
      </c>
      <c r="G223" s="21">
        <f t="shared" si="64"/>
        <v>0.64739999999999998</v>
      </c>
      <c r="H223" s="21">
        <f t="shared" si="64"/>
        <v>0</v>
      </c>
      <c r="I223" s="21">
        <f t="shared" si="64"/>
        <v>0</v>
      </c>
      <c r="J223" s="18">
        <f t="shared" si="61"/>
        <v>0.71940000000000004</v>
      </c>
    </row>
    <row r="224" spans="1:10">
      <c r="A224" s="754"/>
      <c r="B224" s="771"/>
      <c r="C224" s="12">
        <v>2015</v>
      </c>
      <c r="D224" s="21">
        <f>E224+F224+G224+H224+I224</f>
        <v>0.23979999999999999</v>
      </c>
      <c r="E224" s="23">
        <v>2.4E-2</v>
      </c>
      <c r="F224" s="23">
        <v>0</v>
      </c>
      <c r="G224" s="23">
        <v>0.21579999999999999</v>
      </c>
      <c r="H224" s="23">
        <v>0</v>
      </c>
      <c r="I224" s="23">
        <v>0</v>
      </c>
      <c r="J224" s="18">
        <f t="shared" si="61"/>
        <v>0.23979999999999999</v>
      </c>
    </row>
    <row r="225" spans="1:12">
      <c r="A225" s="754"/>
      <c r="B225" s="771"/>
      <c r="C225" s="12">
        <v>2016</v>
      </c>
      <c r="D225" s="21">
        <f>E225+F225+G225+H225+I225</f>
        <v>0.23979999999999999</v>
      </c>
      <c r="E225" s="23">
        <v>2.4E-2</v>
      </c>
      <c r="F225" s="23">
        <v>0</v>
      </c>
      <c r="G225" s="23">
        <v>0.21579999999999999</v>
      </c>
      <c r="H225" s="23">
        <v>0</v>
      </c>
      <c r="I225" s="23">
        <v>0</v>
      </c>
      <c r="J225" s="18">
        <f t="shared" si="61"/>
        <v>0.23979999999999999</v>
      </c>
    </row>
    <row r="226" spans="1:12">
      <c r="A226" s="754"/>
      <c r="B226" s="771"/>
      <c r="C226" s="12">
        <v>2017</v>
      </c>
      <c r="D226" s="21">
        <f>E226+F226+G226+H226+I226</f>
        <v>0.23979999999999999</v>
      </c>
      <c r="E226" s="23">
        <v>2.4E-2</v>
      </c>
      <c r="F226" s="23">
        <v>0</v>
      </c>
      <c r="G226" s="23">
        <v>0.21579999999999999</v>
      </c>
      <c r="H226" s="23">
        <v>0</v>
      </c>
      <c r="I226" s="23">
        <v>0</v>
      </c>
      <c r="J226" s="18">
        <f t="shared" si="61"/>
        <v>0.23979999999999999</v>
      </c>
    </row>
    <row r="227" spans="1:12">
      <c r="A227" s="754" t="s">
        <v>124</v>
      </c>
      <c r="B227" s="771" t="s">
        <v>125</v>
      </c>
      <c r="C227" s="16" t="s">
        <v>16</v>
      </c>
      <c r="D227" s="21">
        <f t="shared" ref="D227:I227" si="65">D228+D229+D230</f>
        <v>0.24840000000000001</v>
      </c>
      <c r="E227" s="21">
        <f t="shared" si="65"/>
        <v>0.24840000000000001</v>
      </c>
      <c r="F227" s="21">
        <f t="shared" si="65"/>
        <v>0</v>
      </c>
      <c r="G227" s="21">
        <f t="shared" si="65"/>
        <v>0</v>
      </c>
      <c r="H227" s="21">
        <f t="shared" si="65"/>
        <v>0</v>
      </c>
      <c r="I227" s="21">
        <f t="shared" si="65"/>
        <v>0</v>
      </c>
      <c r="J227" s="18">
        <f t="shared" si="61"/>
        <v>0.24840000000000001</v>
      </c>
    </row>
    <row r="228" spans="1:12">
      <c r="A228" s="754"/>
      <c r="B228" s="771"/>
      <c r="C228" s="12">
        <v>2015</v>
      </c>
      <c r="D228" s="20">
        <f>E228+F228+G228+H228+I228</f>
        <v>8.2799999999999999E-2</v>
      </c>
      <c r="E228" s="23">
        <v>8.2799999999999999E-2</v>
      </c>
      <c r="F228" s="23">
        <v>0</v>
      </c>
      <c r="G228" s="23">
        <v>0</v>
      </c>
      <c r="H228" s="23">
        <v>0</v>
      </c>
      <c r="I228" s="23">
        <v>0</v>
      </c>
      <c r="J228" s="18">
        <f t="shared" si="61"/>
        <v>8.2799999999999999E-2</v>
      </c>
    </row>
    <row r="229" spans="1:12">
      <c r="A229" s="754"/>
      <c r="B229" s="771"/>
      <c r="C229" s="12">
        <v>2016</v>
      </c>
      <c r="D229" s="20">
        <f>E229+F229+G229+H229+I229</f>
        <v>8.2799999999999999E-2</v>
      </c>
      <c r="E229" s="23">
        <v>8.2799999999999999E-2</v>
      </c>
      <c r="F229" s="23">
        <v>0</v>
      </c>
      <c r="G229" s="23">
        <v>0</v>
      </c>
      <c r="H229" s="23">
        <v>0</v>
      </c>
      <c r="I229" s="23">
        <v>0</v>
      </c>
      <c r="J229" s="18">
        <f t="shared" si="61"/>
        <v>8.2799999999999999E-2</v>
      </c>
    </row>
    <row r="230" spans="1:12">
      <c r="A230" s="754"/>
      <c r="B230" s="771"/>
      <c r="C230" s="12">
        <v>2017</v>
      </c>
      <c r="D230" s="20">
        <f>E230+F230+G230+H230+I230</f>
        <v>8.2799999999999999E-2</v>
      </c>
      <c r="E230" s="23">
        <v>8.2799999999999999E-2</v>
      </c>
      <c r="F230" s="23">
        <v>0</v>
      </c>
      <c r="G230" s="23">
        <v>0</v>
      </c>
      <c r="H230" s="23">
        <v>0</v>
      </c>
      <c r="I230" s="23">
        <v>0</v>
      </c>
      <c r="J230" s="18">
        <f t="shared" si="61"/>
        <v>8.2799999999999999E-2</v>
      </c>
    </row>
    <row r="231" spans="1:12">
      <c r="A231" s="754" t="s">
        <v>126</v>
      </c>
      <c r="B231" s="772" t="s">
        <v>127</v>
      </c>
      <c r="C231" s="16" t="s">
        <v>16</v>
      </c>
      <c r="D231" s="21">
        <f t="shared" ref="D231:I231" si="66">D232+D233+D234</f>
        <v>48.314019999999999</v>
      </c>
      <c r="E231" s="21">
        <f t="shared" si="66"/>
        <v>7.8270000000000008</v>
      </c>
      <c r="F231" s="21">
        <f t="shared" si="66"/>
        <v>5.49892</v>
      </c>
      <c r="G231" s="21">
        <f t="shared" si="66"/>
        <v>7.1321000000000012</v>
      </c>
      <c r="H231" s="21">
        <f t="shared" si="66"/>
        <v>27.856000000000002</v>
      </c>
      <c r="I231" s="21">
        <f t="shared" si="66"/>
        <v>0</v>
      </c>
      <c r="J231" s="18">
        <f t="shared" si="61"/>
        <v>48.314019999999999</v>
      </c>
    </row>
    <row r="232" spans="1:12">
      <c r="A232" s="754"/>
      <c r="B232" s="772"/>
      <c r="C232" s="12">
        <v>2015</v>
      </c>
      <c r="D232" s="20">
        <f t="shared" ref="D232:I232" si="67">D236</f>
        <v>15.507000000000001</v>
      </c>
      <c r="E232" s="20">
        <f t="shared" si="67"/>
        <v>2.5230000000000001</v>
      </c>
      <c r="F232" s="20">
        <f t="shared" si="67"/>
        <v>1.78308</v>
      </c>
      <c r="G232" s="20">
        <f t="shared" si="67"/>
        <v>2.2729200000000001</v>
      </c>
      <c r="H232" s="20">
        <f t="shared" si="67"/>
        <v>8.9280000000000008</v>
      </c>
      <c r="I232" s="20">
        <f t="shared" si="67"/>
        <v>0</v>
      </c>
      <c r="J232" s="18">
        <f t="shared" si="61"/>
        <v>15.507000000000001</v>
      </c>
    </row>
    <row r="233" spans="1:12">
      <c r="A233" s="754"/>
      <c r="B233" s="772"/>
      <c r="C233" s="12">
        <v>2016</v>
      </c>
      <c r="D233" s="20">
        <f t="shared" ref="D233:I234" si="68">D245</f>
        <v>16.019220000000001</v>
      </c>
      <c r="E233" s="20">
        <f t="shared" si="68"/>
        <v>2.6520000000000001</v>
      </c>
      <c r="F233" s="20">
        <f t="shared" si="68"/>
        <v>1.7689600000000001</v>
      </c>
      <c r="G233" s="20">
        <f t="shared" si="68"/>
        <v>2.3132600000000001</v>
      </c>
      <c r="H233" s="20">
        <f t="shared" si="68"/>
        <v>9.2850000000000001</v>
      </c>
      <c r="I233" s="20">
        <f t="shared" si="68"/>
        <v>0</v>
      </c>
      <c r="J233" s="18">
        <f t="shared" si="61"/>
        <v>16.019220000000001</v>
      </c>
    </row>
    <row r="234" spans="1:12">
      <c r="A234" s="754"/>
      <c r="B234" s="772"/>
      <c r="C234" s="12">
        <v>2017</v>
      </c>
      <c r="D234" s="20">
        <f t="shared" si="68"/>
        <v>16.787800000000001</v>
      </c>
      <c r="E234" s="20">
        <f t="shared" si="68"/>
        <v>2.6520000000000001</v>
      </c>
      <c r="F234" s="20">
        <f t="shared" si="68"/>
        <v>1.9468800000000002</v>
      </c>
      <c r="G234" s="20">
        <f t="shared" si="68"/>
        <v>2.5459200000000002</v>
      </c>
      <c r="H234" s="20">
        <f t="shared" si="68"/>
        <v>9.6430000000000007</v>
      </c>
      <c r="I234" s="20">
        <f t="shared" si="68"/>
        <v>0</v>
      </c>
      <c r="J234" s="18">
        <f t="shared" si="61"/>
        <v>16.787800000000001</v>
      </c>
    </row>
    <row r="235" spans="1:12" ht="12.75" customHeight="1">
      <c r="A235" s="754" t="s">
        <v>128</v>
      </c>
      <c r="B235" s="770" t="s">
        <v>129</v>
      </c>
      <c r="C235" s="16" t="s">
        <v>16</v>
      </c>
      <c r="D235" s="21">
        <f t="shared" ref="D235:I235" si="69">D236+D237+D238</f>
        <v>48.314019999999999</v>
      </c>
      <c r="E235" s="21">
        <f t="shared" si="69"/>
        <v>7.8270000000000008</v>
      </c>
      <c r="F235" s="21">
        <f t="shared" si="69"/>
        <v>5.49892</v>
      </c>
      <c r="G235" s="21">
        <f t="shared" si="69"/>
        <v>7.1321000000000012</v>
      </c>
      <c r="H235" s="21">
        <f t="shared" si="69"/>
        <v>27.856000000000002</v>
      </c>
      <c r="I235" s="21">
        <f t="shared" si="69"/>
        <v>0</v>
      </c>
      <c r="J235" s="18">
        <f t="shared" si="61"/>
        <v>48.314019999999999</v>
      </c>
      <c r="K235" s="24"/>
    </row>
    <row r="236" spans="1:12">
      <c r="A236" s="754"/>
      <c r="B236" s="770"/>
      <c r="C236" s="12">
        <v>2015</v>
      </c>
      <c r="D236" s="20">
        <f>E236+F236+G236+H236+I236</f>
        <v>15.507000000000001</v>
      </c>
      <c r="E236" s="23">
        <f t="shared" ref="E236:I238" si="70">E244+E240</f>
        <v>2.5230000000000001</v>
      </c>
      <c r="F236" s="23">
        <f t="shared" si="70"/>
        <v>1.78308</v>
      </c>
      <c r="G236" s="23">
        <f t="shared" si="70"/>
        <v>2.2729200000000001</v>
      </c>
      <c r="H236" s="23">
        <f t="shared" si="70"/>
        <v>8.9280000000000008</v>
      </c>
      <c r="I236" s="23">
        <f t="shared" si="70"/>
        <v>0</v>
      </c>
      <c r="J236" s="18">
        <f t="shared" si="61"/>
        <v>15.507000000000001</v>
      </c>
    </row>
    <row r="237" spans="1:12">
      <c r="A237" s="754"/>
      <c r="B237" s="770"/>
      <c r="C237" s="12">
        <v>2016</v>
      </c>
      <c r="D237" s="20">
        <f>E237+F237+G237+H237+I237</f>
        <v>16.019220000000001</v>
      </c>
      <c r="E237" s="23">
        <f t="shared" si="70"/>
        <v>2.6520000000000001</v>
      </c>
      <c r="F237" s="23">
        <f t="shared" si="70"/>
        <v>1.7689600000000001</v>
      </c>
      <c r="G237" s="23">
        <f t="shared" si="70"/>
        <v>2.3132600000000001</v>
      </c>
      <c r="H237" s="23">
        <f t="shared" si="70"/>
        <v>9.2850000000000001</v>
      </c>
      <c r="I237" s="23">
        <f t="shared" si="70"/>
        <v>0</v>
      </c>
      <c r="J237" s="18">
        <f t="shared" si="61"/>
        <v>16.019220000000001</v>
      </c>
    </row>
    <row r="238" spans="1:12">
      <c r="A238" s="754"/>
      <c r="B238" s="770"/>
      <c r="C238" s="12">
        <v>2017</v>
      </c>
      <c r="D238" s="20">
        <f>E238+F238+G238+H238+I238</f>
        <v>16.787800000000001</v>
      </c>
      <c r="E238" s="23">
        <f t="shared" si="70"/>
        <v>2.6520000000000001</v>
      </c>
      <c r="F238" s="23">
        <f t="shared" si="70"/>
        <v>1.9468800000000002</v>
      </c>
      <c r="G238" s="23">
        <f t="shared" si="70"/>
        <v>2.5459200000000002</v>
      </c>
      <c r="H238" s="23">
        <f t="shared" si="70"/>
        <v>9.6430000000000007</v>
      </c>
      <c r="I238" s="23">
        <f t="shared" si="70"/>
        <v>0</v>
      </c>
      <c r="J238" s="18">
        <f t="shared" si="61"/>
        <v>16.787800000000001</v>
      </c>
    </row>
    <row r="239" spans="1:12" ht="12.75" customHeight="1">
      <c r="A239" s="754" t="s">
        <v>130</v>
      </c>
      <c r="B239" s="771" t="s">
        <v>131</v>
      </c>
      <c r="C239" s="16" t="s">
        <v>16</v>
      </c>
      <c r="D239" s="21">
        <f t="shared" ref="D239:I239" si="71">D240+D241+D242</f>
        <v>0</v>
      </c>
      <c r="E239" s="21">
        <f t="shared" si="71"/>
        <v>0</v>
      </c>
      <c r="F239" s="21">
        <f t="shared" si="71"/>
        <v>0</v>
      </c>
      <c r="G239" s="21">
        <f t="shared" si="71"/>
        <v>0</v>
      </c>
      <c r="H239" s="21">
        <f t="shared" si="71"/>
        <v>0</v>
      </c>
      <c r="I239" s="21">
        <f t="shared" si="71"/>
        <v>0</v>
      </c>
      <c r="J239" s="18">
        <f t="shared" si="61"/>
        <v>0</v>
      </c>
    </row>
    <row r="240" spans="1:12" ht="12.75" customHeight="1">
      <c r="A240" s="754"/>
      <c r="B240" s="771"/>
      <c r="C240" s="12">
        <v>2015</v>
      </c>
      <c r="D240" s="20">
        <f>E240+F240+G240+H240+I240</f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18">
        <f t="shared" si="61"/>
        <v>0</v>
      </c>
      <c r="K240" s="773"/>
      <c r="L240" s="773"/>
    </row>
    <row r="241" spans="1:12" ht="12.75" customHeight="1">
      <c r="A241" s="754"/>
      <c r="B241" s="771"/>
      <c r="C241" s="12">
        <v>2016</v>
      </c>
      <c r="D241" s="20">
        <f>E241+F241+G241+H241+I241</f>
        <v>0</v>
      </c>
      <c r="E241" s="25">
        <v>0</v>
      </c>
      <c r="F241" s="25">
        <v>0</v>
      </c>
      <c r="G241" s="25">
        <v>0</v>
      </c>
      <c r="H241" s="25">
        <v>0</v>
      </c>
      <c r="I241" s="25">
        <v>0</v>
      </c>
      <c r="J241" s="18">
        <f t="shared" si="61"/>
        <v>0</v>
      </c>
      <c r="K241" s="773"/>
      <c r="L241" s="773"/>
    </row>
    <row r="242" spans="1:12" ht="12.75" customHeight="1">
      <c r="A242" s="754"/>
      <c r="B242" s="771"/>
      <c r="C242" s="12">
        <v>2017</v>
      </c>
      <c r="D242" s="20">
        <f>E242+F242+G242+H242+I242</f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18">
        <f t="shared" si="61"/>
        <v>0</v>
      </c>
      <c r="K242" s="773"/>
      <c r="L242" s="773"/>
    </row>
    <row r="243" spans="1:12" ht="12.75" customHeight="1">
      <c r="A243" s="754" t="s">
        <v>132</v>
      </c>
      <c r="B243" s="771" t="s">
        <v>133</v>
      </c>
      <c r="C243" s="16" t="s">
        <v>16</v>
      </c>
      <c r="D243" s="21">
        <f t="shared" ref="D243:I243" si="72">D244+D245+D246</f>
        <v>48.314019999999999</v>
      </c>
      <c r="E243" s="21">
        <f t="shared" si="72"/>
        <v>7.8270000000000008</v>
      </c>
      <c r="F243" s="21">
        <f t="shared" si="72"/>
        <v>5.49892</v>
      </c>
      <c r="G243" s="21">
        <f t="shared" si="72"/>
        <v>7.1321000000000012</v>
      </c>
      <c r="H243" s="21">
        <f t="shared" si="72"/>
        <v>27.856000000000002</v>
      </c>
      <c r="I243" s="21">
        <f t="shared" si="72"/>
        <v>0</v>
      </c>
      <c r="J243" s="18">
        <f t="shared" si="61"/>
        <v>48.314019999999999</v>
      </c>
      <c r="K243" s="26"/>
      <c r="L243" s="26"/>
    </row>
    <row r="244" spans="1:12">
      <c r="A244" s="754"/>
      <c r="B244" s="771"/>
      <c r="C244" s="12">
        <v>2015</v>
      </c>
      <c r="D244" s="20">
        <f>E244+F244+G244+H244+I244</f>
        <v>15.507000000000001</v>
      </c>
      <c r="E244" s="27">
        <f>2523/1000</f>
        <v>2.5230000000000001</v>
      </c>
      <c r="F244" s="27">
        <f>1783.08/1000</f>
        <v>1.78308</v>
      </c>
      <c r="G244" s="27">
        <f>2272.92/1000</f>
        <v>2.2729200000000001</v>
      </c>
      <c r="H244" s="27">
        <f>8928/1000</f>
        <v>8.9280000000000008</v>
      </c>
      <c r="I244" s="21">
        <f>I245+I246+I252</f>
        <v>0</v>
      </c>
      <c r="J244" s="18">
        <f t="shared" si="61"/>
        <v>15.507000000000001</v>
      </c>
      <c r="K244" s="773"/>
      <c r="L244" s="773"/>
    </row>
    <row r="245" spans="1:12">
      <c r="A245" s="754"/>
      <c r="B245" s="771"/>
      <c r="C245" s="12">
        <v>2016</v>
      </c>
      <c r="D245" s="20">
        <f>E245+F245+G245+H245+I245</f>
        <v>16.019220000000001</v>
      </c>
      <c r="E245" s="27">
        <f>2652/1000</f>
        <v>2.6520000000000001</v>
      </c>
      <c r="F245" s="27">
        <f>1768.96/1000</f>
        <v>1.7689600000000001</v>
      </c>
      <c r="G245" s="27">
        <f>2313.26/1000</f>
        <v>2.3132600000000001</v>
      </c>
      <c r="H245" s="27">
        <f>9285/1000</f>
        <v>9.2850000000000001</v>
      </c>
      <c r="I245" s="21">
        <f>I246+I247+I253</f>
        <v>0</v>
      </c>
      <c r="J245" s="18">
        <f t="shared" si="61"/>
        <v>16.019220000000001</v>
      </c>
      <c r="K245" s="773"/>
      <c r="L245" s="773"/>
    </row>
    <row r="246" spans="1:12">
      <c r="A246" s="754"/>
      <c r="B246" s="771"/>
      <c r="C246" s="12">
        <v>2017</v>
      </c>
      <c r="D246" s="20">
        <f>E246+F246+G246+H246+I246</f>
        <v>16.787800000000001</v>
      </c>
      <c r="E246" s="27">
        <f>2652/1000</f>
        <v>2.6520000000000001</v>
      </c>
      <c r="F246" s="27">
        <f>1946.88/1000</f>
        <v>1.9468800000000002</v>
      </c>
      <c r="G246" s="27">
        <f>2545.92/1000</f>
        <v>2.5459200000000002</v>
      </c>
      <c r="H246" s="27">
        <f>9643/1000</f>
        <v>9.6430000000000007</v>
      </c>
      <c r="I246" s="21">
        <f>I247+I248+I254</f>
        <v>0</v>
      </c>
      <c r="J246" s="18">
        <f t="shared" si="61"/>
        <v>16.787800000000001</v>
      </c>
      <c r="K246" s="773"/>
      <c r="L246" s="773"/>
    </row>
    <row r="247" spans="1:12" hidden="1">
      <c r="A247" s="11"/>
      <c r="B247" s="28"/>
      <c r="C247" s="16" t="s">
        <v>16</v>
      </c>
      <c r="D247" s="21">
        <f>D248+D249+D255</f>
        <v>0</v>
      </c>
      <c r="E247" s="23"/>
      <c r="F247" s="21"/>
      <c r="G247" s="23"/>
      <c r="H247" s="22"/>
      <c r="I247" s="22"/>
      <c r="J247" s="18">
        <f t="shared" si="61"/>
        <v>0</v>
      </c>
    </row>
    <row r="248" spans="1:12" hidden="1">
      <c r="A248" s="11"/>
      <c r="B248" s="28"/>
      <c r="C248" s="12">
        <v>2015</v>
      </c>
      <c r="D248" s="20">
        <f>E248+F248+G248+H248+I248</f>
        <v>0</v>
      </c>
      <c r="E248" s="23"/>
      <c r="F248" s="21"/>
      <c r="G248" s="23"/>
      <c r="H248" s="22"/>
      <c r="I248" s="22"/>
      <c r="J248" s="18">
        <f t="shared" si="61"/>
        <v>0</v>
      </c>
    </row>
    <row r="249" spans="1:12" hidden="1">
      <c r="A249" s="11"/>
      <c r="B249" s="28"/>
      <c r="C249" s="12">
        <v>2016</v>
      </c>
      <c r="D249" s="20">
        <f>E249+F249+G249+H249+I249</f>
        <v>0</v>
      </c>
      <c r="E249" s="23"/>
      <c r="F249" s="21"/>
      <c r="G249" s="23"/>
      <c r="H249" s="22"/>
      <c r="I249" s="22"/>
      <c r="J249" s="18">
        <f t="shared" si="61"/>
        <v>0</v>
      </c>
    </row>
    <row r="250" spans="1:12" hidden="1">
      <c r="A250" s="11"/>
      <c r="B250" s="28"/>
      <c r="C250" s="12">
        <v>2017</v>
      </c>
      <c r="D250" s="20">
        <f>E250+F250+G250+H250+I250</f>
        <v>0</v>
      </c>
      <c r="E250" s="23"/>
      <c r="F250" s="21"/>
      <c r="G250" s="23"/>
      <c r="H250" s="22"/>
      <c r="I250" s="22"/>
      <c r="J250" s="18">
        <f t="shared" si="61"/>
        <v>0</v>
      </c>
    </row>
    <row r="251" spans="1:12" hidden="1">
      <c r="A251" s="11"/>
      <c r="B251" s="28"/>
      <c r="C251" s="12">
        <v>2017</v>
      </c>
      <c r="D251" s="20">
        <f>E251+F251+G251+H251+I251</f>
        <v>0</v>
      </c>
      <c r="E251" s="23"/>
      <c r="F251" s="21"/>
      <c r="G251" s="23"/>
      <c r="H251" s="22"/>
      <c r="I251" s="22"/>
      <c r="J251" s="18">
        <f t="shared" si="61"/>
        <v>0</v>
      </c>
    </row>
    <row r="252" spans="1:12">
      <c r="A252" s="754" t="s">
        <v>134</v>
      </c>
      <c r="B252" s="774" t="s">
        <v>135</v>
      </c>
      <c r="C252" s="16" t="s">
        <v>16</v>
      </c>
      <c r="D252" s="21">
        <f t="shared" ref="D252:I252" si="73">D253+D254+D255</f>
        <v>618</v>
      </c>
      <c r="E252" s="21">
        <f t="shared" si="73"/>
        <v>0</v>
      </c>
      <c r="F252" s="21">
        <f t="shared" si="73"/>
        <v>0</v>
      </c>
      <c r="G252" s="21">
        <f t="shared" si="73"/>
        <v>0</v>
      </c>
      <c r="H252" s="21">
        <f t="shared" si="73"/>
        <v>618</v>
      </c>
      <c r="I252" s="21">
        <f t="shared" si="73"/>
        <v>0</v>
      </c>
      <c r="J252" s="18">
        <f t="shared" si="61"/>
        <v>618</v>
      </c>
    </row>
    <row r="253" spans="1:12">
      <c r="A253" s="754"/>
      <c r="B253" s="774"/>
      <c r="C253" s="12">
        <v>2015</v>
      </c>
      <c r="D253" s="20">
        <f>E253+F253+G253+H253+I253</f>
        <v>609</v>
      </c>
      <c r="E253" s="23">
        <f t="shared" ref="E253:I255" si="74">E257+E261+E265+E269</f>
        <v>0</v>
      </c>
      <c r="F253" s="23">
        <f t="shared" si="74"/>
        <v>0</v>
      </c>
      <c r="G253" s="23">
        <f t="shared" si="74"/>
        <v>0</v>
      </c>
      <c r="H253" s="23">
        <f t="shared" si="74"/>
        <v>609</v>
      </c>
      <c r="I253" s="23">
        <f t="shared" si="74"/>
        <v>0</v>
      </c>
      <c r="J253" s="18">
        <f t="shared" si="61"/>
        <v>609</v>
      </c>
    </row>
    <row r="254" spans="1:12">
      <c r="A254" s="754"/>
      <c r="B254" s="774"/>
      <c r="C254" s="12">
        <v>2016</v>
      </c>
      <c r="D254" s="20">
        <f>E254+F254+G254+H254+I254</f>
        <v>9</v>
      </c>
      <c r="E254" s="23">
        <f t="shared" si="74"/>
        <v>0</v>
      </c>
      <c r="F254" s="23">
        <f t="shared" si="74"/>
        <v>0</v>
      </c>
      <c r="G254" s="23">
        <f t="shared" si="74"/>
        <v>0</v>
      </c>
      <c r="H254" s="23">
        <f t="shared" si="74"/>
        <v>9</v>
      </c>
      <c r="I254" s="23">
        <f t="shared" si="74"/>
        <v>0</v>
      </c>
      <c r="J254" s="18">
        <f t="shared" si="61"/>
        <v>9</v>
      </c>
    </row>
    <row r="255" spans="1:12">
      <c r="A255" s="754"/>
      <c r="B255" s="774"/>
      <c r="C255" s="12">
        <v>2017</v>
      </c>
      <c r="D255" s="20">
        <f>E255+F255+G255+H255+I255</f>
        <v>0</v>
      </c>
      <c r="E255" s="23">
        <f t="shared" si="74"/>
        <v>0</v>
      </c>
      <c r="F255" s="23">
        <f t="shared" si="74"/>
        <v>0</v>
      </c>
      <c r="G255" s="23">
        <f t="shared" si="74"/>
        <v>0</v>
      </c>
      <c r="H255" s="23">
        <f t="shared" si="74"/>
        <v>0</v>
      </c>
      <c r="I255" s="23">
        <f t="shared" si="74"/>
        <v>0</v>
      </c>
      <c r="J255" s="18">
        <f t="shared" si="61"/>
        <v>0</v>
      </c>
    </row>
    <row r="256" spans="1:12">
      <c r="A256" s="754" t="s">
        <v>136</v>
      </c>
      <c r="B256" s="765" t="s">
        <v>137</v>
      </c>
      <c r="C256" s="16" t="s">
        <v>16</v>
      </c>
      <c r="D256" s="21">
        <f>D257+D258+D259</f>
        <v>18</v>
      </c>
      <c r="E256" s="21">
        <f>E257+E258+E259</f>
        <v>0</v>
      </c>
      <c r="F256" s="21">
        <f>F257+F258+F259</f>
        <v>0</v>
      </c>
      <c r="G256" s="21">
        <f>G257+G258+G259</f>
        <v>0</v>
      </c>
      <c r="H256" s="21">
        <f>H257+H258+H259</f>
        <v>18</v>
      </c>
      <c r="I256" s="20">
        <v>0</v>
      </c>
      <c r="J256" s="18">
        <f t="shared" si="61"/>
        <v>18</v>
      </c>
    </row>
    <row r="257" spans="1:10">
      <c r="A257" s="754"/>
      <c r="B257" s="765"/>
      <c r="C257" s="12">
        <v>2015</v>
      </c>
      <c r="D257" s="20">
        <f>E257+F257+G257+H257+I257</f>
        <v>9</v>
      </c>
      <c r="E257" s="23">
        <v>0</v>
      </c>
      <c r="F257" s="23">
        <v>0</v>
      </c>
      <c r="G257" s="23">
        <v>0</v>
      </c>
      <c r="H257" s="22">
        <v>9</v>
      </c>
      <c r="I257" s="20">
        <v>0</v>
      </c>
      <c r="J257" s="18">
        <f t="shared" si="61"/>
        <v>9</v>
      </c>
    </row>
    <row r="258" spans="1:10">
      <c r="A258" s="754"/>
      <c r="B258" s="765"/>
      <c r="C258" s="12">
        <v>2016</v>
      </c>
      <c r="D258" s="20">
        <f>E258+F258+G258+H258+I258</f>
        <v>9</v>
      </c>
      <c r="E258" s="23">
        <v>0</v>
      </c>
      <c r="F258" s="23">
        <v>0</v>
      </c>
      <c r="G258" s="23">
        <v>0</v>
      </c>
      <c r="H258" s="22">
        <v>9</v>
      </c>
      <c r="I258" s="20">
        <v>0</v>
      </c>
      <c r="J258" s="18">
        <f t="shared" si="61"/>
        <v>9</v>
      </c>
    </row>
    <row r="259" spans="1:10">
      <c r="A259" s="754"/>
      <c r="B259" s="765"/>
      <c r="C259" s="12">
        <v>2017</v>
      </c>
      <c r="D259" s="20">
        <f>E259+F259+G259+H259+I259</f>
        <v>0</v>
      </c>
      <c r="E259" s="23">
        <v>0</v>
      </c>
      <c r="F259" s="23">
        <v>0</v>
      </c>
      <c r="G259" s="23">
        <v>0</v>
      </c>
      <c r="H259" s="22">
        <v>0</v>
      </c>
      <c r="I259" s="20">
        <v>0</v>
      </c>
      <c r="J259" s="18">
        <f t="shared" si="61"/>
        <v>0</v>
      </c>
    </row>
    <row r="260" spans="1:10">
      <c r="A260" s="754" t="s">
        <v>138</v>
      </c>
      <c r="B260" s="765" t="s">
        <v>139</v>
      </c>
      <c r="C260" s="16" t="s">
        <v>16</v>
      </c>
      <c r="D260" s="21">
        <f t="shared" ref="D260:I260" si="75">D261+D262+D263</f>
        <v>0</v>
      </c>
      <c r="E260" s="21">
        <f t="shared" si="75"/>
        <v>0</v>
      </c>
      <c r="F260" s="21">
        <f t="shared" si="75"/>
        <v>0</v>
      </c>
      <c r="G260" s="21">
        <f t="shared" si="75"/>
        <v>0</v>
      </c>
      <c r="H260" s="21">
        <f t="shared" si="75"/>
        <v>0</v>
      </c>
      <c r="I260" s="21">
        <f t="shared" si="75"/>
        <v>0</v>
      </c>
      <c r="J260" s="18">
        <f t="shared" si="61"/>
        <v>0</v>
      </c>
    </row>
    <row r="261" spans="1:10">
      <c r="A261" s="754"/>
      <c r="B261" s="765"/>
      <c r="C261" s="12">
        <v>2015</v>
      </c>
      <c r="D261" s="20">
        <f>E261+F261+G261+H261+I261</f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18"/>
    </row>
    <row r="262" spans="1:10">
      <c r="A262" s="754"/>
      <c r="B262" s="765"/>
      <c r="C262" s="12">
        <v>2016</v>
      </c>
      <c r="D262" s="20">
        <f>E262+F262+G262+H262+I262</f>
        <v>0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18"/>
    </row>
    <row r="263" spans="1:10">
      <c r="A263" s="754"/>
      <c r="B263" s="765"/>
      <c r="C263" s="12">
        <v>2017</v>
      </c>
      <c r="D263" s="20">
        <f>E263+F263+G263+H263+I263</f>
        <v>0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18"/>
    </row>
    <row r="264" spans="1:10">
      <c r="A264" s="754" t="s">
        <v>140</v>
      </c>
      <c r="B264" s="763" t="s">
        <v>141</v>
      </c>
      <c r="C264" s="16" t="s">
        <v>16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18"/>
    </row>
    <row r="265" spans="1:10">
      <c r="A265" s="754"/>
      <c r="B265" s="763"/>
      <c r="C265" s="12">
        <v>2015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18"/>
    </row>
    <row r="266" spans="1:10">
      <c r="A266" s="754"/>
      <c r="B266" s="763"/>
      <c r="C266" s="12">
        <v>2016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18"/>
    </row>
    <row r="267" spans="1:10">
      <c r="A267" s="754"/>
      <c r="B267" s="763"/>
      <c r="C267" s="12">
        <v>2017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18"/>
    </row>
    <row r="268" spans="1:10">
      <c r="A268" s="754" t="s">
        <v>142</v>
      </c>
      <c r="B268" s="763" t="s">
        <v>143</v>
      </c>
      <c r="C268" s="16" t="s">
        <v>16</v>
      </c>
      <c r="D268" s="20">
        <v>600</v>
      </c>
      <c r="E268" s="20">
        <v>0</v>
      </c>
      <c r="F268" s="20">
        <v>0</v>
      </c>
      <c r="G268" s="20">
        <v>0</v>
      </c>
      <c r="H268" s="20">
        <v>600</v>
      </c>
      <c r="I268" s="20">
        <v>0</v>
      </c>
      <c r="J268" s="18"/>
    </row>
    <row r="269" spans="1:10">
      <c r="A269" s="754"/>
      <c r="B269" s="763"/>
      <c r="C269" s="12">
        <v>2015</v>
      </c>
      <c r="D269" s="20">
        <v>600</v>
      </c>
      <c r="E269" s="20">
        <v>0</v>
      </c>
      <c r="F269" s="20">
        <v>0</v>
      </c>
      <c r="G269" s="20">
        <v>0</v>
      </c>
      <c r="H269" s="20">
        <v>600</v>
      </c>
      <c r="I269" s="20">
        <v>0</v>
      </c>
      <c r="J269" s="18"/>
    </row>
    <row r="270" spans="1:10">
      <c r="A270" s="754"/>
      <c r="B270" s="763"/>
      <c r="C270" s="12">
        <v>2016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18"/>
    </row>
    <row r="271" spans="1:10">
      <c r="A271" s="754"/>
      <c r="B271" s="763"/>
      <c r="C271" s="12">
        <v>2017</v>
      </c>
      <c r="D271" s="20">
        <v>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18"/>
    </row>
    <row r="272" spans="1:10" s="29" customFormat="1" ht="15.75">
      <c r="A272" s="754" t="s">
        <v>144</v>
      </c>
      <c r="B272" s="762" t="s">
        <v>145</v>
      </c>
      <c r="C272" s="16" t="s">
        <v>16</v>
      </c>
      <c r="D272" s="30">
        <f t="shared" ref="D272:I272" si="76">D273+D274+D275</f>
        <v>822.96209999999996</v>
      </c>
      <c r="E272" s="30">
        <f t="shared" si="76"/>
        <v>1.8221000000000001</v>
      </c>
      <c r="F272" s="30">
        <f t="shared" si="76"/>
        <v>0</v>
      </c>
      <c r="G272" s="30">
        <f t="shared" si="76"/>
        <v>821.14</v>
      </c>
      <c r="H272" s="30">
        <f t="shared" si="76"/>
        <v>0</v>
      </c>
      <c r="I272" s="30">
        <f t="shared" si="76"/>
        <v>0</v>
      </c>
      <c r="J272" s="18">
        <f t="shared" ref="J272:J303" si="77">E272+F272+G272+H272+I272</f>
        <v>822.96209999999996</v>
      </c>
    </row>
    <row r="273" spans="1:10" s="29" customFormat="1" ht="15.75">
      <c r="A273" s="754"/>
      <c r="B273" s="762"/>
      <c r="C273" s="16">
        <v>2015</v>
      </c>
      <c r="D273" s="17">
        <f>E273+F273+G273+H273+I273</f>
        <v>552.86209999999994</v>
      </c>
      <c r="E273" s="30">
        <f>E277+E281+E285+E289+E293+E297+E301+E305+E309</f>
        <v>1.7221</v>
      </c>
      <c r="F273" s="30">
        <f>F277+F281+F285+F289+F293+F297+F301+F305+F309</f>
        <v>0</v>
      </c>
      <c r="G273" s="30">
        <f>G277+G281+G285+G289+G293+G297+G301+G305+G309</f>
        <v>551.14</v>
      </c>
      <c r="H273" s="30">
        <f t="shared" ref="H273:I275" si="78">H277+H281+H285+H289+H293+H297+H321+H301+H305</f>
        <v>0</v>
      </c>
      <c r="I273" s="30">
        <f t="shared" si="78"/>
        <v>0</v>
      </c>
      <c r="J273" s="18">
        <f t="shared" si="77"/>
        <v>552.86209999999994</v>
      </c>
    </row>
    <row r="274" spans="1:10" s="29" customFormat="1" ht="15.75">
      <c r="A274" s="754"/>
      <c r="B274" s="762"/>
      <c r="C274" s="16">
        <v>2016</v>
      </c>
      <c r="D274" s="17">
        <f>E274+F274+G274+H274+I274</f>
        <v>130.05000000000001</v>
      </c>
      <c r="E274" s="30">
        <f t="shared" ref="E274:G275" si="79">E278+E282+E286+E290+E294+E298+E322+E302+E306+E310</f>
        <v>0.05</v>
      </c>
      <c r="F274" s="30">
        <f t="shared" si="79"/>
        <v>0</v>
      </c>
      <c r="G274" s="30">
        <f t="shared" si="79"/>
        <v>130</v>
      </c>
      <c r="H274" s="30">
        <f t="shared" si="78"/>
        <v>0</v>
      </c>
      <c r="I274" s="30">
        <f t="shared" si="78"/>
        <v>0</v>
      </c>
      <c r="J274" s="18">
        <f t="shared" si="77"/>
        <v>130.05000000000001</v>
      </c>
    </row>
    <row r="275" spans="1:10" s="29" customFormat="1" ht="15.75">
      <c r="A275" s="754"/>
      <c r="B275" s="762"/>
      <c r="C275" s="16">
        <v>2017</v>
      </c>
      <c r="D275" s="17">
        <f>E275+F275+G275+H275+I275</f>
        <v>140.05000000000001</v>
      </c>
      <c r="E275" s="30">
        <f t="shared" si="79"/>
        <v>0.05</v>
      </c>
      <c r="F275" s="30">
        <f t="shared" si="79"/>
        <v>0</v>
      </c>
      <c r="G275" s="30">
        <f t="shared" si="79"/>
        <v>140</v>
      </c>
      <c r="H275" s="30">
        <f t="shared" si="78"/>
        <v>0</v>
      </c>
      <c r="I275" s="30">
        <f t="shared" si="78"/>
        <v>0</v>
      </c>
      <c r="J275" s="18">
        <f t="shared" si="77"/>
        <v>140.05000000000001</v>
      </c>
    </row>
    <row r="276" spans="1:10">
      <c r="A276" s="754" t="s">
        <v>146</v>
      </c>
      <c r="B276" s="763" t="s">
        <v>147</v>
      </c>
      <c r="C276" s="16" t="s">
        <v>16</v>
      </c>
      <c r="D276" s="21">
        <f t="shared" ref="D276:I276" si="80">D277+D278+D279</f>
        <v>2.4420999999999999</v>
      </c>
      <c r="E276" s="21">
        <f t="shared" si="80"/>
        <v>0.1221</v>
      </c>
      <c r="F276" s="21">
        <f t="shared" si="80"/>
        <v>0</v>
      </c>
      <c r="G276" s="21">
        <f t="shared" si="80"/>
        <v>2.3199999999999998</v>
      </c>
      <c r="H276" s="21">
        <f t="shared" si="80"/>
        <v>0</v>
      </c>
      <c r="I276" s="21">
        <f t="shared" si="80"/>
        <v>0</v>
      </c>
      <c r="J276" s="18">
        <f t="shared" si="77"/>
        <v>2.4420999999999999</v>
      </c>
    </row>
    <row r="277" spans="1:10">
      <c r="A277" s="754"/>
      <c r="B277" s="763"/>
      <c r="C277" s="12">
        <v>2015</v>
      </c>
      <c r="D277" s="20">
        <f>E277+F277+G277+H277+I277</f>
        <v>2.4420999999999999</v>
      </c>
      <c r="E277" s="20">
        <f>122.1/1000</f>
        <v>0.1221</v>
      </c>
      <c r="F277" s="20">
        <v>0</v>
      </c>
      <c r="G277" s="20">
        <f>2320/1000</f>
        <v>2.3199999999999998</v>
      </c>
      <c r="H277" s="20">
        <v>0</v>
      </c>
      <c r="I277" s="20">
        <v>0</v>
      </c>
      <c r="J277" s="18">
        <f t="shared" si="77"/>
        <v>2.4420999999999999</v>
      </c>
    </row>
    <row r="278" spans="1:10">
      <c r="A278" s="754"/>
      <c r="B278" s="763"/>
      <c r="C278" s="12">
        <v>2016</v>
      </c>
      <c r="D278" s="20">
        <f>E278+F278+G278+H278+I278</f>
        <v>0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18">
        <f t="shared" si="77"/>
        <v>0</v>
      </c>
    </row>
    <row r="279" spans="1:10">
      <c r="A279" s="754"/>
      <c r="B279" s="763"/>
      <c r="C279" s="12">
        <v>2017</v>
      </c>
      <c r="D279" s="20">
        <f>E279+F279+G279+H279+I279</f>
        <v>0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18">
        <f t="shared" si="77"/>
        <v>0</v>
      </c>
    </row>
    <row r="280" spans="1:10">
      <c r="A280" s="754" t="s">
        <v>148</v>
      </c>
      <c r="B280" s="763" t="s">
        <v>149</v>
      </c>
      <c r="C280" s="16" t="s">
        <v>16</v>
      </c>
      <c r="D280" s="21">
        <f t="shared" ref="D280:I280" si="81">D281+D282+D283</f>
        <v>19</v>
      </c>
      <c r="E280" s="21">
        <f t="shared" si="81"/>
        <v>0.95</v>
      </c>
      <c r="F280" s="21">
        <f t="shared" si="81"/>
        <v>0</v>
      </c>
      <c r="G280" s="21">
        <f t="shared" si="81"/>
        <v>18.05</v>
      </c>
      <c r="H280" s="21">
        <f t="shared" si="81"/>
        <v>0</v>
      </c>
      <c r="I280" s="21">
        <f t="shared" si="81"/>
        <v>0</v>
      </c>
      <c r="J280" s="18">
        <f t="shared" si="77"/>
        <v>19</v>
      </c>
    </row>
    <row r="281" spans="1:10">
      <c r="A281" s="754"/>
      <c r="B281" s="763"/>
      <c r="C281" s="12">
        <v>2015</v>
      </c>
      <c r="D281" s="20">
        <f>E281+F281+G281+H281+I281</f>
        <v>19</v>
      </c>
      <c r="E281" s="20">
        <f>950/1000</f>
        <v>0.95</v>
      </c>
      <c r="F281" s="20">
        <v>0</v>
      </c>
      <c r="G281" s="20">
        <f>18050/1000</f>
        <v>18.05</v>
      </c>
      <c r="H281" s="20">
        <v>0</v>
      </c>
      <c r="I281" s="20">
        <v>0</v>
      </c>
      <c r="J281" s="18">
        <f t="shared" si="77"/>
        <v>19</v>
      </c>
    </row>
    <row r="282" spans="1:10">
      <c r="A282" s="754"/>
      <c r="B282" s="763"/>
      <c r="C282" s="12">
        <v>2016</v>
      </c>
      <c r="D282" s="20">
        <f>E282+F282+G282+H282+I282</f>
        <v>0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18">
        <f t="shared" si="77"/>
        <v>0</v>
      </c>
    </row>
    <row r="283" spans="1:10">
      <c r="A283" s="754"/>
      <c r="B283" s="763"/>
      <c r="C283" s="12">
        <v>2017</v>
      </c>
      <c r="D283" s="20">
        <f>E283+F283+G283+H283+I283</f>
        <v>0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18">
        <f t="shared" si="77"/>
        <v>0</v>
      </c>
    </row>
    <row r="284" spans="1:10">
      <c r="A284" s="754" t="s">
        <v>150</v>
      </c>
      <c r="B284" s="763" t="s">
        <v>151</v>
      </c>
      <c r="C284" s="16" t="s">
        <v>16</v>
      </c>
      <c r="D284" s="21">
        <f t="shared" ref="D284:I284" si="82">D285+D286+D287</f>
        <v>0.6</v>
      </c>
      <c r="E284" s="21">
        <f t="shared" si="82"/>
        <v>0.6</v>
      </c>
      <c r="F284" s="21">
        <f t="shared" si="82"/>
        <v>0</v>
      </c>
      <c r="G284" s="21">
        <f t="shared" si="82"/>
        <v>0</v>
      </c>
      <c r="H284" s="21">
        <f t="shared" si="82"/>
        <v>0</v>
      </c>
      <c r="I284" s="21">
        <f t="shared" si="82"/>
        <v>0</v>
      </c>
      <c r="J284" s="18">
        <f t="shared" si="77"/>
        <v>0.6</v>
      </c>
    </row>
    <row r="285" spans="1:10">
      <c r="A285" s="754"/>
      <c r="B285" s="763"/>
      <c r="C285" s="12">
        <v>2015</v>
      </c>
      <c r="D285" s="20">
        <f>E285+F285+G285+H285+I285</f>
        <v>0.6</v>
      </c>
      <c r="E285" s="20">
        <f>600/1000</f>
        <v>0.6</v>
      </c>
      <c r="F285" s="20">
        <v>0</v>
      </c>
      <c r="G285" s="20">
        <v>0</v>
      </c>
      <c r="H285" s="20">
        <v>0</v>
      </c>
      <c r="I285" s="20">
        <v>0</v>
      </c>
      <c r="J285" s="18">
        <f t="shared" si="77"/>
        <v>0.6</v>
      </c>
    </row>
    <row r="286" spans="1:10">
      <c r="A286" s="754"/>
      <c r="B286" s="763"/>
      <c r="C286" s="12">
        <v>2016</v>
      </c>
      <c r="D286" s="20">
        <f>E286+F286+G286+H286+I286</f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18">
        <f t="shared" si="77"/>
        <v>0</v>
      </c>
    </row>
    <row r="287" spans="1:10">
      <c r="A287" s="754"/>
      <c r="B287" s="763"/>
      <c r="C287" s="12">
        <v>2017</v>
      </c>
      <c r="D287" s="20">
        <f>E287+F287+G287+H287+I287</f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18">
        <f t="shared" si="77"/>
        <v>0</v>
      </c>
    </row>
    <row r="288" spans="1:10">
      <c r="A288" s="754" t="s">
        <v>152</v>
      </c>
      <c r="B288" s="763" t="s">
        <v>153</v>
      </c>
      <c r="C288" s="16" t="s">
        <v>16</v>
      </c>
      <c r="D288" s="21">
        <f t="shared" ref="D288:I288" si="83">D289+D290+D291</f>
        <v>400</v>
      </c>
      <c r="E288" s="21">
        <f t="shared" si="83"/>
        <v>0</v>
      </c>
      <c r="F288" s="21">
        <f t="shared" si="83"/>
        <v>0</v>
      </c>
      <c r="G288" s="21">
        <f t="shared" si="83"/>
        <v>400</v>
      </c>
      <c r="H288" s="21">
        <f t="shared" si="83"/>
        <v>0</v>
      </c>
      <c r="I288" s="21">
        <f t="shared" si="83"/>
        <v>0</v>
      </c>
      <c r="J288" s="18">
        <f t="shared" si="77"/>
        <v>400</v>
      </c>
    </row>
    <row r="289" spans="1:10">
      <c r="A289" s="754"/>
      <c r="B289" s="763"/>
      <c r="C289" s="12">
        <v>2015</v>
      </c>
      <c r="D289" s="20">
        <f>E289+F289+G289+H289+I289</f>
        <v>130</v>
      </c>
      <c r="E289" s="20">
        <v>0</v>
      </c>
      <c r="F289" s="20">
        <v>0</v>
      </c>
      <c r="G289" s="20">
        <f>130000/1000</f>
        <v>130</v>
      </c>
      <c r="H289" s="20">
        <v>0</v>
      </c>
      <c r="I289" s="20">
        <v>0</v>
      </c>
      <c r="J289" s="18">
        <f t="shared" si="77"/>
        <v>130</v>
      </c>
    </row>
    <row r="290" spans="1:10">
      <c r="A290" s="754"/>
      <c r="B290" s="763"/>
      <c r="C290" s="12">
        <v>2016</v>
      </c>
      <c r="D290" s="20">
        <f>E290+F290+G290+H290+I290</f>
        <v>130</v>
      </c>
      <c r="E290" s="20">
        <v>0</v>
      </c>
      <c r="F290" s="20">
        <v>0</v>
      </c>
      <c r="G290" s="20">
        <f>130000/1000</f>
        <v>130</v>
      </c>
      <c r="H290" s="20">
        <v>0</v>
      </c>
      <c r="I290" s="20">
        <v>0</v>
      </c>
      <c r="J290" s="18">
        <f t="shared" si="77"/>
        <v>130</v>
      </c>
    </row>
    <row r="291" spans="1:10">
      <c r="A291" s="754"/>
      <c r="B291" s="763"/>
      <c r="C291" s="12">
        <v>2017</v>
      </c>
      <c r="D291" s="20">
        <f>E291+F291+G291+H291+I291</f>
        <v>140</v>
      </c>
      <c r="E291" s="20">
        <v>0</v>
      </c>
      <c r="F291" s="20">
        <v>0</v>
      </c>
      <c r="G291" s="20">
        <f>140000/1000</f>
        <v>140</v>
      </c>
      <c r="H291" s="20">
        <v>0</v>
      </c>
      <c r="I291" s="20">
        <v>0</v>
      </c>
      <c r="J291" s="18">
        <f t="shared" si="77"/>
        <v>140</v>
      </c>
    </row>
    <row r="292" spans="1:10">
      <c r="A292" s="754" t="s">
        <v>154</v>
      </c>
      <c r="B292" s="763" t="s">
        <v>155</v>
      </c>
      <c r="C292" s="16" t="s">
        <v>16</v>
      </c>
      <c r="D292" s="21">
        <f t="shared" ref="D292:I292" si="84">D293+D294+D295</f>
        <v>0.77</v>
      </c>
      <c r="E292" s="21">
        <f t="shared" si="84"/>
        <v>0</v>
      </c>
      <c r="F292" s="21">
        <f t="shared" si="84"/>
        <v>0</v>
      </c>
      <c r="G292" s="21">
        <f t="shared" si="84"/>
        <v>0.77</v>
      </c>
      <c r="H292" s="21">
        <f t="shared" si="84"/>
        <v>0</v>
      </c>
      <c r="I292" s="21">
        <f t="shared" si="84"/>
        <v>0</v>
      </c>
      <c r="J292" s="18">
        <f t="shared" si="77"/>
        <v>0.77</v>
      </c>
    </row>
    <row r="293" spans="1:10">
      <c r="A293" s="754"/>
      <c r="B293" s="763"/>
      <c r="C293" s="12">
        <v>2015</v>
      </c>
      <c r="D293" s="20">
        <f>E293+F293+G293+H293+I293</f>
        <v>0.77</v>
      </c>
      <c r="E293" s="20">
        <v>0</v>
      </c>
      <c r="F293" s="20">
        <v>0</v>
      </c>
      <c r="G293" s="20">
        <f>770/1000</f>
        <v>0.77</v>
      </c>
      <c r="H293" s="20">
        <v>0</v>
      </c>
      <c r="I293" s="20">
        <v>0</v>
      </c>
      <c r="J293" s="18">
        <f t="shared" si="77"/>
        <v>0.77</v>
      </c>
    </row>
    <row r="294" spans="1:10">
      <c r="A294" s="754"/>
      <c r="B294" s="763"/>
      <c r="C294" s="12">
        <v>2016</v>
      </c>
      <c r="D294" s="20">
        <f>E294+F294+G294+H294+I294</f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18">
        <f t="shared" si="77"/>
        <v>0</v>
      </c>
    </row>
    <row r="295" spans="1:10">
      <c r="A295" s="754"/>
      <c r="B295" s="763"/>
      <c r="C295" s="12">
        <v>2017</v>
      </c>
      <c r="D295" s="20">
        <f>E295+F295+G295+H295+I295</f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18">
        <f t="shared" si="77"/>
        <v>0</v>
      </c>
    </row>
    <row r="296" spans="1:10">
      <c r="A296" s="754" t="s">
        <v>156</v>
      </c>
      <c r="B296" s="763" t="s">
        <v>157</v>
      </c>
      <c r="C296" s="16" t="s">
        <v>16</v>
      </c>
      <c r="D296" s="21">
        <f t="shared" ref="D296:I296" si="85">D297+D298+D299</f>
        <v>0.15000000000000002</v>
      </c>
      <c r="E296" s="21">
        <f t="shared" si="85"/>
        <v>0.15000000000000002</v>
      </c>
      <c r="F296" s="21">
        <f t="shared" si="85"/>
        <v>0</v>
      </c>
      <c r="G296" s="21">
        <f t="shared" si="85"/>
        <v>0</v>
      </c>
      <c r="H296" s="21">
        <f t="shared" si="85"/>
        <v>0</v>
      </c>
      <c r="I296" s="21">
        <f t="shared" si="85"/>
        <v>0</v>
      </c>
      <c r="J296" s="18">
        <f t="shared" si="77"/>
        <v>0.15000000000000002</v>
      </c>
    </row>
    <row r="297" spans="1:10">
      <c r="A297" s="754"/>
      <c r="B297" s="763"/>
      <c r="C297" s="12">
        <v>2015</v>
      </c>
      <c r="D297" s="20">
        <f>E297+F297+G297+H297+I297</f>
        <v>0.05</v>
      </c>
      <c r="E297" s="20">
        <f>50/1000</f>
        <v>0.05</v>
      </c>
      <c r="F297" s="20">
        <v>0</v>
      </c>
      <c r="G297" s="20">
        <v>0</v>
      </c>
      <c r="H297" s="20">
        <v>0</v>
      </c>
      <c r="I297" s="20">
        <v>0</v>
      </c>
      <c r="J297" s="18">
        <f t="shared" si="77"/>
        <v>0.05</v>
      </c>
    </row>
    <row r="298" spans="1:10">
      <c r="A298" s="754"/>
      <c r="B298" s="763"/>
      <c r="C298" s="12">
        <v>2016</v>
      </c>
      <c r="D298" s="20">
        <f>E298+F298+G298+H298+I298</f>
        <v>0.05</v>
      </c>
      <c r="E298" s="20">
        <f>50/1000</f>
        <v>0.05</v>
      </c>
      <c r="F298" s="20">
        <v>0</v>
      </c>
      <c r="G298" s="20">
        <v>0</v>
      </c>
      <c r="H298" s="20">
        <v>0</v>
      </c>
      <c r="I298" s="20">
        <v>0</v>
      </c>
      <c r="J298" s="18">
        <f t="shared" si="77"/>
        <v>0.05</v>
      </c>
    </row>
    <row r="299" spans="1:10">
      <c r="A299" s="754"/>
      <c r="B299" s="763"/>
      <c r="C299" s="12">
        <v>2017</v>
      </c>
      <c r="D299" s="20">
        <f>E299+F299+G299+H299+I299</f>
        <v>0.05</v>
      </c>
      <c r="E299" s="20">
        <f>50/1000</f>
        <v>0.05</v>
      </c>
      <c r="F299" s="20">
        <v>0</v>
      </c>
      <c r="G299" s="20">
        <v>0</v>
      </c>
      <c r="H299" s="20">
        <v>0</v>
      </c>
      <c r="I299" s="20">
        <v>0</v>
      </c>
      <c r="J299" s="18">
        <f t="shared" si="77"/>
        <v>0.05</v>
      </c>
    </row>
    <row r="300" spans="1:10">
      <c r="A300" s="754" t="s">
        <v>158</v>
      </c>
      <c r="B300" s="763" t="s">
        <v>159</v>
      </c>
      <c r="C300" s="16" t="s">
        <v>16</v>
      </c>
      <c r="D300" s="21">
        <f t="shared" ref="D300:I300" si="86">D301+D302+D303</f>
        <v>200</v>
      </c>
      <c r="E300" s="21">
        <f t="shared" si="86"/>
        <v>0</v>
      </c>
      <c r="F300" s="21">
        <f t="shared" si="86"/>
        <v>0</v>
      </c>
      <c r="G300" s="21">
        <f t="shared" si="86"/>
        <v>200</v>
      </c>
      <c r="H300" s="21">
        <f t="shared" si="86"/>
        <v>0</v>
      </c>
      <c r="I300" s="21">
        <f t="shared" si="86"/>
        <v>0</v>
      </c>
      <c r="J300" s="18">
        <f t="shared" si="77"/>
        <v>200</v>
      </c>
    </row>
    <row r="301" spans="1:10">
      <c r="A301" s="754"/>
      <c r="B301" s="763"/>
      <c r="C301" s="12">
        <v>2015</v>
      </c>
      <c r="D301" s="20">
        <f>E301+F301+G301+H301+I301</f>
        <v>200</v>
      </c>
      <c r="E301" s="20">
        <v>0</v>
      </c>
      <c r="F301" s="20">
        <v>0</v>
      </c>
      <c r="G301" s="20">
        <f>200000/1000</f>
        <v>200</v>
      </c>
      <c r="H301" s="20">
        <v>0</v>
      </c>
      <c r="I301" s="20">
        <v>0</v>
      </c>
      <c r="J301" s="18">
        <f t="shared" si="77"/>
        <v>200</v>
      </c>
    </row>
    <row r="302" spans="1:10">
      <c r="A302" s="754"/>
      <c r="B302" s="763"/>
      <c r="C302" s="12">
        <v>2016</v>
      </c>
      <c r="D302" s="20">
        <f>E302+F302+G302+H302+I302</f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18">
        <f t="shared" si="77"/>
        <v>0</v>
      </c>
    </row>
    <row r="303" spans="1:10">
      <c r="A303" s="754"/>
      <c r="B303" s="763"/>
      <c r="C303" s="12">
        <v>2017</v>
      </c>
      <c r="D303" s="20">
        <f>E303+F303+G303+H303+I303</f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18">
        <f t="shared" si="77"/>
        <v>0</v>
      </c>
    </row>
    <row r="304" spans="1:10">
      <c r="A304" s="754" t="s">
        <v>160</v>
      </c>
      <c r="B304" s="763" t="s">
        <v>161</v>
      </c>
      <c r="C304" s="16" t="s">
        <v>16</v>
      </c>
      <c r="D304" s="21">
        <f t="shared" ref="D304:I304" si="87">D305+D306+D307</f>
        <v>200</v>
      </c>
      <c r="E304" s="21">
        <f t="shared" si="87"/>
        <v>0</v>
      </c>
      <c r="F304" s="21">
        <f t="shared" si="87"/>
        <v>0</v>
      </c>
      <c r="G304" s="21">
        <f t="shared" si="87"/>
        <v>200</v>
      </c>
      <c r="H304" s="21">
        <f t="shared" si="87"/>
        <v>0</v>
      </c>
      <c r="I304" s="21">
        <f t="shared" si="87"/>
        <v>0</v>
      </c>
      <c r="J304" s="18">
        <f t="shared" ref="J304:J335" si="88">E304+F304+G304+H304+I304</f>
        <v>200</v>
      </c>
    </row>
    <row r="305" spans="1:10">
      <c r="A305" s="754"/>
      <c r="B305" s="763"/>
      <c r="C305" s="12">
        <v>2015</v>
      </c>
      <c r="D305" s="20">
        <f t="shared" ref="D305:D315" si="89">E305+F305+G305+H305+I305</f>
        <v>200</v>
      </c>
      <c r="E305" s="20">
        <v>0</v>
      </c>
      <c r="F305" s="20">
        <v>0</v>
      </c>
      <c r="G305" s="20">
        <f>200000/1000</f>
        <v>200</v>
      </c>
      <c r="H305" s="20">
        <v>0</v>
      </c>
      <c r="I305" s="20">
        <v>0</v>
      </c>
      <c r="J305" s="18">
        <f t="shared" si="88"/>
        <v>200</v>
      </c>
    </row>
    <row r="306" spans="1:10">
      <c r="A306" s="754"/>
      <c r="B306" s="763"/>
      <c r="C306" s="12">
        <v>2016</v>
      </c>
      <c r="D306" s="20">
        <f t="shared" si="89"/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18">
        <f t="shared" si="88"/>
        <v>0</v>
      </c>
    </row>
    <row r="307" spans="1:10">
      <c r="A307" s="754"/>
      <c r="B307" s="763"/>
      <c r="C307" s="12">
        <v>2017</v>
      </c>
      <c r="D307" s="20">
        <f t="shared" si="89"/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18">
        <f t="shared" si="88"/>
        <v>0</v>
      </c>
    </row>
    <row r="308" spans="1:10">
      <c r="A308" s="754" t="s">
        <v>162</v>
      </c>
      <c r="B308" s="768" t="s">
        <v>163</v>
      </c>
      <c r="C308" s="16" t="s">
        <v>16</v>
      </c>
      <c r="D308" s="20">
        <f t="shared" si="89"/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18">
        <f t="shared" si="88"/>
        <v>0</v>
      </c>
    </row>
    <row r="309" spans="1:10">
      <c r="A309" s="754"/>
      <c r="B309" s="768"/>
      <c r="C309" s="12">
        <v>2015</v>
      </c>
      <c r="D309" s="20">
        <f t="shared" si="89"/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18">
        <f t="shared" si="88"/>
        <v>0</v>
      </c>
    </row>
    <row r="310" spans="1:10">
      <c r="A310" s="754"/>
      <c r="B310" s="768"/>
      <c r="C310" s="12">
        <v>2016</v>
      </c>
      <c r="D310" s="20">
        <f t="shared" si="89"/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18">
        <f t="shared" si="88"/>
        <v>0</v>
      </c>
    </row>
    <row r="311" spans="1:10">
      <c r="A311" s="754"/>
      <c r="B311" s="768"/>
      <c r="C311" s="12">
        <v>2017</v>
      </c>
      <c r="D311" s="20">
        <f t="shared" si="89"/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18">
        <f t="shared" si="88"/>
        <v>0</v>
      </c>
    </row>
    <row r="312" spans="1:10" s="14" customFormat="1">
      <c r="A312" s="754" t="s">
        <v>164</v>
      </c>
      <c r="B312" s="775" t="s">
        <v>165</v>
      </c>
      <c r="C312" s="16" t="s">
        <v>16</v>
      </c>
      <c r="D312" s="17">
        <f t="shared" si="89"/>
        <v>114.5</v>
      </c>
      <c r="E312" s="30">
        <f>E313+E314+E315</f>
        <v>0</v>
      </c>
      <c r="F312" s="30">
        <f>F313+F314+F315</f>
        <v>0</v>
      </c>
      <c r="G312" s="30">
        <f>G313+G314+G315</f>
        <v>114.5</v>
      </c>
      <c r="H312" s="30">
        <f>H313+H314+H315</f>
        <v>0</v>
      </c>
      <c r="I312" s="30">
        <f>I313+I314+I315</f>
        <v>0</v>
      </c>
      <c r="J312" s="18">
        <f t="shared" si="88"/>
        <v>114.5</v>
      </c>
    </row>
    <row r="313" spans="1:10" s="14" customFormat="1">
      <c r="A313" s="754"/>
      <c r="B313" s="775"/>
      <c r="C313" s="16">
        <v>2015</v>
      </c>
      <c r="D313" s="17">
        <f t="shared" si="89"/>
        <v>86.5</v>
      </c>
      <c r="E313" s="17">
        <v>0</v>
      </c>
      <c r="F313" s="17">
        <v>0</v>
      </c>
      <c r="G313" s="17">
        <f>G317+G321+G325+G329+G333</f>
        <v>86.5</v>
      </c>
      <c r="H313" s="17">
        <v>0</v>
      </c>
      <c r="I313" s="17">
        <v>0</v>
      </c>
      <c r="J313" s="18">
        <f t="shared" si="88"/>
        <v>86.5</v>
      </c>
    </row>
    <row r="314" spans="1:10" s="14" customFormat="1">
      <c r="A314" s="754"/>
      <c r="B314" s="775"/>
      <c r="C314" s="16">
        <v>2016</v>
      </c>
      <c r="D314" s="17">
        <f t="shared" si="89"/>
        <v>14</v>
      </c>
      <c r="E314" s="17">
        <v>0</v>
      </c>
      <c r="F314" s="17">
        <v>0</v>
      </c>
      <c r="G314" s="17">
        <f>G318+G322+G326+G330+G334</f>
        <v>14</v>
      </c>
      <c r="H314" s="17">
        <v>0</v>
      </c>
      <c r="I314" s="17">
        <v>0</v>
      </c>
      <c r="J314" s="18">
        <f t="shared" si="88"/>
        <v>14</v>
      </c>
    </row>
    <row r="315" spans="1:10" s="14" customFormat="1">
      <c r="A315" s="754"/>
      <c r="B315" s="775"/>
      <c r="C315" s="16">
        <v>2017</v>
      </c>
      <c r="D315" s="17">
        <f t="shared" si="89"/>
        <v>14</v>
      </c>
      <c r="E315" s="17">
        <v>0</v>
      </c>
      <c r="F315" s="17">
        <v>0</v>
      </c>
      <c r="G315" s="17">
        <f>G319+G323+G327+G331+G335</f>
        <v>14</v>
      </c>
      <c r="H315" s="17">
        <v>0</v>
      </c>
      <c r="I315" s="17">
        <v>0</v>
      </c>
      <c r="J315" s="18">
        <f t="shared" si="88"/>
        <v>14</v>
      </c>
    </row>
    <row r="316" spans="1:10" ht="12.75" customHeight="1">
      <c r="A316" s="754" t="s">
        <v>166</v>
      </c>
      <c r="B316" s="768" t="s">
        <v>167</v>
      </c>
      <c r="C316" s="16" t="s">
        <v>16</v>
      </c>
      <c r="D316" s="21">
        <f t="shared" ref="D316:I316" si="90">D317+D318+D319</f>
        <v>28</v>
      </c>
      <c r="E316" s="21">
        <f t="shared" si="90"/>
        <v>0</v>
      </c>
      <c r="F316" s="21">
        <f t="shared" si="90"/>
        <v>0</v>
      </c>
      <c r="G316" s="21">
        <f t="shared" si="90"/>
        <v>28</v>
      </c>
      <c r="H316" s="21">
        <f t="shared" si="90"/>
        <v>0</v>
      </c>
      <c r="I316" s="21">
        <f t="shared" si="90"/>
        <v>0</v>
      </c>
      <c r="J316" s="18">
        <f t="shared" si="88"/>
        <v>28</v>
      </c>
    </row>
    <row r="317" spans="1:10" ht="12.75" customHeight="1">
      <c r="A317" s="754"/>
      <c r="B317" s="768"/>
      <c r="C317" s="12">
        <v>2015</v>
      </c>
      <c r="D317" s="20">
        <f>E317+F317+G317+H317+I317</f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18">
        <f t="shared" si="88"/>
        <v>0</v>
      </c>
    </row>
    <row r="318" spans="1:10">
      <c r="A318" s="754"/>
      <c r="B318" s="768"/>
      <c r="C318" s="12">
        <v>2016</v>
      </c>
      <c r="D318" s="20">
        <f>E318+F318+G318+H318+I318</f>
        <v>14</v>
      </c>
      <c r="E318" s="20">
        <v>0</v>
      </c>
      <c r="F318" s="20">
        <v>0</v>
      </c>
      <c r="G318" s="21">
        <v>14</v>
      </c>
      <c r="H318" s="20">
        <v>0</v>
      </c>
      <c r="I318" s="20">
        <v>0</v>
      </c>
      <c r="J318" s="18">
        <f t="shared" si="88"/>
        <v>14</v>
      </c>
    </row>
    <row r="319" spans="1:10">
      <c r="A319" s="754"/>
      <c r="B319" s="768"/>
      <c r="C319" s="31">
        <v>2017</v>
      </c>
      <c r="D319" s="20">
        <f>E319+F319+G319+H319+I319</f>
        <v>14</v>
      </c>
      <c r="E319" s="20">
        <v>0</v>
      </c>
      <c r="F319" s="20">
        <v>0</v>
      </c>
      <c r="G319" s="21">
        <v>14</v>
      </c>
      <c r="H319" s="20">
        <v>0</v>
      </c>
      <c r="I319" s="20">
        <v>0</v>
      </c>
      <c r="J319" s="18">
        <f t="shared" si="88"/>
        <v>14</v>
      </c>
    </row>
    <row r="320" spans="1:10">
      <c r="A320" s="754" t="s">
        <v>168</v>
      </c>
      <c r="B320" s="763" t="s">
        <v>169</v>
      </c>
      <c r="C320" s="16" t="s">
        <v>16</v>
      </c>
      <c r="D320" s="21">
        <f t="shared" ref="D320:I320" si="91">D321+D322+D323</f>
        <v>31</v>
      </c>
      <c r="E320" s="21">
        <f t="shared" si="91"/>
        <v>0</v>
      </c>
      <c r="F320" s="21">
        <f t="shared" si="91"/>
        <v>0</v>
      </c>
      <c r="G320" s="21">
        <f t="shared" si="91"/>
        <v>31</v>
      </c>
      <c r="H320" s="21">
        <f t="shared" si="91"/>
        <v>0</v>
      </c>
      <c r="I320" s="21">
        <f t="shared" si="91"/>
        <v>0</v>
      </c>
      <c r="J320" s="18">
        <f t="shared" si="88"/>
        <v>31</v>
      </c>
    </row>
    <row r="321" spans="1:11" ht="19.5" customHeight="1">
      <c r="A321" s="754"/>
      <c r="B321" s="763"/>
      <c r="C321" s="12">
        <v>2015</v>
      </c>
      <c r="D321" s="20">
        <f>E321+F321+G321+H321+I321</f>
        <v>31</v>
      </c>
      <c r="E321" s="20">
        <v>0</v>
      </c>
      <c r="F321" s="20">
        <v>0</v>
      </c>
      <c r="G321" s="20">
        <v>31</v>
      </c>
      <c r="H321" s="20">
        <v>0</v>
      </c>
      <c r="I321" s="20">
        <v>0</v>
      </c>
      <c r="J321" s="18">
        <f t="shared" si="88"/>
        <v>31</v>
      </c>
    </row>
    <row r="322" spans="1:11">
      <c r="A322" s="754"/>
      <c r="B322" s="763"/>
      <c r="C322" s="12">
        <v>2016</v>
      </c>
      <c r="D322" s="20">
        <f>E322+F322+G322+H322+I322</f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18">
        <f t="shared" si="88"/>
        <v>0</v>
      </c>
    </row>
    <row r="323" spans="1:11">
      <c r="A323" s="754"/>
      <c r="B323" s="763"/>
      <c r="C323" s="12">
        <v>2017</v>
      </c>
      <c r="D323" s="20">
        <f>E323+F323+G323+H323+I323</f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18">
        <f t="shared" si="88"/>
        <v>0</v>
      </c>
    </row>
    <row r="324" spans="1:11" ht="15.75" customHeight="1">
      <c r="A324" s="754" t="s">
        <v>170</v>
      </c>
      <c r="B324" s="758" t="s">
        <v>171</v>
      </c>
      <c r="C324" s="16" t="s">
        <v>16</v>
      </c>
      <c r="D324" s="21">
        <f t="shared" ref="D324:I324" si="92">D325+D326+D327</f>
        <v>12</v>
      </c>
      <c r="E324" s="21">
        <f t="shared" si="92"/>
        <v>0</v>
      </c>
      <c r="F324" s="21">
        <f t="shared" si="92"/>
        <v>0</v>
      </c>
      <c r="G324" s="21">
        <f t="shared" si="92"/>
        <v>12</v>
      </c>
      <c r="H324" s="21">
        <f t="shared" si="92"/>
        <v>0</v>
      </c>
      <c r="I324" s="21">
        <f t="shared" si="92"/>
        <v>0</v>
      </c>
      <c r="J324" s="18">
        <f t="shared" si="88"/>
        <v>12</v>
      </c>
    </row>
    <row r="325" spans="1:11">
      <c r="A325" s="754"/>
      <c r="B325" s="758"/>
      <c r="C325" s="12">
        <v>2015</v>
      </c>
      <c r="D325" s="20">
        <f>E325+F325+G325+H325+I325</f>
        <v>12</v>
      </c>
      <c r="E325" s="20">
        <v>0</v>
      </c>
      <c r="F325" s="20">
        <v>0</v>
      </c>
      <c r="G325" s="20">
        <v>12</v>
      </c>
      <c r="H325" s="20">
        <v>0</v>
      </c>
      <c r="I325" s="20">
        <v>0</v>
      </c>
      <c r="J325" s="18">
        <f t="shared" si="88"/>
        <v>12</v>
      </c>
    </row>
    <row r="326" spans="1:11">
      <c r="A326" s="754"/>
      <c r="B326" s="758"/>
      <c r="C326" s="12">
        <v>2016</v>
      </c>
      <c r="D326" s="20">
        <f>E326+F326+G326+H326+I326</f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18">
        <f t="shared" si="88"/>
        <v>0</v>
      </c>
    </row>
    <row r="327" spans="1:11">
      <c r="A327" s="754"/>
      <c r="B327" s="758"/>
      <c r="C327" s="31">
        <v>2017</v>
      </c>
      <c r="D327" s="20">
        <f>E327+F327+G327+H327+I327</f>
        <v>0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18">
        <f t="shared" si="88"/>
        <v>0</v>
      </c>
    </row>
    <row r="328" spans="1:11">
      <c r="A328" s="754" t="s">
        <v>172</v>
      </c>
      <c r="B328" s="768" t="s">
        <v>173</v>
      </c>
      <c r="C328" s="16" t="s">
        <v>16</v>
      </c>
      <c r="D328" s="21">
        <f t="shared" ref="D328:I328" si="93">D329+D330+D331</f>
        <v>42</v>
      </c>
      <c r="E328" s="21">
        <f t="shared" si="93"/>
        <v>0</v>
      </c>
      <c r="F328" s="21">
        <f t="shared" si="93"/>
        <v>0</v>
      </c>
      <c r="G328" s="21">
        <f t="shared" si="93"/>
        <v>42</v>
      </c>
      <c r="H328" s="21">
        <f t="shared" si="93"/>
        <v>0</v>
      </c>
      <c r="I328" s="21">
        <f t="shared" si="93"/>
        <v>0</v>
      </c>
      <c r="J328" s="18">
        <f t="shared" si="88"/>
        <v>42</v>
      </c>
    </row>
    <row r="329" spans="1:11">
      <c r="A329" s="754"/>
      <c r="B329" s="768"/>
      <c r="C329" s="12">
        <v>2015</v>
      </c>
      <c r="D329" s="20">
        <f>E329+F329+G329+H329+I329</f>
        <v>42</v>
      </c>
      <c r="E329" s="21">
        <f t="shared" ref="E329:F332" si="94">E330+E331+E332</f>
        <v>0</v>
      </c>
      <c r="F329" s="21">
        <f t="shared" si="94"/>
        <v>0</v>
      </c>
      <c r="G329" s="20">
        <v>42</v>
      </c>
      <c r="H329" s="21">
        <f t="shared" ref="H329:I332" si="95">H330+H331+H332</f>
        <v>0</v>
      </c>
      <c r="I329" s="21">
        <f t="shared" si="95"/>
        <v>0</v>
      </c>
      <c r="J329" s="18">
        <f t="shared" si="88"/>
        <v>42</v>
      </c>
    </row>
    <row r="330" spans="1:11">
      <c r="A330" s="754"/>
      <c r="B330" s="768"/>
      <c r="C330" s="12">
        <v>2016</v>
      </c>
      <c r="D330" s="20">
        <f>E330+F330+G330+H330+I330</f>
        <v>0</v>
      </c>
      <c r="E330" s="21">
        <f t="shared" si="94"/>
        <v>0</v>
      </c>
      <c r="F330" s="21">
        <f t="shared" si="94"/>
        <v>0</v>
      </c>
      <c r="G330" s="20">
        <v>0</v>
      </c>
      <c r="H330" s="21">
        <f t="shared" si="95"/>
        <v>0</v>
      </c>
      <c r="I330" s="21">
        <f t="shared" si="95"/>
        <v>0</v>
      </c>
      <c r="J330" s="18">
        <f t="shared" si="88"/>
        <v>0</v>
      </c>
    </row>
    <row r="331" spans="1:11">
      <c r="A331" s="754"/>
      <c r="B331" s="768"/>
      <c r="C331" s="31">
        <v>2017</v>
      </c>
      <c r="D331" s="20">
        <f>E331+F331+G331+H331+I331</f>
        <v>0</v>
      </c>
      <c r="E331" s="21">
        <f t="shared" si="94"/>
        <v>0</v>
      </c>
      <c r="F331" s="21">
        <f t="shared" si="94"/>
        <v>0</v>
      </c>
      <c r="G331" s="20">
        <v>0</v>
      </c>
      <c r="H331" s="21">
        <f t="shared" si="95"/>
        <v>0</v>
      </c>
      <c r="I331" s="21">
        <f t="shared" si="95"/>
        <v>0</v>
      </c>
      <c r="J331" s="18">
        <f t="shared" si="88"/>
        <v>0</v>
      </c>
    </row>
    <row r="332" spans="1:11">
      <c r="A332" s="754" t="s">
        <v>174</v>
      </c>
      <c r="B332" s="768" t="s">
        <v>175</v>
      </c>
      <c r="C332" s="16" t="s">
        <v>16</v>
      </c>
      <c r="D332" s="21">
        <f>D333+D334+D348</f>
        <v>1.5</v>
      </c>
      <c r="E332" s="21">
        <f t="shared" si="94"/>
        <v>0</v>
      </c>
      <c r="F332" s="21">
        <f t="shared" si="94"/>
        <v>0</v>
      </c>
      <c r="G332" s="20">
        <v>1.5</v>
      </c>
      <c r="H332" s="21">
        <f t="shared" si="95"/>
        <v>0</v>
      </c>
      <c r="I332" s="21">
        <f t="shared" si="95"/>
        <v>0</v>
      </c>
      <c r="J332" s="18">
        <f t="shared" si="88"/>
        <v>1.5</v>
      </c>
    </row>
    <row r="333" spans="1:11">
      <c r="A333" s="754"/>
      <c r="B333" s="768"/>
      <c r="C333" s="12">
        <v>2015</v>
      </c>
      <c r="D333" s="20">
        <f>E333+F333+G333+H333+I333</f>
        <v>1.5</v>
      </c>
      <c r="E333" s="20">
        <v>0</v>
      </c>
      <c r="F333" s="20">
        <v>0</v>
      </c>
      <c r="G333" s="20">
        <v>1.5</v>
      </c>
      <c r="H333" s="20">
        <v>0</v>
      </c>
      <c r="I333" s="20">
        <v>0</v>
      </c>
      <c r="J333" s="18">
        <f t="shared" si="88"/>
        <v>1.5</v>
      </c>
    </row>
    <row r="334" spans="1:11">
      <c r="A334" s="754"/>
      <c r="B334" s="768"/>
      <c r="C334" s="12">
        <v>2016</v>
      </c>
      <c r="D334" s="20">
        <f>E334+F334+G334+H334+I334</f>
        <v>0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18">
        <f t="shared" si="88"/>
        <v>0</v>
      </c>
    </row>
    <row r="335" spans="1:11">
      <c r="A335" s="754"/>
      <c r="B335" s="768"/>
      <c r="C335" s="31">
        <v>2017</v>
      </c>
      <c r="D335" s="20">
        <f>E335+F335+G335+H335+I335</f>
        <v>0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18">
        <f t="shared" si="88"/>
        <v>0</v>
      </c>
    </row>
    <row r="336" spans="1:11" s="29" customFormat="1" ht="15.75">
      <c r="A336" s="754" t="s">
        <v>176</v>
      </c>
      <c r="B336" s="762" t="s">
        <v>177</v>
      </c>
      <c r="C336" s="16" t="s">
        <v>16</v>
      </c>
      <c r="D336" s="30">
        <f t="shared" ref="D336:I336" si="96">D337+D338+D339</f>
        <v>147.4307</v>
      </c>
      <c r="E336" s="30">
        <f t="shared" si="96"/>
        <v>8.2619999999999999E-2</v>
      </c>
      <c r="F336" s="30">
        <f t="shared" si="96"/>
        <v>23.914699999999996</v>
      </c>
      <c r="G336" s="30">
        <f t="shared" si="96"/>
        <v>79.808999999999997</v>
      </c>
      <c r="H336" s="30">
        <f t="shared" si="96"/>
        <v>43.624379999999995</v>
      </c>
      <c r="I336" s="30">
        <f t="shared" si="96"/>
        <v>0</v>
      </c>
      <c r="J336" s="18">
        <f t="shared" ref="J336:J367" si="97">E336+F336+G336+H336+I336</f>
        <v>147.4307</v>
      </c>
      <c r="K336" s="32"/>
    </row>
    <row r="337" spans="1:10" s="29" customFormat="1" ht="15.75">
      <c r="A337" s="754"/>
      <c r="B337" s="762"/>
      <c r="C337" s="16">
        <v>2015</v>
      </c>
      <c r="D337" s="17">
        <f>E337+F337+G337+H337+I337</f>
        <v>52.641100000000009</v>
      </c>
      <c r="E337" s="17">
        <f>E345</f>
        <v>8.2619999999999999E-2</v>
      </c>
      <c r="F337" s="17">
        <f t="shared" ref="F337:I339" si="98">F345+F341</f>
        <v>10.4</v>
      </c>
      <c r="G337" s="17">
        <f t="shared" si="98"/>
        <v>26.769100000000002</v>
      </c>
      <c r="H337" s="17">
        <f t="shared" si="98"/>
        <v>15.389379999999999</v>
      </c>
      <c r="I337" s="17">
        <f t="shared" si="98"/>
        <v>0</v>
      </c>
      <c r="J337" s="18">
        <f t="shared" si="97"/>
        <v>52.641100000000009</v>
      </c>
    </row>
    <row r="338" spans="1:10" s="29" customFormat="1" ht="15.75">
      <c r="A338" s="754"/>
      <c r="B338" s="762"/>
      <c r="C338" s="16">
        <v>2016</v>
      </c>
      <c r="D338" s="17">
        <f>E338+F338+G338+H338+I338</f>
        <v>46.427999999999997</v>
      </c>
      <c r="E338" s="17">
        <f>E346</f>
        <v>0</v>
      </c>
      <c r="F338" s="17">
        <f t="shared" si="98"/>
        <v>4.5048999999999992</v>
      </c>
      <c r="G338" s="17">
        <f t="shared" si="98"/>
        <v>22.505100000000002</v>
      </c>
      <c r="H338" s="17">
        <f t="shared" si="98"/>
        <v>19.417999999999999</v>
      </c>
      <c r="I338" s="17">
        <f t="shared" si="98"/>
        <v>0</v>
      </c>
      <c r="J338" s="18">
        <f t="shared" si="97"/>
        <v>46.427999999999997</v>
      </c>
    </row>
    <row r="339" spans="1:10" s="29" customFormat="1" ht="15.75">
      <c r="A339" s="754"/>
      <c r="B339" s="762"/>
      <c r="C339" s="16">
        <v>2017</v>
      </c>
      <c r="D339" s="17">
        <f>E339+F339+G339+H339+I339</f>
        <v>48.361599999999996</v>
      </c>
      <c r="E339" s="17">
        <f>E347</f>
        <v>0</v>
      </c>
      <c r="F339" s="17">
        <f t="shared" si="98"/>
        <v>9.0097999999999985</v>
      </c>
      <c r="G339" s="17">
        <f t="shared" si="98"/>
        <v>30.534799999999997</v>
      </c>
      <c r="H339" s="17">
        <f t="shared" si="98"/>
        <v>8.8170000000000002</v>
      </c>
      <c r="I339" s="17">
        <f t="shared" si="98"/>
        <v>0</v>
      </c>
      <c r="J339" s="18">
        <f t="shared" si="97"/>
        <v>48.361599999999996</v>
      </c>
    </row>
    <row r="340" spans="1:10" ht="18" customHeight="1">
      <c r="A340" s="754" t="s">
        <v>178</v>
      </c>
      <c r="B340" s="763" t="s">
        <v>179</v>
      </c>
      <c r="C340" s="16" t="s">
        <v>16</v>
      </c>
      <c r="D340" s="20">
        <f t="shared" ref="D340:I340" si="99">D341+D342+D343</f>
        <v>31.1</v>
      </c>
      <c r="E340" s="20">
        <f t="shared" si="99"/>
        <v>0</v>
      </c>
      <c r="F340" s="20">
        <f t="shared" si="99"/>
        <v>10.4</v>
      </c>
      <c r="G340" s="20">
        <f t="shared" si="99"/>
        <v>6.1</v>
      </c>
      <c r="H340" s="20">
        <f t="shared" si="99"/>
        <v>14.6</v>
      </c>
      <c r="I340" s="20">
        <f t="shared" si="99"/>
        <v>0</v>
      </c>
      <c r="J340" s="18">
        <f t="shared" si="97"/>
        <v>31.1</v>
      </c>
    </row>
    <row r="341" spans="1:10" ht="12.75" customHeight="1">
      <c r="A341" s="754"/>
      <c r="B341" s="763"/>
      <c r="C341" s="12">
        <v>2015</v>
      </c>
      <c r="D341" s="20">
        <v>14.4</v>
      </c>
      <c r="E341" s="20">
        <v>0</v>
      </c>
      <c r="F341" s="20">
        <v>10.4</v>
      </c>
      <c r="G341" s="20">
        <v>0</v>
      </c>
      <c r="H341" s="20">
        <v>4</v>
      </c>
      <c r="I341" s="20">
        <v>0</v>
      </c>
      <c r="J341" s="18">
        <f t="shared" si="97"/>
        <v>14.4</v>
      </c>
    </row>
    <row r="342" spans="1:10" ht="12.75" customHeight="1">
      <c r="A342" s="754"/>
      <c r="B342" s="763"/>
      <c r="C342" s="12">
        <v>2016</v>
      </c>
      <c r="D342" s="20">
        <v>10.6</v>
      </c>
      <c r="E342" s="20">
        <v>0</v>
      </c>
      <c r="F342" s="20">
        <v>0</v>
      </c>
      <c r="G342" s="20">
        <v>0</v>
      </c>
      <c r="H342" s="20">
        <v>10.6</v>
      </c>
      <c r="I342" s="20">
        <v>0</v>
      </c>
      <c r="J342" s="18">
        <f t="shared" si="97"/>
        <v>10.6</v>
      </c>
    </row>
    <row r="343" spans="1:10" ht="12.75" customHeight="1">
      <c r="A343" s="754"/>
      <c r="B343" s="763"/>
      <c r="C343" s="12">
        <v>2017</v>
      </c>
      <c r="D343" s="20">
        <v>6.1</v>
      </c>
      <c r="E343" s="20">
        <v>0</v>
      </c>
      <c r="F343" s="20">
        <v>0</v>
      </c>
      <c r="G343" s="20">
        <v>6.1</v>
      </c>
      <c r="H343" s="20">
        <v>0</v>
      </c>
      <c r="I343" s="20">
        <v>0</v>
      </c>
      <c r="J343" s="18">
        <f t="shared" si="97"/>
        <v>6.1</v>
      </c>
    </row>
    <row r="344" spans="1:10">
      <c r="A344" s="754" t="s">
        <v>180</v>
      </c>
      <c r="B344" s="776" t="s">
        <v>181</v>
      </c>
      <c r="C344" s="16" t="s">
        <v>16</v>
      </c>
      <c r="D344" s="21">
        <f t="shared" ref="D344:I344" si="100">D345+D346+D347</f>
        <v>116.33070000000001</v>
      </c>
      <c r="E344" s="21">
        <f t="shared" si="100"/>
        <v>8.2619999999999999E-2</v>
      </c>
      <c r="F344" s="21">
        <f t="shared" si="100"/>
        <v>13.514699999999998</v>
      </c>
      <c r="G344" s="21">
        <f t="shared" si="100"/>
        <v>73.709000000000003</v>
      </c>
      <c r="H344" s="21">
        <f t="shared" si="100"/>
        <v>29.024380000000001</v>
      </c>
      <c r="I344" s="21">
        <f t="shared" si="100"/>
        <v>0</v>
      </c>
      <c r="J344" s="18">
        <f t="shared" si="97"/>
        <v>116.33070000000001</v>
      </c>
    </row>
    <row r="345" spans="1:10">
      <c r="A345" s="754"/>
      <c r="B345" s="776"/>
      <c r="C345" s="12">
        <v>2015</v>
      </c>
      <c r="D345" s="20">
        <f t="shared" ref="D345:I347" si="101">D369</f>
        <v>38.241100000000003</v>
      </c>
      <c r="E345" s="20">
        <f t="shared" si="101"/>
        <v>8.2619999999999999E-2</v>
      </c>
      <c r="F345" s="20">
        <f t="shared" si="101"/>
        <v>0</v>
      </c>
      <c r="G345" s="20">
        <f t="shared" si="101"/>
        <v>26.769100000000002</v>
      </c>
      <c r="H345" s="20">
        <f t="shared" si="101"/>
        <v>11.389379999999999</v>
      </c>
      <c r="I345" s="20">
        <f t="shared" si="101"/>
        <v>0</v>
      </c>
      <c r="J345" s="18">
        <f t="shared" si="97"/>
        <v>38.241100000000003</v>
      </c>
    </row>
    <row r="346" spans="1:10">
      <c r="A346" s="754"/>
      <c r="B346" s="776"/>
      <c r="C346" s="12">
        <v>2016</v>
      </c>
      <c r="D346" s="20">
        <f t="shared" si="101"/>
        <v>35.828000000000003</v>
      </c>
      <c r="E346" s="20">
        <f t="shared" si="101"/>
        <v>0</v>
      </c>
      <c r="F346" s="20">
        <f t="shared" si="101"/>
        <v>4.5048999999999992</v>
      </c>
      <c r="G346" s="20">
        <f t="shared" si="101"/>
        <v>22.505100000000002</v>
      </c>
      <c r="H346" s="20">
        <f t="shared" si="101"/>
        <v>8.8179999999999996</v>
      </c>
      <c r="I346" s="20">
        <f t="shared" si="101"/>
        <v>0</v>
      </c>
      <c r="J346" s="18">
        <f t="shared" si="97"/>
        <v>35.828000000000003</v>
      </c>
    </row>
    <row r="347" spans="1:10">
      <c r="A347" s="754"/>
      <c r="B347" s="776"/>
      <c r="C347" s="12">
        <v>2017</v>
      </c>
      <c r="D347" s="20">
        <f t="shared" si="101"/>
        <v>42.261600000000001</v>
      </c>
      <c r="E347" s="20">
        <f t="shared" si="101"/>
        <v>0</v>
      </c>
      <c r="F347" s="20">
        <f t="shared" si="101"/>
        <v>9.0097999999999985</v>
      </c>
      <c r="G347" s="20">
        <f t="shared" si="101"/>
        <v>24.434799999999999</v>
      </c>
      <c r="H347" s="20">
        <f t="shared" si="101"/>
        <v>8.8170000000000002</v>
      </c>
      <c r="I347" s="20">
        <f t="shared" si="101"/>
        <v>0</v>
      </c>
      <c r="J347" s="18">
        <f t="shared" si="97"/>
        <v>42.261599999999994</v>
      </c>
    </row>
    <row r="348" spans="1:10">
      <c r="A348" s="754" t="s">
        <v>182</v>
      </c>
      <c r="B348" s="776" t="s">
        <v>183</v>
      </c>
      <c r="C348" s="16" t="s">
        <v>16</v>
      </c>
      <c r="D348" s="21">
        <f t="shared" ref="D348:I348" si="102">D349+D350+D351</f>
        <v>0</v>
      </c>
      <c r="E348" s="21">
        <f t="shared" si="102"/>
        <v>0</v>
      </c>
      <c r="F348" s="21">
        <f t="shared" si="102"/>
        <v>0</v>
      </c>
      <c r="G348" s="21">
        <f t="shared" si="102"/>
        <v>0</v>
      </c>
      <c r="H348" s="21">
        <f t="shared" si="102"/>
        <v>0</v>
      </c>
      <c r="I348" s="21">
        <f t="shared" si="102"/>
        <v>0</v>
      </c>
      <c r="J348" s="18">
        <f t="shared" si="97"/>
        <v>0</v>
      </c>
    </row>
    <row r="349" spans="1:10">
      <c r="A349" s="754"/>
      <c r="B349" s="776"/>
      <c r="C349" s="12">
        <v>2015</v>
      </c>
      <c r="D349" s="20">
        <f>E349+F349+G349+H349+I349</f>
        <v>0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18">
        <f t="shared" si="97"/>
        <v>0</v>
      </c>
    </row>
    <row r="350" spans="1:10">
      <c r="A350" s="754"/>
      <c r="B350" s="776"/>
      <c r="C350" s="12">
        <v>2016</v>
      </c>
      <c r="D350" s="20">
        <f>E350+F350+G350+H350+I350</f>
        <v>0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18">
        <f t="shared" si="97"/>
        <v>0</v>
      </c>
    </row>
    <row r="351" spans="1:10">
      <c r="A351" s="754"/>
      <c r="B351" s="776"/>
      <c r="C351" s="12">
        <v>2017</v>
      </c>
      <c r="D351" s="20">
        <f>E351+F351+G351+H351+I351</f>
        <v>0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18">
        <f t="shared" si="97"/>
        <v>0</v>
      </c>
    </row>
    <row r="352" spans="1:10">
      <c r="A352" s="754" t="s">
        <v>184</v>
      </c>
      <c r="B352" s="763" t="s">
        <v>185</v>
      </c>
      <c r="C352" s="16" t="s">
        <v>16</v>
      </c>
      <c r="D352" s="21">
        <f t="shared" ref="D352:I352" si="103">D353+D354+D355</f>
        <v>0</v>
      </c>
      <c r="E352" s="21">
        <f t="shared" si="103"/>
        <v>0</v>
      </c>
      <c r="F352" s="21">
        <f t="shared" si="103"/>
        <v>0</v>
      </c>
      <c r="G352" s="21">
        <f t="shared" si="103"/>
        <v>0</v>
      </c>
      <c r="H352" s="21">
        <f t="shared" si="103"/>
        <v>0</v>
      </c>
      <c r="I352" s="21">
        <f t="shared" si="103"/>
        <v>0</v>
      </c>
      <c r="J352" s="18">
        <f t="shared" si="97"/>
        <v>0</v>
      </c>
    </row>
    <row r="353" spans="1:10">
      <c r="A353" s="754"/>
      <c r="B353" s="763"/>
      <c r="C353" s="12">
        <v>2015</v>
      </c>
      <c r="D353" s="20">
        <f>E353+F353+G353+H353+I353</f>
        <v>0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18">
        <f t="shared" si="97"/>
        <v>0</v>
      </c>
    </row>
    <row r="354" spans="1:10">
      <c r="A354" s="754"/>
      <c r="B354" s="763"/>
      <c r="C354" s="12">
        <v>2016</v>
      </c>
      <c r="D354" s="20">
        <f>E354+F354+G354+H354+I354</f>
        <v>0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18">
        <f t="shared" si="97"/>
        <v>0</v>
      </c>
    </row>
    <row r="355" spans="1:10">
      <c r="A355" s="754"/>
      <c r="B355" s="763"/>
      <c r="C355" s="12">
        <v>2017</v>
      </c>
      <c r="D355" s="20">
        <f>E355+F355+G355+H355+I355</f>
        <v>0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18">
        <f t="shared" si="97"/>
        <v>0</v>
      </c>
    </row>
    <row r="356" spans="1:10">
      <c r="A356" s="754" t="s">
        <v>186</v>
      </c>
      <c r="B356" s="779" t="s">
        <v>187</v>
      </c>
      <c r="C356" s="16" t="s">
        <v>16</v>
      </c>
      <c r="D356" s="21">
        <f t="shared" ref="D356:I356" si="104">D357+D358+D359</f>
        <v>0</v>
      </c>
      <c r="E356" s="21">
        <f t="shared" si="104"/>
        <v>0</v>
      </c>
      <c r="F356" s="21">
        <f t="shared" si="104"/>
        <v>0</v>
      </c>
      <c r="G356" s="21">
        <f t="shared" si="104"/>
        <v>0</v>
      </c>
      <c r="H356" s="21">
        <f t="shared" si="104"/>
        <v>0</v>
      </c>
      <c r="I356" s="21">
        <f t="shared" si="104"/>
        <v>0</v>
      </c>
      <c r="J356" s="18">
        <f t="shared" si="97"/>
        <v>0</v>
      </c>
    </row>
    <row r="357" spans="1:10">
      <c r="A357" s="754"/>
      <c r="B357" s="779"/>
      <c r="C357" s="12">
        <v>2015</v>
      </c>
      <c r="D357" s="20">
        <f>E357+F357+G357+H357+I357</f>
        <v>0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18">
        <f t="shared" si="97"/>
        <v>0</v>
      </c>
    </row>
    <row r="358" spans="1:10">
      <c r="A358" s="754"/>
      <c r="B358" s="779"/>
      <c r="C358" s="12">
        <v>2016</v>
      </c>
      <c r="D358" s="20">
        <f>E358+F358+G358+H358+I358</f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18">
        <f t="shared" si="97"/>
        <v>0</v>
      </c>
    </row>
    <row r="359" spans="1:10">
      <c r="A359" s="754"/>
      <c r="B359" s="779"/>
      <c r="C359" s="12">
        <v>2017</v>
      </c>
      <c r="D359" s="20">
        <f>E359+F359+G359+H359+I359</f>
        <v>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18">
        <f t="shared" si="97"/>
        <v>0</v>
      </c>
    </row>
    <row r="360" spans="1:10">
      <c r="A360" s="754" t="s">
        <v>188</v>
      </c>
      <c r="B360" s="777" t="s">
        <v>189</v>
      </c>
      <c r="C360" s="16" t="s">
        <v>16</v>
      </c>
      <c r="D360" s="21">
        <f t="shared" ref="D360:I360" si="105">D361+D362+D363</f>
        <v>0</v>
      </c>
      <c r="E360" s="21">
        <f t="shared" si="105"/>
        <v>0</v>
      </c>
      <c r="F360" s="21">
        <f t="shared" si="105"/>
        <v>0</v>
      </c>
      <c r="G360" s="21">
        <f t="shared" si="105"/>
        <v>0</v>
      </c>
      <c r="H360" s="21">
        <f t="shared" si="105"/>
        <v>0</v>
      </c>
      <c r="I360" s="21">
        <f t="shared" si="105"/>
        <v>0</v>
      </c>
      <c r="J360" s="18">
        <f t="shared" si="97"/>
        <v>0</v>
      </c>
    </row>
    <row r="361" spans="1:10">
      <c r="A361" s="754"/>
      <c r="B361" s="777"/>
      <c r="C361" s="12">
        <v>2015</v>
      </c>
      <c r="D361" s="20">
        <f>E361+F361+G361+H361+I361</f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18">
        <f t="shared" si="97"/>
        <v>0</v>
      </c>
    </row>
    <row r="362" spans="1:10">
      <c r="A362" s="754"/>
      <c r="B362" s="777"/>
      <c r="C362" s="12">
        <v>2016</v>
      </c>
      <c r="D362" s="20">
        <f>E362+F362+G362+H362+I362</f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18">
        <f t="shared" si="97"/>
        <v>0</v>
      </c>
    </row>
    <row r="363" spans="1:10" ht="15.75" customHeight="1">
      <c r="A363" s="754"/>
      <c r="B363" s="777"/>
      <c r="C363" s="12">
        <v>2017</v>
      </c>
      <c r="D363" s="20">
        <f>E363+F363+G363+H363+I363</f>
        <v>0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18">
        <f t="shared" si="97"/>
        <v>0</v>
      </c>
    </row>
    <row r="364" spans="1:10">
      <c r="A364" s="754" t="s">
        <v>190</v>
      </c>
      <c r="B364" s="777" t="s">
        <v>191</v>
      </c>
      <c r="C364" s="16" t="s">
        <v>16</v>
      </c>
      <c r="D364" s="21">
        <f t="shared" ref="D364:I364" si="106">D365+D366+D367</f>
        <v>0</v>
      </c>
      <c r="E364" s="21">
        <f t="shared" si="106"/>
        <v>0</v>
      </c>
      <c r="F364" s="21">
        <f t="shared" si="106"/>
        <v>0</v>
      </c>
      <c r="G364" s="21">
        <f t="shared" si="106"/>
        <v>0</v>
      </c>
      <c r="H364" s="21">
        <f t="shared" si="106"/>
        <v>0</v>
      </c>
      <c r="I364" s="21">
        <f t="shared" si="106"/>
        <v>0</v>
      </c>
      <c r="J364" s="18">
        <f t="shared" si="97"/>
        <v>0</v>
      </c>
    </row>
    <row r="365" spans="1:10">
      <c r="A365" s="754"/>
      <c r="B365" s="777"/>
      <c r="C365" s="12">
        <v>2015</v>
      </c>
      <c r="D365" s="20">
        <f>E365+F365+G365+H365+I365</f>
        <v>0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18">
        <f t="shared" si="97"/>
        <v>0</v>
      </c>
    </row>
    <row r="366" spans="1:10">
      <c r="A366" s="754"/>
      <c r="B366" s="777"/>
      <c r="C366" s="12">
        <v>2016</v>
      </c>
      <c r="D366" s="20">
        <f>E366+F366+G366+H366+I366</f>
        <v>0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18">
        <f t="shared" si="97"/>
        <v>0</v>
      </c>
    </row>
    <row r="367" spans="1:10">
      <c r="A367" s="754"/>
      <c r="B367" s="777"/>
      <c r="C367" s="12">
        <v>2017</v>
      </c>
      <c r="D367" s="20">
        <f>E367+F367+G367+H367+I367</f>
        <v>0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18">
        <f t="shared" si="97"/>
        <v>0</v>
      </c>
    </row>
    <row r="368" spans="1:10">
      <c r="A368" s="754" t="s">
        <v>192</v>
      </c>
      <c r="B368" s="776" t="s">
        <v>193</v>
      </c>
      <c r="C368" s="16" t="s">
        <v>16</v>
      </c>
      <c r="D368" s="21">
        <f t="shared" ref="D368:I368" si="107">D369+D370+D371</f>
        <v>116.33070000000001</v>
      </c>
      <c r="E368" s="21">
        <f t="shared" si="107"/>
        <v>8.2619999999999999E-2</v>
      </c>
      <c r="F368" s="21">
        <f t="shared" si="107"/>
        <v>13.514699999999998</v>
      </c>
      <c r="G368" s="21">
        <f t="shared" si="107"/>
        <v>73.709000000000003</v>
      </c>
      <c r="H368" s="21">
        <f t="shared" si="107"/>
        <v>29.024380000000001</v>
      </c>
      <c r="I368" s="21">
        <f t="shared" si="107"/>
        <v>0</v>
      </c>
      <c r="J368" s="18">
        <f t="shared" ref="J368:J399" si="108">E368+F368+G368+H368+I368</f>
        <v>116.33070000000001</v>
      </c>
    </row>
    <row r="369" spans="1:10">
      <c r="A369" s="754"/>
      <c r="B369" s="776"/>
      <c r="C369" s="12">
        <v>2015</v>
      </c>
      <c r="D369" s="20">
        <f t="shared" ref="D369:I371" si="109">D373+D377+D381</f>
        <v>38.241100000000003</v>
      </c>
      <c r="E369" s="20">
        <f t="shared" si="109"/>
        <v>8.2619999999999999E-2</v>
      </c>
      <c r="F369" s="20">
        <f t="shared" si="109"/>
        <v>0</v>
      </c>
      <c r="G369" s="20">
        <f t="shared" si="109"/>
        <v>26.769100000000002</v>
      </c>
      <c r="H369" s="20">
        <f t="shared" si="109"/>
        <v>11.389379999999999</v>
      </c>
      <c r="I369" s="20">
        <f t="shared" si="109"/>
        <v>0</v>
      </c>
      <c r="J369" s="18">
        <f t="shared" si="108"/>
        <v>38.241100000000003</v>
      </c>
    </row>
    <row r="370" spans="1:10">
      <c r="A370" s="754"/>
      <c r="B370" s="776"/>
      <c r="C370" s="12">
        <v>2016</v>
      </c>
      <c r="D370" s="20">
        <f t="shared" si="109"/>
        <v>35.828000000000003</v>
      </c>
      <c r="E370" s="20">
        <f t="shared" si="109"/>
        <v>0</v>
      </c>
      <c r="F370" s="20">
        <f t="shared" si="109"/>
        <v>4.5048999999999992</v>
      </c>
      <c r="G370" s="20">
        <f t="shared" si="109"/>
        <v>22.505100000000002</v>
      </c>
      <c r="H370" s="20">
        <f t="shared" si="109"/>
        <v>8.8179999999999996</v>
      </c>
      <c r="I370" s="20">
        <f t="shared" si="109"/>
        <v>0</v>
      </c>
      <c r="J370" s="18">
        <f t="shared" si="108"/>
        <v>35.828000000000003</v>
      </c>
    </row>
    <row r="371" spans="1:10">
      <c r="A371" s="754"/>
      <c r="B371" s="776"/>
      <c r="C371" s="12">
        <v>2017</v>
      </c>
      <c r="D371" s="20">
        <f t="shared" si="109"/>
        <v>42.261600000000001</v>
      </c>
      <c r="E371" s="20">
        <f t="shared" si="109"/>
        <v>0</v>
      </c>
      <c r="F371" s="20">
        <f t="shared" si="109"/>
        <v>9.0097999999999985</v>
      </c>
      <c r="G371" s="20">
        <f t="shared" si="109"/>
        <v>24.434799999999999</v>
      </c>
      <c r="H371" s="20">
        <f t="shared" si="109"/>
        <v>8.8170000000000002</v>
      </c>
      <c r="I371" s="20">
        <f t="shared" si="109"/>
        <v>0</v>
      </c>
      <c r="J371" s="18">
        <f t="shared" si="108"/>
        <v>42.261599999999994</v>
      </c>
    </row>
    <row r="372" spans="1:10">
      <c r="A372" s="754" t="s">
        <v>194</v>
      </c>
      <c r="B372" s="777" t="s">
        <v>195</v>
      </c>
      <c r="C372" s="16" t="s">
        <v>16</v>
      </c>
      <c r="D372" s="21">
        <f t="shared" ref="D372:I372" si="110">D373+D374+D375</f>
        <v>87.843900000000005</v>
      </c>
      <c r="E372" s="21">
        <f t="shared" si="110"/>
        <v>0</v>
      </c>
      <c r="F372" s="21">
        <f t="shared" si="110"/>
        <v>0</v>
      </c>
      <c r="G372" s="21">
        <f t="shared" si="110"/>
        <v>61.490900000000003</v>
      </c>
      <c r="H372" s="21">
        <f t="shared" si="110"/>
        <v>26.353000000000002</v>
      </c>
      <c r="I372" s="21">
        <f t="shared" si="110"/>
        <v>0</v>
      </c>
      <c r="J372" s="18">
        <f t="shared" si="108"/>
        <v>87.843900000000005</v>
      </c>
    </row>
    <row r="373" spans="1:10">
      <c r="A373" s="754"/>
      <c r="B373" s="777"/>
      <c r="C373" s="12">
        <v>2015</v>
      </c>
      <c r="D373" s="20">
        <f>E373+F373+G373+H373+I373</f>
        <v>29.0611</v>
      </c>
      <c r="E373" s="20">
        <v>0</v>
      </c>
      <c r="F373" s="20">
        <v>0</v>
      </c>
      <c r="G373" s="20">
        <v>20.3431</v>
      </c>
      <c r="H373" s="20">
        <v>8.718</v>
      </c>
      <c r="I373" s="20">
        <v>0</v>
      </c>
      <c r="J373" s="18">
        <f t="shared" si="108"/>
        <v>29.0611</v>
      </c>
    </row>
    <row r="374" spans="1:10">
      <c r="A374" s="754"/>
      <c r="B374" s="777"/>
      <c r="C374" s="12">
        <v>2016</v>
      </c>
      <c r="D374" s="20">
        <f>E374+F374+G374+H374+I374</f>
        <v>29.392400000000002</v>
      </c>
      <c r="E374" s="20">
        <v>0</v>
      </c>
      <c r="F374" s="20">
        <v>0</v>
      </c>
      <c r="G374" s="20">
        <v>20.574400000000001</v>
      </c>
      <c r="H374" s="20">
        <v>8.8179999999999996</v>
      </c>
      <c r="I374" s="20">
        <v>0</v>
      </c>
      <c r="J374" s="18">
        <f t="shared" si="108"/>
        <v>29.392400000000002</v>
      </c>
    </row>
    <row r="375" spans="1:10">
      <c r="A375" s="754"/>
      <c r="B375" s="777"/>
      <c r="C375" s="12">
        <v>2017</v>
      </c>
      <c r="D375" s="20">
        <f>E375+F375+G375+H375+I375</f>
        <v>29.3904</v>
      </c>
      <c r="E375" s="20">
        <v>0</v>
      </c>
      <c r="F375" s="20">
        <v>0</v>
      </c>
      <c r="G375" s="20">
        <v>20.573399999999999</v>
      </c>
      <c r="H375" s="20">
        <v>8.8170000000000002</v>
      </c>
      <c r="I375" s="20">
        <v>0</v>
      </c>
      <c r="J375" s="18">
        <f t="shared" si="108"/>
        <v>29.3904</v>
      </c>
    </row>
    <row r="376" spans="1:10">
      <c r="A376" s="754" t="s">
        <v>196</v>
      </c>
      <c r="B376" s="777" t="s">
        <v>197</v>
      </c>
      <c r="C376" s="16" t="s">
        <v>16</v>
      </c>
      <c r="D376" s="21">
        <f t="shared" ref="D376:I376" si="111">D377+D378+D379</f>
        <v>9.18</v>
      </c>
      <c r="E376" s="33">
        <f t="shared" si="111"/>
        <v>8.2619999999999999E-2</v>
      </c>
      <c r="F376" s="21">
        <f t="shared" si="111"/>
        <v>0</v>
      </c>
      <c r="G376" s="21">
        <f t="shared" si="111"/>
        <v>6.4260000000000002</v>
      </c>
      <c r="H376" s="21">
        <f t="shared" si="111"/>
        <v>2.6713800000000001</v>
      </c>
      <c r="I376" s="21">
        <f t="shared" si="111"/>
        <v>0</v>
      </c>
      <c r="J376" s="18">
        <f t="shared" si="108"/>
        <v>9.18</v>
      </c>
    </row>
    <row r="377" spans="1:10">
      <c r="A377" s="754"/>
      <c r="B377" s="777"/>
      <c r="C377" s="12">
        <v>2015</v>
      </c>
      <c r="D377" s="20">
        <f>E377+F377+G377+H377+I377</f>
        <v>9.18</v>
      </c>
      <c r="E377" s="34">
        <f>82.62/1000</f>
        <v>8.2619999999999999E-2</v>
      </c>
      <c r="F377" s="23">
        <v>0</v>
      </c>
      <c r="G377" s="23">
        <f>6426/1000</f>
        <v>6.4260000000000002</v>
      </c>
      <c r="H377" s="23">
        <f>2671.38/1000</f>
        <v>2.6713800000000001</v>
      </c>
      <c r="I377" s="23">
        <v>0</v>
      </c>
      <c r="J377" s="18">
        <f t="shared" si="108"/>
        <v>9.18</v>
      </c>
    </row>
    <row r="378" spans="1:10">
      <c r="A378" s="754"/>
      <c r="B378" s="777"/>
      <c r="C378" s="12">
        <v>2016</v>
      </c>
      <c r="D378" s="21">
        <v>0</v>
      </c>
      <c r="E378" s="33">
        <v>0</v>
      </c>
      <c r="F378" s="21">
        <v>0</v>
      </c>
      <c r="G378" s="21">
        <v>0</v>
      </c>
      <c r="H378" s="21">
        <v>0</v>
      </c>
      <c r="I378" s="21">
        <v>0</v>
      </c>
      <c r="J378" s="18">
        <f t="shared" si="108"/>
        <v>0</v>
      </c>
    </row>
    <row r="379" spans="1:10">
      <c r="A379" s="754"/>
      <c r="B379" s="777"/>
      <c r="C379" s="12">
        <v>2017</v>
      </c>
      <c r="D379" s="20">
        <f>E379+F379+G379+H379+I379</f>
        <v>0</v>
      </c>
      <c r="E379" s="34">
        <v>0</v>
      </c>
      <c r="F379" s="23">
        <v>0</v>
      </c>
      <c r="G379" s="23">
        <v>0</v>
      </c>
      <c r="H379" s="23">
        <v>0</v>
      </c>
      <c r="I379" s="23">
        <v>0</v>
      </c>
      <c r="J379" s="18">
        <f t="shared" si="108"/>
        <v>0</v>
      </c>
    </row>
    <row r="380" spans="1:10">
      <c r="A380" s="754" t="s">
        <v>198</v>
      </c>
      <c r="B380" s="777" t="s">
        <v>199</v>
      </c>
      <c r="C380" s="16" t="s">
        <v>16</v>
      </c>
      <c r="D380" s="21">
        <f t="shared" ref="D380:I380" si="112">D381+D382+D383</f>
        <v>19.306799999999996</v>
      </c>
      <c r="E380" s="21">
        <f t="shared" si="112"/>
        <v>0</v>
      </c>
      <c r="F380" s="21">
        <f t="shared" si="112"/>
        <v>13.514699999999998</v>
      </c>
      <c r="G380" s="21">
        <f t="shared" si="112"/>
        <v>5.7921000000000005</v>
      </c>
      <c r="H380" s="21">
        <f t="shared" si="112"/>
        <v>0</v>
      </c>
      <c r="I380" s="21">
        <f t="shared" si="112"/>
        <v>0</v>
      </c>
      <c r="J380" s="18">
        <f t="shared" si="108"/>
        <v>19.306799999999999</v>
      </c>
    </row>
    <row r="381" spans="1:10">
      <c r="A381" s="754"/>
      <c r="B381" s="777"/>
      <c r="C381" s="12">
        <v>2015</v>
      </c>
      <c r="D381" s="20">
        <f>E381+F381+G381+H381+I381</f>
        <v>0</v>
      </c>
      <c r="E381" s="20">
        <v>0</v>
      </c>
      <c r="F381" s="23">
        <v>0</v>
      </c>
      <c r="G381" s="23">
        <v>0</v>
      </c>
      <c r="H381" s="20">
        <v>0</v>
      </c>
      <c r="I381" s="20">
        <v>0</v>
      </c>
      <c r="J381" s="18">
        <f t="shared" si="108"/>
        <v>0</v>
      </c>
    </row>
    <row r="382" spans="1:10">
      <c r="A382" s="754"/>
      <c r="B382" s="777"/>
      <c r="C382" s="12">
        <v>2016</v>
      </c>
      <c r="D382" s="20">
        <f>E382+F382+G382+H382+I382</f>
        <v>6.4355999999999991</v>
      </c>
      <c r="E382" s="23">
        <v>0</v>
      </c>
      <c r="F382" s="23">
        <f>4504.9/1000</f>
        <v>4.5048999999999992</v>
      </c>
      <c r="G382" s="23">
        <f>1930.7/1000</f>
        <v>1.9307000000000001</v>
      </c>
      <c r="H382" s="23">
        <v>0</v>
      </c>
      <c r="I382" s="23">
        <v>0</v>
      </c>
      <c r="J382" s="18">
        <f t="shared" si="108"/>
        <v>6.4355999999999991</v>
      </c>
    </row>
    <row r="383" spans="1:10">
      <c r="A383" s="754"/>
      <c r="B383" s="777"/>
      <c r="C383" s="12">
        <v>2017</v>
      </c>
      <c r="D383" s="20">
        <f>E383+F383+G383+H383+I383</f>
        <v>12.871199999999998</v>
      </c>
      <c r="E383" s="23">
        <v>0</v>
      </c>
      <c r="F383" s="23">
        <f>9009.8/1000</f>
        <v>9.0097999999999985</v>
      </c>
      <c r="G383" s="23">
        <f>3861.4/1000</f>
        <v>3.8614000000000002</v>
      </c>
      <c r="H383" s="23">
        <v>0</v>
      </c>
      <c r="I383" s="23">
        <v>0</v>
      </c>
      <c r="J383" s="18">
        <f t="shared" si="108"/>
        <v>12.871199999999998</v>
      </c>
    </row>
    <row r="384" spans="1:10" s="14" customFormat="1">
      <c r="A384" s="754" t="s">
        <v>200</v>
      </c>
      <c r="B384" s="778" t="s">
        <v>201</v>
      </c>
      <c r="C384" s="16" t="s">
        <v>16</v>
      </c>
      <c r="D384" s="17">
        <f>D385+D386+D387</f>
        <v>11</v>
      </c>
      <c r="E384" s="17">
        <f>E385+E386+E387</f>
        <v>0</v>
      </c>
      <c r="F384" s="17">
        <f>F385+F386+F387</f>
        <v>0</v>
      </c>
      <c r="G384" s="17">
        <f>G385+G386+G387</f>
        <v>0</v>
      </c>
      <c r="H384" s="17">
        <f>H385+H386+H387</f>
        <v>11</v>
      </c>
      <c r="I384" s="17">
        <v>0</v>
      </c>
      <c r="J384" s="18">
        <f t="shared" si="108"/>
        <v>11</v>
      </c>
    </row>
    <row r="385" spans="1:10" s="14" customFormat="1">
      <c r="A385" s="754"/>
      <c r="B385" s="778"/>
      <c r="C385" s="16">
        <v>2015</v>
      </c>
      <c r="D385" s="17">
        <f t="shared" ref="D385:H386" si="113">D389+D393+D397+D401+D405+D409</f>
        <v>5.5</v>
      </c>
      <c r="E385" s="17">
        <f t="shared" si="113"/>
        <v>0</v>
      </c>
      <c r="F385" s="17">
        <f t="shared" si="113"/>
        <v>0</v>
      </c>
      <c r="G385" s="17">
        <f t="shared" si="113"/>
        <v>0</v>
      </c>
      <c r="H385" s="17">
        <f t="shared" si="113"/>
        <v>5.5</v>
      </c>
      <c r="I385" s="17">
        <v>0</v>
      </c>
      <c r="J385" s="18">
        <f t="shared" si="108"/>
        <v>5.5</v>
      </c>
    </row>
    <row r="386" spans="1:10" s="14" customFormat="1">
      <c r="A386" s="754"/>
      <c r="B386" s="778"/>
      <c r="C386" s="16">
        <v>2016</v>
      </c>
      <c r="D386" s="17">
        <f t="shared" si="113"/>
        <v>5.5</v>
      </c>
      <c r="E386" s="17">
        <f t="shared" si="113"/>
        <v>0</v>
      </c>
      <c r="F386" s="17">
        <f t="shared" si="113"/>
        <v>0</v>
      </c>
      <c r="G386" s="17">
        <f t="shared" si="113"/>
        <v>0</v>
      </c>
      <c r="H386" s="17">
        <f t="shared" si="113"/>
        <v>5.5</v>
      </c>
      <c r="I386" s="17">
        <v>0</v>
      </c>
      <c r="J386" s="18">
        <f t="shared" si="108"/>
        <v>5.5</v>
      </c>
    </row>
    <row r="387" spans="1:10" s="14" customFormat="1">
      <c r="A387" s="754"/>
      <c r="B387" s="778"/>
      <c r="C387" s="16">
        <v>2017</v>
      </c>
      <c r="D387" s="17">
        <f>D391+D395+D399+D403+D407+D411</f>
        <v>0</v>
      </c>
      <c r="E387" s="17">
        <f t="shared" ref="E387:G392" si="114">E388+E389+E390</f>
        <v>0</v>
      </c>
      <c r="F387" s="17">
        <f t="shared" si="114"/>
        <v>0</v>
      </c>
      <c r="G387" s="17">
        <f t="shared" si="114"/>
        <v>0</v>
      </c>
      <c r="H387" s="17">
        <v>0</v>
      </c>
      <c r="I387" s="17">
        <v>0</v>
      </c>
      <c r="J387" s="18">
        <f t="shared" si="108"/>
        <v>0</v>
      </c>
    </row>
    <row r="388" spans="1:10">
      <c r="A388" s="754" t="s">
        <v>202</v>
      </c>
      <c r="B388" s="763" t="s">
        <v>203</v>
      </c>
      <c r="C388" s="16" t="s">
        <v>16</v>
      </c>
      <c r="D388" s="20">
        <f>D389+D390+D391</f>
        <v>2</v>
      </c>
      <c r="E388" s="20">
        <f t="shared" si="114"/>
        <v>0</v>
      </c>
      <c r="F388" s="20">
        <f t="shared" si="114"/>
        <v>0</v>
      </c>
      <c r="G388" s="20">
        <f t="shared" si="114"/>
        <v>0</v>
      </c>
      <c r="H388" s="20">
        <f>H389+H390+H391</f>
        <v>2</v>
      </c>
      <c r="I388" s="20">
        <v>0</v>
      </c>
      <c r="J388" s="18">
        <f t="shared" si="108"/>
        <v>2</v>
      </c>
    </row>
    <row r="389" spans="1:10">
      <c r="A389" s="754"/>
      <c r="B389" s="763"/>
      <c r="C389" s="12">
        <v>2015</v>
      </c>
      <c r="D389" s="20">
        <f>E389+F389+G389+H389+I389</f>
        <v>1</v>
      </c>
      <c r="E389" s="20">
        <f t="shared" si="114"/>
        <v>0</v>
      </c>
      <c r="F389" s="20">
        <f t="shared" si="114"/>
        <v>0</v>
      </c>
      <c r="G389" s="20">
        <f t="shared" si="114"/>
        <v>0</v>
      </c>
      <c r="H389" s="20">
        <v>1</v>
      </c>
      <c r="I389" s="20">
        <v>0</v>
      </c>
      <c r="J389" s="18">
        <f t="shared" si="108"/>
        <v>1</v>
      </c>
    </row>
    <row r="390" spans="1:10">
      <c r="A390" s="754"/>
      <c r="B390" s="763"/>
      <c r="C390" s="12">
        <v>2016</v>
      </c>
      <c r="D390" s="20">
        <f>E390+F390+G390+H390+I390</f>
        <v>1</v>
      </c>
      <c r="E390" s="20">
        <f t="shared" si="114"/>
        <v>0</v>
      </c>
      <c r="F390" s="20">
        <f t="shared" si="114"/>
        <v>0</v>
      </c>
      <c r="G390" s="20">
        <f t="shared" si="114"/>
        <v>0</v>
      </c>
      <c r="H390" s="20">
        <v>1</v>
      </c>
      <c r="I390" s="20">
        <v>0</v>
      </c>
      <c r="J390" s="18">
        <f t="shared" si="108"/>
        <v>1</v>
      </c>
    </row>
    <row r="391" spans="1:10">
      <c r="A391" s="754"/>
      <c r="B391" s="763"/>
      <c r="C391" s="12">
        <v>2017</v>
      </c>
      <c r="D391" s="20">
        <f>E391+F391+G391+H391+I391</f>
        <v>0</v>
      </c>
      <c r="E391" s="20">
        <f t="shared" si="114"/>
        <v>0</v>
      </c>
      <c r="F391" s="20">
        <f t="shared" si="114"/>
        <v>0</v>
      </c>
      <c r="G391" s="20">
        <f t="shared" si="114"/>
        <v>0</v>
      </c>
      <c r="H391" s="20">
        <v>0</v>
      </c>
      <c r="I391" s="20">
        <v>0</v>
      </c>
      <c r="J391" s="18">
        <f t="shared" si="108"/>
        <v>0</v>
      </c>
    </row>
    <row r="392" spans="1:10">
      <c r="A392" s="754" t="s">
        <v>204</v>
      </c>
      <c r="B392" s="763" t="s">
        <v>205</v>
      </c>
      <c r="C392" s="16" t="s">
        <v>16</v>
      </c>
      <c r="D392" s="20">
        <f>D393+D394+D395</f>
        <v>2</v>
      </c>
      <c r="E392" s="20">
        <f t="shared" si="114"/>
        <v>0</v>
      </c>
      <c r="F392" s="20">
        <f t="shared" si="114"/>
        <v>0</v>
      </c>
      <c r="G392" s="20">
        <f t="shared" si="114"/>
        <v>0</v>
      </c>
      <c r="H392" s="20">
        <f>H393+H394+H395</f>
        <v>2</v>
      </c>
      <c r="I392" s="20">
        <v>0</v>
      </c>
      <c r="J392" s="18">
        <f t="shared" si="108"/>
        <v>2</v>
      </c>
    </row>
    <row r="393" spans="1:10">
      <c r="A393" s="754"/>
      <c r="B393" s="763"/>
      <c r="C393" s="12">
        <v>2015</v>
      </c>
      <c r="D393" s="20">
        <f>E393+F393+G393+H393+I393</f>
        <v>1</v>
      </c>
      <c r="E393" s="20">
        <v>0</v>
      </c>
      <c r="F393" s="20">
        <v>0</v>
      </c>
      <c r="G393" s="20">
        <v>0</v>
      </c>
      <c r="H393" s="20">
        <v>1</v>
      </c>
      <c r="I393" s="20">
        <v>0</v>
      </c>
      <c r="J393" s="18">
        <f t="shared" si="108"/>
        <v>1</v>
      </c>
    </row>
    <row r="394" spans="1:10">
      <c r="A394" s="754"/>
      <c r="B394" s="763"/>
      <c r="C394" s="12">
        <v>2016</v>
      </c>
      <c r="D394" s="20">
        <f>E394+F394+G394+H394+I394</f>
        <v>1</v>
      </c>
      <c r="E394" s="20">
        <v>0</v>
      </c>
      <c r="F394" s="20">
        <v>0</v>
      </c>
      <c r="G394" s="20">
        <v>0</v>
      </c>
      <c r="H394" s="20">
        <v>1</v>
      </c>
      <c r="I394" s="20">
        <v>0</v>
      </c>
      <c r="J394" s="18">
        <f t="shared" si="108"/>
        <v>1</v>
      </c>
    </row>
    <row r="395" spans="1:10">
      <c r="A395" s="754"/>
      <c r="B395" s="763"/>
      <c r="C395" s="12">
        <v>2017</v>
      </c>
      <c r="D395" s="20">
        <f>E395+F395+G395+H395+I395</f>
        <v>0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18">
        <f t="shared" si="108"/>
        <v>0</v>
      </c>
    </row>
    <row r="396" spans="1:10">
      <c r="A396" s="754" t="s">
        <v>206</v>
      </c>
      <c r="B396" s="763" t="s">
        <v>207</v>
      </c>
      <c r="C396" s="16" t="s">
        <v>16</v>
      </c>
      <c r="D396" s="20">
        <f>D397+D398+D399</f>
        <v>2</v>
      </c>
      <c r="E396" s="20">
        <f>E397+E398+E399</f>
        <v>0</v>
      </c>
      <c r="F396" s="20">
        <f>F397+F398+F399</f>
        <v>0</v>
      </c>
      <c r="G396" s="20">
        <f>G397+G398+G399</f>
        <v>0</v>
      </c>
      <c r="H396" s="20">
        <f>H397+H398+H399</f>
        <v>2</v>
      </c>
      <c r="I396" s="20">
        <v>0</v>
      </c>
      <c r="J396" s="18">
        <f t="shared" si="108"/>
        <v>2</v>
      </c>
    </row>
    <row r="397" spans="1:10">
      <c r="A397" s="754"/>
      <c r="B397" s="763"/>
      <c r="C397" s="12">
        <v>2015</v>
      </c>
      <c r="D397" s="20">
        <f>E397+F397+G397+H397+I397</f>
        <v>1</v>
      </c>
      <c r="E397" s="20">
        <v>0</v>
      </c>
      <c r="F397" s="20">
        <v>0</v>
      </c>
      <c r="G397" s="20">
        <v>0</v>
      </c>
      <c r="H397" s="20">
        <v>1</v>
      </c>
      <c r="I397" s="20">
        <v>0</v>
      </c>
      <c r="J397" s="18">
        <f t="shared" si="108"/>
        <v>1</v>
      </c>
    </row>
    <row r="398" spans="1:10">
      <c r="A398" s="754"/>
      <c r="B398" s="763"/>
      <c r="C398" s="12">
        <v>2016</v>
      </c>
      <c r="D398" s="20">
        <f>E398+F398+G398+H398+I398</f>
        <v>1</v>
      </c>
      <c r="E398" s="20">
        <v>0</v>
      </c>
      <c r="F398" s="20">
        <v>0</v>
      </c>
      <c r="G398" s="20">
        <v>0</v>
      </c>
      <c r="H398" s="20">
        <v>1</v>
      </c>
      <c r="I398" s="20">
        <v>0</v>
      </c>
      <c r="J398" s="18">
        <f t="shared" si="108"/>
        <v>1</v>
      </c>
    </row>
    <row r="399" spans="1:10">
      <c r="A399" s="754"/>
      <c r="B399" s="763"/>
      <c r="C399" s="12">
        <v>2017</v>
      </c>
      <c r="D399" s="20">
        <f>E399+F399+G399+H399+I399</f>
        <v>0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18">
        <f t="shared" si="108"/>
        <v>0</v>
      </c>
    </row>
    <row r="400" spans="1:10">
      <c r="A400" s="754" t="s">
        <v>208</v>
      </c>
      <c r="B400" s="780" t="s">
        <v>209</v>
      </c>
      <c r="C400" s="16" t="s">
        <v>16</v>
      </c>
      <c r="D400" s="20">
        <f>D401+D402+D403</f>
        <v>2</v>
      </c>
      <c r="E400" s="20">
        <f>E401+E402+E403</f>
        <v>0</v>
      </c>
      <c r="F400" s="20">
        <f>F401+F402+F403</f>
        <v>0</v>
      </c>
      <c r="G400" s="20">
        <f>G401+G402+G403</f>
        <v>0</v>
      </c>
      <c r="H400" s="20">
        <f>H401+H402+H403</f>
        <v>2</v>
      </c>
      <c r="I400" s="20">
        <v>0</v>
      </c>
      <c r="J400" s="18">
        <f t="shared" ref="J400:J411" si="115">E400+F400+G400+H400+I400</f>
        <v>2</v>
      </c>
    </row>
    <row r="401" spans="1:10">
      <c r="A401" s="754"/>
      <c r="B401" s="780"/>
      <c r="C401" s="12">
        <v>2015</v>
      </c>
      <c r="D401" s="20">
        <f t="shared" ref="D401:D411" si="116">E401+F401+G401+H401+I401</f>
        <v>1</v>
      </c>
      <c r="E401" s="20">
        <v>0</v>
      </c>
      <c r="F401" s="20">
        <v>0</v>
      </c>
      <c r="G401" s="20">
        <v>0</v>
      </c>
      <c r="H401" s="20">
        <v>1</v>
      </c>
      <c r="I401" s="20">
        <v>0</v>
      </c>
      <c r="J401" s="18">
        <f t="shared" si="115"/>
        <v>1</v>
      </c>
    </row>
    <row r="402" spans="1:10">
      <c r="A402" s="754"/>
      <c r="B402" s="780"/>
      <c r="C402" s="12">
        <v>2016</v>
      </c>
      <c r="D402" s="20">
        <f t="shared" si="116"/>
        <v>1</v>
      </c>
      <c r="E402" s="20">
        <v>0</v>
      </c>
      <c r="F402" s="20">
        <v>0</v>
      </c>
      <c r="G402" s="20">
        <v>0</v>
      </c>
      <c r="H402" s="20">
        <v>1</v>
      </c>
      <c r="I402" s="20">
        <v>0</v>
      </c>
      <c r="J402" s="18">
        <f t="shared" si="115"/>
        <v>1</v>
      </c>
    </row>
    <row r="403" spans="1:10">
      <c r="A403" s="754"/>
      <c r="B403" s="780"/>
      <c r="C403" s="12">
        <v>2017</v>
      </c>
      <c r="D403" s="20">
        <f t="shared" si="116"/>
        <v>0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18">
        <f t="shared" si="115"/>
        <v>0</v>
      </c>
    </row>
    <row r="404" spans="1:10">
      <c r="A404" s="754" t="s">
        <v>210</v>
      </c>
      <c r="B404" s="780" t="s">
        <v>211</v>
      </c>
      <c r="C404" s="16" t="s">
        <v>16</v>
      </c>
      <c r="D404" s="20">
        <f t="shared" si="116"/>
        <v>2.5</v>
      </c>
      <c r="E404" s="20">
        <f>E405+E406+E407</f>
        <v>0</v>
      </c>
      <c r="F404" s="20">
        <f>F405+F406+F407</f>
        <v>0</v>
      </c>
      <c r="G404" s="20">
        <f>G405+G406+G407</f>
        <v>0</v>
      </c>
      <c r="H404" s="20">
        <f>H405+H406+H407</f>
        <v>2.5</v>
      </c>
      <c r="I404" s="20">
        <v>0</v>
      </c>
      <c r="J404" s="18">
        <f t="shared" si="115"/>
        <v>2.5</v>
      </c>
    </row>
    <row r="405" spans="1:10">
      <c r="A405" s="754"/>
      <c r="B405" s="780"/>
      <c r="C405" s="12">
        <v>2015</v>
      </c>
      <c r="D405" s="20">
        <f t="shared" si="116"/>
        <v>1</v>
      </c>
      <c r="E405" s="20">
        <v>0</v>
      </c>
      <c r="F405" s="20">
        <v>0</v>
      </c>
      <c r="G405" s="20">
        <v>0</v>
      </c>
      <c r="H405" s="20">
        <v>1</v>
      </c>
      <c r="I405" s="20">
        <v>0</v>
      </c>
      <c r="J405" s="18">
        <f t="shared" si="115"/>
        <v>1</v>
      </c>
    </row>
    <row r="406" spans="1:10">
      <c r="A406" s="754"/>
      <c r="B406" s="780"/>
      <c r="C406" s="12">
        <v>2016</v>
      </c>
      <c r="D406" s="20">
        <f t="shared" si="116"/>
        <v>1.5</v>
      </c>
      <c r="E406" s="20">
        <v>0</v>
      </c>
      <c r="F406" s="20">
        <v>0</v>
      </c>
      <c r="G406" s="20">
        <v>0</v>
      </c>
      <c r="H406" s="20">
        <v>1.5</v>
      </c>
      <c r="I406" s="20">
        <v>0</v>
      </c>
      <c r="J406" s="18">
        <f t="shared" si="115"/>
        <v>1.5</v>
      </c>
    </row>
    <row r="407" spans="1:10">
      <c r="A407" s="754"/>
      <c r="B407" s="780"/>
      <c r="C407" s="12">
        <v>2017</v>
      </c>
      <c r="D407" s="20">
        <f t="shared" si="116"/>
        <v>0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18">
        <f t="shared" si="115"/>
        <v>0</v>
      </c>
    </row>
    <row r="408" spans="1:10">
      <c r="A408" s="754" t="s">
        <v>212</v>
      </c>
      <c r="B408" s="763" t="s">
        <v>213</v>
      </c>
      <c r="C408" s="16" t="s">
        <v>16</v>
      </c>
      <c r="D408" s="20">
        <f t="shared" si="116"/>
        <v>0.5</v>
      </c>
      <c r="E408" s="20">
        <f>E409+E410+E411</f>
        <v>0</v>
      </c>
      <c r="F408" s="20">
        <f>F409+F410+F411</f>
        <v>0</v>
      </c>
      <c r="G408" s="20">
        <f>G409+G410+G411</f>
        <v>0</v>
      </c>
      <c r="H408" s="20">
        <f>H409+H410+H411</f>
        <v>0.5</v>
      </c>
      <c r="I408" s="20">
        <v>0</v>
      </c>
      <c r="J408" s="18">
        <f t="shared" si="115"/>
        <v>0.5</v>
      </c>
    </row>
    <row r="409" spans="1:10">
      <c r="A409" s="754"/>
      <c r="B409" s="763"/>
      <c r="C409" s="12">
        <v>2015</v>
      </c>
      <c r="D409" s="20">
        <f t="shared" si="116"/>
        <v>0.5</v>
      </c>
      <c r="E409" s="20">
        <v>0</v>
      </c>
      <c r="F409" s="20">
        <v>0</v>
      </c>
      <c r="G409" s="20">
        <v>0</v>
      </c>
      <c r="H409" s="20">
        <v>0.5</v>
      </c>
      <c r="I409" s="20">
        <v>0</v>
      </c>
      <c r="J409" s="18">
        <f t="shared" si="115"/>
        <v>0.5</v>
      </c>
    </row>
    <row r="410" spans="1:10">
      <c r="A410" s="754"/>
      <c r="B410" s="763"/>
      <c r="C410" s="12">
        <v>2016</v>
      </c>
      <c r="D410" s="20">
        <f t="shared" si="116"/>
        <v>0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18">
        <f t="shared" si="115"/>
        <v>0</v>
      </c>
    </row>
    <row r="411" spans="1:10">
      <c r="A411" s="754"/>
      <c r="B411" s="763"/>
      <c r="C411" s="12">
        <v>2017</v>
      </c>
      <c r="D411" s="20">
        <f t="shared" si="116"/>
        <v>0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18">
        <f t="shared" si="115"/>
        <v>0</v>
      </c>
    </row>
    <row r="412" spans="1:10" ht="15.75" customHeight="1">
      <c r="A412" s="754" t="s">
        <v>214</v>
      </c>
      <c r="B412" s="778" t="s">
        <v>215</v>
      </c>
      <c r="C412" s="16" t="s">
        <v>16</v>
      </c>
      <c r="D412" s="35">
        <f t="shared" ref="D412:I412" si="117">D413+D414+D415</f>
        <v>35574.5</v>
      </c>
      <c r="E412" s="35">
        <f t="shared" si="117"/>
        <v>0</v>
      </c>
      <c r="F412" s="35">
        <f t="shared" si="117"/>
        <v>0</v>
      </c>
      <c r="G412" s="35">
        <f t="shared" si="117"/>
        <v>0</v>
      </c>
      <c r="H412" s="35">
        <f t="shared" si="117"/>
        <v>35574.5</v>
      </c>
      <c r="I412" s="35">
        <f t="shared" si="117"/>
        <v>0</v>
      </c>
      <c r="J412" s="18"/>
    </row>
    <row r="413" spans="1:10">
      <c r="A413" s="754"/>
      <c r="B413" s="778"/>
      <c r="C413" s="12">
        <v>2015</v>
      </c>
      <c r="D413" s="36">
        <f>D449+D453</f>
        <v>4703.37</v>
      </c>
      <c r="E413" s="36">
        <f>E341+E449+E453</f>
        <v>0</v>
      </c>
      <c r="F413" s="36">
        <f>F449+F453</f>
        <v>0</v>
      </c>
      <c r="G413" s="36">
        <f>G449+G453</f>
        <v>0</v>
      </c>
      <c r="H413" s="37">
        <f>H449+H453</f>
        <v>4703.37</v>
      </c>
      <c r="I413" s="37">
        <f>I341+I449+I453</f>
        <v>0</v>
      </c>
      <c r="J413" s="18"/>
    </row>
    <row r="414" spans="1:10">
      <c r="A414" s="754"/>
      <c r="B414" s="778"/>
      <c r="C414" s="12">
        <v>2016</v>
      </c>
      <c r="D414" s="36">
        <f>I414+H414+G414+F414</f>
        <v>13339.7</v>
      </c>
      <c r="E414" s="36">
        <f>E342+E450+E454</f>
        <v>0</v>
      </c>
      <c r="F414" s="36">
        <f>F450+F454</f>
        <v>0</v>
      </c>
      <c r="G414" s="36">
        <f>G450+G454</f>
        <v>0</v>
      </c>
      <c r="H414" s="37">
        <f>H450</f>
        <v>13339.7</v>
      </c>
      <c r="I414" s="37">
        <f>I342+I450+I454</f>
        <v>0</v>
      </c>
      <c r="J414" s="18"/>
    </row>
    <row r="415" spans="1:10">
      <c r="A415" s="754"/>
      <c r="B415" s="778"/>
      <c r="C415" s="12">
        <v>2017</v>
      </c>
      <c r="D415" s="36">
        <f>D451+D455</f>
        <v>17531.43</v>
      </c>
      <c r="E415" s="37">
        <f>E451+E455</f>
        <v>0</v>
      </c>
      <c r="F415" s="37">
        <f>F451+F455</f>
        <v>0</v>
      </c>
      <c r="G415" s="37">
        <f>G451+G455</f>
        <v>0</v>
      </c>
      <c r="H415" s="37">
        <f>H451+H455</f>
        <v>17531.43</v>
      </c>
      <c r="I415" s="37">
        <f>I451+I455</f>
        <v>0</v>
      </c>
      <c r="J415" s="18"/>
    </row>
    <row r="416" spans="1:10">
      <c r="A416" s="754" t="s">
        <v>216</v>
      </c>
      <c r="B416" s="768" t="s">
        <v>217</v>
      </c>
      <c r="C416" s="16" t="s">
        <v>16</v>
      </c>
      <c r="D416" s="20">
        <v>0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18"/>
    </row>
    <row r="417" spans="1:10">
      <c r="A417" s="754"/>
      <c r="B417" s="768"/>
      <c r="C417" s="12">
        <v>2015</v>
      </c>
      <c r="D417" s="20">
        <v>0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18"/>
    </row>
    <row r="418" spans="1:10">
      <c r="A418" s="754"/>
      <c r="B418" s="768"/>
      <c r="C418" s="12">
        <v>2016</v>
      </c>
      <c r="D418" s="20">
        <v>0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18"/>
    </row>
    <row r="419" spans="1:10">
      <c r="A419" s="754"/>
      <c r="B419" s="768"/>
      <c r="C419" s="12">
        <v>2017</v>
      </c>
      <c r="D419" s="20">
        <v>0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18"/>
    </row>
    <row r="420" spans="1:10">
      <c r="A420" s="754" t="s">
        <v>218</v>
      </c>
      <c r="B420" s="768" t="s">
        <v>219</v>
      </c>
      <c r="C420" s="16" t="s">
        <v>16</v>
      </c>
      <c r="D420" s="20">
        <v>0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18"/>
    </row>
    <row r="421" spans="1:10">
      <c r="A421" s="754"/>
      <c r="B421" s="768"/>
      <c r="C421" s="12">
        <v>2015</v>
      </c>
      <c r="D421" s="20">
        <v>0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18"/>
    </row>
    <row r="422" spans="1:10">
      <c r="A422" s="754"/>
      <c r="B422" s="768"/>
      <c r="C422" s="12">
        <v>2016</v>
      </c>
      <c r="D422" s="20">
        <v>0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18"/>
    </row>
    <row r="423" spans="1:10">
      <c r="A423" s="754"/>
      <c r="B423" s="768"/>
      <c r="C423" s="12">
        <v>2017</v>
      </c>
      <c r="D423" s="20">
        <v>0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18"/>
    </row>
    <row r="424" spans="1:10">
      <c r="A424" s="754" t="s">
        <v>220</v>
      </c>
      <c r="B424" s="768" t="s">
        <v>221</v>
      </c>
      <c r="C424" s="16" t="s">
        <v>16</v>
      </c>
      <c r="D424" s="20">
        <v>0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18"/>
    </row>
    <row r="425" spans="1:10">
      <c r="A425" s="754"/>
      <c r="B425" s="768"/>
      <c r="C425" s="12">
        <v>2015</v>
      </c>
      <c r="D425" s="20">
        <v>0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18"/>
    </row>
    <row r="426" spans="1:10">
      <c r="A426" s="754"/>
      <c r="B426" s="768"/>
      <c r="C426" s="12">
        <v>2016</v>
      </c>
      <c r="D426" s="20">
        <v>0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18"/>
    </row>
    <row r="427" spans="1:10">
      <c r="A427" s="754"/>
      <c r="B427" s="768"/>
      <c r="C427" s="12">
        <v>2017</v>
      </c>
      <c r="D427" s="20">
        <v>0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18"/>
    </row>
    <row r="428" spans="1:10">
      <c r="A428" s="754" t="s">
        <v>222</v>
      </c>
      <c r="B428" s="768" t="s">
        <v>223</v>
      </c>
      <c r="C428" s="16" t="s">
        <v>16</v>
      </c>
      <c r="D428" s="20">
        <v>0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18"/>
    </row>
    <row r="429" spans="1:10">
      <c r="A429" s="754"/>
      <c r="B429" s="768"/>
      <c r="C429" s="12">
        <v>2015</v>
      </c>
      <c r="D429" s="20">
        <v>0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18"/>
    </row>
    <row r="430" spans="1:10">
      <c r="A430" s="754"/>
      <c r="B430" s="768"/>
      <c r="C430" s="12">
        <v>2016</v>
      </c>
      <c r="D430" s="20">
        <v>0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18"/>
    </row>
    <row r="431" spans="1:10">
      <c r="A431" s="754"/>
      <c r="B431" s="768"/>
      <c r="C431" s="12">
        <v>2017</v>
      </c>
      <c r="D431" s="20">
        <v>0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18"/>
    </row>
    <row r="432" spans="1:10">
      <c r="A432" s="754" t="s">
        <v>224</v>
      </c>
      <c r="B432" s="768" t="s">
        <v>225</v>
      </c>
      <c r="C432" s="16" t="s">
        <v>16</v>
      </c>
      <c r="D432" s="20">
        <v>0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18"/>
    </row>
    <row r="433" spans="1:10">
      <c r="A433" s="754"/>
      <c r="B433" s="768"/>
      <c r="C433" s="12">
        <v>2015</v>
      </c>
      <c r="D433" s="20">
        <v>0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18"/>
    </row>
    <row r="434" spans="1:10">
      <c r="A434" s="754"/>
      <c r="B434" s="768"/>
      <c r="C434" s="12">
        <v>2016</v>
      </c>
      <c r="D434" s="20">
        <v>0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18"/>
    </row>
    <row r="435" spans="1:10">
      <c r="A435" s="754"/>
      <c r="B435" s="768"/>
      <c r="C435" s="12">
        <v>2017</v>
      </c>
      <c r="D435" s="20">
        <v>0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18"/>
    </row>
    <row r="436" spans="1:10">
      <c r="A436" s="754" t="s">
        <v>226</v>
      </c>
      <c r="B436" s="768" t="s">
        <v>227</v>
      </c>
      <c r="C436" s="16" t="s">
        <v>16</v>
      </c>
      <c r="D436" s="20">
        <v>0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18"/>
    </row>
    <row r="437" spans="1:10">
      <c r="A437" s="754"/>
      <c r="B437" s="768"/>
      <c r="C437" s="12">
        <v>2015</v>
      </c>
      <c r="D437" s="20">
        <v>0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18"/>
    </row>
    <row r="438" spans="1:10">
      <c r="A438" s="754"/>
      <c r="B438" s="768"/>
      <c r="C438" s="12">
        <v>2016</v>
      </c>
      <c r="D438" s="20">
        <v>0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18"/>
    </row>
    <row r="439" spans="1:10">
      <c r="A439" s="754"/>
      <c r="B439" s="768"/>
      <c r="C439" s="12">
        <v>2017</v>
      </c>
      <c r="D439" s="20">
        <v>0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18"/>
    </row>
    <row r="440" spans="1:10">
      <c r="A440" s="754" t="s">
        <v>228</v>
      </c>
      <c r="B440" s="768" t="s">
        <v>229</v>
      </c>
      <c r="C440" s="16" t="s">
        <v>16</v>
      </c>
      <c r="D440" s="20">
        <v>0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18"/>
    </row>
    <row r="441" spans="1:10">
      <c r="A441" s="754"/>
      <c r="B441" s="768"/>
      <c r="C441" s="12">
        <v>2015</v>
      </c>
      <c r="D441" s="20">
        <v>0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18"/>
    </row>
    <row r="442" spans="1:10">
      <c r="A442" s="754"/>
      <c r="B442" s="768"/>
      <c r="C442" s="12">
        <v>2016</v>
      </c>
      <c r="D442" s="20">
        <v>0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18"/>
    </row>
    <row r="443" spans="1:10">
      <c r="A443" s="754"/>
      <c r="B443" s="768"/>
      <c r="C443" s="12">
        <v>2017</v>
      </c>
      <c r="D443" s="20">
        <v>0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18"/>
    </row>
    <row r="444" spans="1:10" ht="25.5" customHeight="1">
      <c r="A444" s="781" t="s">
        <v>230</v>
      </c>
      <c r="B444" s="768" t="s">
        <v>231</v>
      </c>
      <c r="C444" s="16" t="s">
        <v>16</v>
      </c>
      <c r="D444" s="20">
        <v>0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18"/>
    </row>
    <row r="445" spans="1:10">
      <c r="A445" s="782"/>
      <c r="B445" s="768"/>
      <c r="C445" s="12">
        <v>2015</v>
      </c>
      <c r="D445" s="20">
        <v>0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18"/>
    </row>
    <row r="446" spans="1:10">
      <c r="A446" s="782"/>
      <c r="B446" s="768"/>
      <c r="C446" s="12">
        <v>2016</v>
      </c>
      <c r="D446" s="20">
        <v>0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18"/>
    </row>
    <row r="447" spans="1:10">
      <c r="A447" s="783"/>
      <c r="B447" s="768"/>
      <c r="C447" s="12">
        <v>2017</v>
      </c>
      <c r="D447" s="20">
        <v>0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18"/>
    </row>
    <row r="448" spans="1:10" ht="12.75" customHeight="1">
      <c r="A448" s="754" t="s">
        <v>232</v>
      </c>
      <c r="B448" s="763" t="s">
        <v>233</v>
      </c>
      <c r="C448" s="16" t="s">
        <v>16</v>
      </c>
      <c r="D448" s="20">
        <f t="shared" ref="D448:I448" si="118">D449+D450+D451</f>
        <v>35574.5</v>
      </c>
      <c r="E448" s="20">
        <f t="shared" si="118"/>
        <v>0</v>
      </c>
      <c r="F448" s="20">
        <f t="shared" si="118"/>
        <v>0</v>
      </c>
      <c r="G448" s="20">
        <f t="shared" si="118"/>
        <v>0</v>
      </c>
      <c r="H448" s="20">
        <f t="shared" si="118"/>
        <v>35574.5</v>
      </c>
      <c r="I448" s="20">
        <f t="shared" si="118"/>
        <v>0</v>
      </c>
      <c r="J448" s="18"/>
    </row>
    <row r="449" spans="1:10">
      <c r="A449" s="754"/>
      <c r="B449" s="763"/>
      <c r="C449" s="12">
        <v>2015</v>
      </c>
      <c r="D449" s="20">
        <f>E449+F449+G449+H449+I449</f>
        <v>4703.37</v>
      </c>
      <c r="E449" s="20">
        <v>0</v>
      </c>
      <c r="F449" s="20">
        <v>0</v>
      </c>
      <c r="G449" s="20">
        <v>0</v>
      </c>
      <c r="H449" s="20">
        <v>4703.37</v>
      </c>
      <c r="I449" s="20">
        <v>0</v>
      </c>
      <c r="J449" s="18"/>
    </row>
    <row r="450" spans="1:10">
      <c r="A450" s="754"/>
      <c r="B450" s="763"/>
      <c r="C450" s="12">
        <v>2016</v>
      </c>
      <c r="D450" s="20">
        <f>E450+F450+G450+H450+I450</f>
        <v>13339.7</v>
      </c>
      <c r="E450" s="20">
        <v>0</v>
      </c>
      <c r="F450" s="20">
        <v>0</v>
      </c>
      <c r="G450" s="20">
        <v>0</v>
      </c>
      <c r="H450" s="20">
        <v>13339.7</v>
      </c>
      <c r="I450" s="20">
        <v>0</v>
      </c>
      <c r="J450" s="18"/>
    </row>
    <row r="451" spans="1:10">
      <c r="A451" s="754"/>
      <c r="B451" s="763"/>
      <c r="C451" s="12">
        <v>2017</v>
      </c>
      <c r="D451" s="20">
        <f>E451+F451+G451+H451+I451</f>
        <v>17531.43</v>
      </c>
      <c r="E451" s="20">
        <v>0</v>
      </c>
      <c r="F451" s="20">
        <v>0</v>
      </c>
      <c r="G451" s="20">
        <v>0</v>
      </c>
      <c r="H451" s="20">
        <v>17531.43</v>
      </c>
      <c r="I451" s="20">
        <v>0</v>
      </c>
      <c r="J451" s="18"/>
    </row>
    <row r="452" spans="1:10" s="38" customFormat="1">
      <c r="A452" s="754" t="s">
        <v>234</v>
      </c>
      <c r="B452" s="763" t="s">
        <v>235</v>
      </c>
      <c r="C452" s="16" t="s">
        <v>16</v>
      </c>
      <c r="D452" s="20">
        <v>0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18"/>
    </row>
    <row r="453" spans="1:10">
      <c r="A453" s="754"/>
      <c r="B453" s="763"/>
      <c r="C453" s="12">
        <v>2015</v>
      </c>
      <c r="D453" s="20">
        <v>0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18"/>
    </row>
    <row r="454" spans="1:10">
      <c r="A454" s="754"/>
      <c r="B454" s="763"/>
      <c r="C454" s="12">
        <v>2016</v>
      </c>
      <c r="D454" s="20">
        <v>0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18"/>
    </row>
    <row r="455" spans="1:10" ht="14.25" customHeight="1">
      <c r="A455" s="754"/>
      <c r="B455" s="763"/>
      <c r="C455" s="12">
        <v>2017</v>
      </c>
      <c r="D455" s="20">
        <v>0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18"/>
    </row>
    <row r="456" spans="1:10" ht="14.25" customHeight="1">
      <c r="A456" s="781" t="s">
        <v>236</v>
      </c>
      <c r="B456" s="19"/>
      <c r="C456" s="16" t="s">
        <v>16</v>
      </c>
      <c r="D456" s="20">
        <v>0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18"/>
    </row>
    <row r="457" spans="1:10" ht="14.25" customHeight="1">
      <c r="A457" s="782"/>
      <c r="B457" s="784" t="s">
        <v>237</v>
      </c>
      <c r="C457" s="12">
        <v>2015</v>
      </c>
      <c r="D457" s="20">
        <v>0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18"/>
    </row>
    <row r="458" spans="1:10" ht="14.25" customHeight="1">
      <c r="A458" s="782"/>
      <c r="B458" s="785"/>
      <c r="C458" s="12">
        <v>2016</v>
      </c>
      <c r="D458" s="20">
        <v>0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18"/>
    </row>
    <row r="459" spans="1:10" ht="14.25" customHeight="1">
      <c r="A459" s="783"/>
      <c r="B459" s="786"/>
      <c r="C459" s="12">
        <v>2017</v>
      </c>
      <c r="D459" s="20">
        <v>0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18"/>
    </row>
    <row r="460" spans="1:10" ht="14.25" customHeight="1">
      <c r="A460" s="781" t="s">
        <v>238</v>
      </c>
      <c r="B460" s="768" t="s">
        <v>239</v>
      </c>
      <c r="C460" s="16" t="s">
        <v>16</v>
      </c>
      <c r="D460" s="20">
        <v>0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18"/>
    </row>
    <row r="461" spans="1:10" ht="14.25" customHeight="1">
      <c r="A461" s="782"/>
      <c r="B461" s="768"/>
      <c r="C461" s="12">
        <v>2015</v>
      </c>
      <c r="D461" s="20">
        <v>0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18"/>
    </row>
    <row r="462" spans="1:10" ht="14.25" customHeight="1">
      <c r="A462" s="783"/>
      <c r="B462" s="768"/>
      <c r="C462" s="12">
        <v>2016</v>
      </c>
      <c r="D462" s="20">
        <v>0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18"/>
    </row>
    <row r="463" spans="1:10">
      <c r="A463" s="754" t="s">
        <v>240</v>
      </c>
      <c r="B463" s="787" t="s">
        <v>241</v>
      </c>
      <c r="C463" s="16" t="s">
        <v>16</v>
      </c>
      <c r="D463" s="17">
        <f t="shared" ref="D463:I463" si="119">D467+D468+D469</f>
        <v>0.30846299999999999</v>
      </c>
      <c r="E463" s="17">
        <f t="shared" si="119"/>
        <v>0.30846299999999999</v>
      </c>
      <c r="F463" s="17">
        <f t="shared" si="119"/>
        <v>0</v>
      </c>
      <c r="G463" s="17">
        <f t="shared" si="119"/>
        <v>0</v>
      </c>
      <c r="H463" s="17">
        <f t="shared" si="119"/>
        <v>0</v>
      </c>
      <c r="I463" s="17">
        <f t="shared" si="119"/>
        <v>0</v>
      </c>
      <c r="J463" s="18"/>
    </row>
    <row r="464" spans="1:10">
      <c r="A464" s="754"/>
      <c r="B464" s="787"/>
      <c r="C464" s="16">
        <v>2015</v>
      </c>
      <c r="D464" s="17">
        <f t="shared" ref="D464:D469" si="120">E464+F464+G464+H464+I464</f>
        <v>0.102821</v>
      </c>
      <c r="E464" s="17">
        <v>0.102821</v>
      </c>
      <c r="F464" s="17">
        <v>0</v>
      </c>
      <c r="G464" s="17">
        <v>0</v>
      </c>
      <c r="H464" s="17">
        <v>0</v>
      </c>
      <c r="I464" s="17">
        <v>0</v>
      </c>
      <c r="J464" s="18"/>
    </row>
    <row r="465" spans="1:10">
      <c r="A465" s="754"/>
      <c r="B465" s="787"/>
      <c r="C465" s="16">
        <v>2016</v>
      </c>
      <c r="D465" s="17">
        <f t="shared" si="120"/>
        <v>0.102821</v>
      </c>
      <c r="E465" s="17">
        <v>0.102821</v>
      </c>
      <c r="F465" s="17">
        <v>0</v>
      </c>
      <c r="G465" s="17">
        <v>0</v>
      </c>
      <c r="H465" s="17">
        <v>0</v>
      </c>
      <c r="I465" s="17">
        <v>0</v>
      </c>
      <c r="J465" s="18"/>
    </row>
    <row r="466" spans="1:10">
      <c r="A466" s="754"/>
      <c r="B466" s="787"/>
      <c r="C466" s="16">
        <v>2017</v>
      </c>
      <c r="D466" s="17">
        <f t="shared" si="120"/>
        <v>0.102821</v>
      </c>
      <c r="E466" s="17">
        <v>0.102821</v>
      </c>
      <c r="F466" s="17">
        <v>0</v>
      </c>
      <c r="G466" s="17">
        <v>0</v>
      </c>
      <c r="H466" s="17">
        <v>0</v>
      </c>
      <c r="I466" s="17">
        <v>0</v>
      </c>
      <c r="J466" s="18"/>
    </row>
    <row r="467" spans="1:10" ht="12.75" customHeight="1">
      <c r="A467" s="754" t="s">
        <v>242</v>
      </c>
      <c r="B467" s="764" t="s">
        <v>243</v>
      </c>
      <c r="C467" s="12">
        <v>2015</v>
      </c>
      <c r="D467" s="20">
        <f t="shared" si="120"/>
        <v>0.102821</v>
      </c>
      <c r="E467" s="20">
        <v>0.102821</v>
      </c>
      <c r="F467" s="20">
        <v>0</v>
      </c>
      <c r="G467" s="20">
        <v>0</v>
      </c>
      <c r="H467" s="20">
        <v>0</v>
      </c>
      <c r="I467" s="20">
        <v>0</v>
      </c>
      <c r="J467" s="18"/>
    </row>
    <row r="468" spans="1:10">
      <c r="A468" s="754"/>
      <c r="B468" s="764"/>
      <c r="C468" s="12">
        <v>2016</v>
      </c>
      <c r="D468" s="20">
        <f t="shared" si="120"/>
        <v>0.102821</v>
      </c>
      <c r="E468" s="20">
        <v>0.102821</v>
      </c>
      <c r="F468" s="20">
        <v>0</v>
      </c>
      <c r="G468" s="20">
        <v>0</v>
      </c>
      <c r="H468" s="20">
        <v>0</v>
      </c>
      <c r="I468" s="20">
        <v>0</v>
      </c>
      <c r="J468" s="18"/>
    </row>
    <row r="469" spans="1:10" ht="39.75" customHeight="1">
      <c r="A469" s="754"/>
      <c r="B469" s="764"/>
      <c r="C469" s="12">
        <v>2017</v>
      </c>
      <c r="D469" s="20">
        <f t="shared" si="120"/>
        <v>0.102821</v>
      </c>
      <c r="E469" s="20">
        <v>0.102821</v>
      </c>
      <c r="F469" s="20">
        <v>0</v>
      </c>
      <c r="G469" s="20">
        <v>0</v>
      </c>
      <c r="H469" s="20">
        <v>0</v>
      </c>
      <c r="I469" s="20">
        <v>0</v>
      </c>
      <c r="J469" s="18"/>
    </row>
    <row r="470" spans="1:10">
      <c r="A470" s="754" t="s">
        <v>244</v>
      </c>
      <c r="B470" s="763" t="s">
        <v>245</v>
      </c>
      <c r="C470" s="16" t="s">
        <v>16</v>
      </c>
      <c r="D470" s="20">
        <f t="shared" ref="D470:I470" si="121">D471+D472+D473</f>
        <v>0.30846299999999999</v>
      </c>
      <c r="E470" s="20">
        <f t="shared" si="121"/>
        <v>0.30846299999999999</v>
      </c>
      <c r="F470" s="20">
        <f t="shared" si="121"/>
        <v>0</v>
      </c>
      <c r="G470" s="20">
        <f t="shared" si="121"/>
        <v>0</v>
      </c>
      <c r="H470" s="20">
        <f t="shared" si="121"/>
        <v>0</v>
      </c>
      <c r="I470" s="20">
        <f t="shared" si="121"/>
        <v>0</v>
      </c>
      <c r="J470" s="18"/>
    </row>
    <row r="471" spans="1:10">
      <c r="A471" s="754"/>
      <c r="B471" s="763"/>
      <c r="C471" s="12">
        <v>2015</v>
      </c>
      <c r="D471" s="20">
        <f>E471+F471+G471+H471+I471</f>
        <v>0.102821</v>
      </c>
      <c r="E471" s="20">
        <v>0.102821</v>
      </c>
      <c r="F471" s="20">
        <v>0</v>
      </c>
      <c r="G471" s="20">
        <v>0</v>
      </c>
      <c r="H471" s="20">
        <v>0</v>
      </c>
      <c r="I471" s="20">
        <v>0</v>
      </c>
      <c r="J471" s="18"/>
    </row>
    <row r="472" spans="1:10">
      <c r="A472" s="754"/>
      <c r="B472" s="763"/>
      <c r="C472" s="12">
        <v>2016</v>
      </c>
      <c r="D472" s="20">
        <f>E472+F472+G472+H472+I472</f>
        <v>0.102821</v>
      </c>
      <c r="E472" s="20">
        <v>0.102821</v>
      </c>
      <c r="F472" s="20">
        <v>0</v>
      </c>
      <c r="G472" s="20">
        <v>0</v>
      </c>
      <c r="H472" s="20">
        <v>0</v>
      </c>
      <c r="I472" s="20">
        <v>0</v>
      </c>
      <c r="J472" s="18"/>
    </row>
    <row r="473" spans="1:10">
      <c r="A473" s="754"/>
      <c r="B473" s="763"/>
      <c r="C473" s="12">
        <v>2017</v>
      </c>
      <c r="D473" s="20">
        <f>E473+F473+G473+H473+I473</f>
        <v>0.102821</v>
      </c>
      <c r="E473" s="20">
        <v>0.102821</v>
      </c>
      <c r="F473" s="20">
        <v>0</v>
      </c>
      <c r="G473" s="20">
        <v>0</v>
      </c>
      <c r="H473" s="20">
        <v>0</v>
      </c>
      <c r="I473" s="20">
        <v>0</v>
      </c>
      <c r="J473" s="18"/>
    </row>
    <row r="474" spans="1:10">
      <c r="A474" s="754" t="s">
        <v>246</v>
      </c>
      <c r="B474" s="764" t="s">
        <v>247</v>
      </c>
      <c r="C474" s="16" t="s">
        <v>16</v>
      </c>
      <c r="D474" s="20">
        <v>0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18"/>
    </row>
    <row r="475" spans="1:10">
      <c r="A475" s="754"/>
      <c r="B475" s="764"/>
      <c r="C475" s="12">
        <v>2015</v>
      </c>
      <c r="D475" s="20">
        <v>0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18"/>
    </row>
    <row r="476" spans="1:10">
      <c r="A476" s="754"/>
      <c r="B476" s="764"/>
      <c r="C476" s="12">
        <v>2016</v>
      </c>
      <c r="D476" s="20">
        <v>0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18"/>
    </row>
    <row r="477" spans="1:10" ht="39" customHeight="1">
      <c r="A477" s="754"/>
      <c r="B477" s="764"/>
      <c r="C477" s="12">
        <v>2017</v>
      </c>
      <c r="D477" s="20">
        <v>0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18"/>
    </row>
    <row r="478" spans="1:10">
      <c r="A478" s="754" t="s">
        <v>248</v>
      </c>
      <c r="B478" s="764" t="s">
        <v>249</v>
      </c>
      <c r="C478" s="16" t="s">
        <v>16</v>
      </c>
      <c r="D478" s="20">
        <v>0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18"/>
    </row>
    <row r="479" spans="1:10">
      <c r="A479" s="754"/>
      <c r="B479" s="764"/>
      <c r="C479" s="12">
        <v>2015</v>
      </c>
      <c r="D479" s="20">
        <v>0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18"/>
    </row>
    <row r="480" spans="1:10">
      <c r="A480" s="754"/>
      <c r="B480" s="764"/>
      <c r="C480" s="12">
        <v>2016</v>
      </c>
      <c r="D480" s="20">
        <v>0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18"/>
    </row>
    <row r="481" spans="1:10">
      <c r="A481" s="754"/>
      <c r="B481" s="764"/>
      <c r="C481" s="12">
        <v>2017</v>
      </c>
      <c r="D481" s="20">
        <v>0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18"/>
    </row>
    <row r="482" spans="1:10">
      <c r="A482" s="754" t="s">
        <v>250</v>
      </c>
      <c r="B482" s="764" t="s">
        <v>251</v>
      </c>
      <c r="C482" s="16" t="s">
        <v>16</v>
      </c>
      <c r="D482" s="20">
        <v>0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18"/>
    </row>
    <row r="483" spans="1:10">
      <c r="A483" s="754"/>
      <c r="B483" s="764"/>
      <c r="C483" s="12">
        <v>2015</v>
      </c>
      <c r="D483" s="20">
        <v>0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18"/>
    </row>
    <row r="484" spans="1:10">
      <c r="A484" s="754"/>
      <c r="B484" s="764"/>
      <c r="C484" s="12">
        <v>2016</v>
      </c>
      <c r="D484" s="20">
        <v>0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18"/>
    </row>
    <row r="485" spans="1:10" ht="29.25" customHeight="1">
      <c r="A485" s="754"/>
      <c r="B485" s="764"/>
      <c r="C485" s="12">
        <v>2017</v>
      </c>
      <c r="D485" s="20">
        <v>0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18"/>
    </row>
    <row r="486" spans="1:10">
      <c r="A486" s="754" t="s">
        <v>252</v>
      </c>
      <c r="B486" s="763" t="s">
        <v>253</v>
      </c>
      <c r="C486" s="16" t="s">
        <v>16</v>
      </c>
      <c r="D486" s="20">
        <v>0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18"/>
    </row>
    <row r="487" spans="1:10">
      <c r="A487" s="754"/>
      <c r="B487" s="763"/>
      <c r="C487" s="12">
        <v>2015</v>
      </c>
      <c r="D487" s="20">
        <v>0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18"/>
    </row>
    <row r="488" spans="1:10">
      <c r="A488" s="754"/>
      <c r="B488" s="763"/>
      <c r="C488" s="12">
        <v>2016</v>
      </c>
      <c r="D488" s="20">
        <v>0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18"/>
    </row>
    <row r="489" spans="1:10" ht="27" customHeight="1">
      <c r="A489" s="754"/>
      <c r="B489" s="763"/>
      <c r="C489" s="12">
        <v>2017</v>
      </c>
      <c r="D489" s="20">
        <v>0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18"/>
    </row>
    <row r="490" spans="1:10">
      <c r="A490" s="754" t="s">
        <v>254</v>
      </c>
      <c r="B490" s="763" t="s">
        <v>255</v>
      </c>
      <c r="C490" s="16" t="s">
        <v>16</v>
      </c>
      <c r="D490" s="20">
        <v>0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18"/>
    </row>
    <row r="491" spans="1:10">
      <c r="A491" s="754"/>
      <c r="B491" s="763"/>
      <c r="C491" s="12">
        <v>2015</v>
      </c>
      <c r="D491" s="20">
        <v>0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18"/>
    </row>
    <row r="492" spans="1:10">
      <c r="A492" s="754"/>
      <c r="B492" s="763"/>
      <c r="C492" s="12">
        <v>2016</v>
      </c>
      <c r="D492" s="20">
        <v>0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18"/>
    </row>
    <row r="493" spans="1:10">
      <c r="A493" s="754"/>
      <c r="B493" s="763"/>
      <c r="C493" s="12">
        <v>2017</v>
      </c>
      <c r="D493" s="20">
        <v>0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18"/>
    </row>
    <row r="494" spans="1:10">
      <c r="A494" s="788" t="s">
        <v>256</v>
      </c>
      <c r="B494" s="789" t="s">
        <v>257</v>
      </c>
      <c r="C494" s="16" t="s">
        <v>16</v>
      </c>
      <c r="D494" s="39">
        <f t="shared" ref="D494:I497" si="122">D498+D502+D506</f>
        <v>9.4406999999999996</v>
      </c>
      <c r="E494" s="39">
        <f t="shared" si="122"/>
        <v>9.4406999999999996</v>
      </c>
      <c r="F494" s="39">
        <f t="shared" si="122"/>
        <v>0</v>
      </c>
      <c r="G494" s="39">
        <f t="shared" si="122"/>
        <v>0</v>
      </c>
      <c r="H494" s="39">
        <f t="shared" si="122"/>
        <v>0</v>
      </c>
      <c r="I494" s="39">
        <f t="shared" si="122"/>
        <v>0</v>
      </c>
      <c r="J494" s="18"/>
    </row>
    <row r="495" spans="1:10">
      <c r="A495" s="788"/>
      <c r="B495" s="789"/>
      <c r="C495" s="12">
        <v>2015</v>
      </c>
      <c r="D495" s="20">
        <f t="shared" si="122"/>
        <v>5.0084</v>
      </c>
      <c r="E495" s="20">
        <f t="shared" si="122"/>
        <v>5.0084</v>
      </c>
      <c r="F495" s="20">
        <f t="shared" si="122"/>
        <v>0</v>
      </c>
      <c r="G495" s="20">
        <f t="shared" si="122"/>
        <v>0</v>
      </c>
      <c r="H495" s="20">
        <f t="shared" si="122"/>
        <v>0</v>
      </c>
      <c r="I495" s="20">
        <f t="shared" si="122"/>
        <v>0</v>
      </c>
      <c r="J495" s="18"/>
    </row>
    <row r="496" spans="1:10">
      <c r="A496" s="788"/>
      <c r="B496" s="789"/>
      <c r="C496" s="12">
        <v>2016</v>
      </c>
      <c r="D496" s="20">
        <f t="shared" si="122"/>
        <v>1.2593999999999999</v>
      </c>
      <c r="E496" s="20">
        <f t="shared" si="122"/>
        <v>1.2593999999999999</v>
      </c>
      <c r="F496" s="20">
        <f t="shared" si="122"/>
        <v>0</v>
      </c>
      <c r="G496" s="20">
        <f t="shared" si="122"/>
        <v>0</v>
      </c>
      <c r="H496" s="20">
        <f t="shared" si="122"/>
        <v>0</v>
      </c>
      <c r="I496" s="20">
        <f t="shared" si="122"/>
        <v>0</v>
      </c>
      <c r="J496" s="18"/>
    </row>
    <row r="497" spans="1:10">
      <c r="A497" s="788"/>
      <c r="B497" s="789"/>
      <c r="C497" s="12">
        <v>2017</v>
      </c>
      <c r="D497" s="20">
        <f t="shared" si="122"/>
        <v>3.1729000000000003</v>
      </c>
      <c r="E497" s="20">
        <f t="shared" si="122"/>
        <v>3.1729000000000003</v>
      </c>
      <c r="F497" s="20">
        <f t="shared" si="122"/>
        <v>0</v>
      </c>
      <c r="G497" s="20">
        <f t="shared" si="122"/>
        <v>0</v>
      </c>
      <c r="H497" s="20">
        <f t="shared" si="122"/>
        <v>0</v>
      </c>
      <c r="I497" s="20">
        <f t="shared" si="122"/>
        <v>0</v>
      </c>
      <c r="J497" s="18"/>
    </row>
    <row r="498" spans="1:10" ht="15.75" customHeight="1">
      <c r="A498" s="788" t="s">
        <v>258</v>
      </c>
      <c r="B498" s="768" t="s">
        <v>259</v>
      </c>
      <c r="C498" s="16" t="s">
        <v>16</v>
      </c>
      <c r="D498" s="39">
        <f t="shared" ref="D498:I498" si="123">D499+D500+D501</f>
        <v>2.5129999999999999</v>
      </c>
      <c r="E498" s="39">
        <f t="shared" si="123"/>
        <v>2.5129999999999999</v>
      </c>
      <c r="F498" s="39">
        <f t="shared" si="123"/>
        <v>0</v>
      </c>
      <c r="G498" s="39">
        <f t="shared" si="123"/>
        <v>0</v>
      </c>
      <c r="H498" s="39">
        <f t="shared" si="123"/>
        <v>0</v>
      </c>
      <c r="I498" s="39">
        <f t="shared" si="123"/>
        <v>0</v>
      </c>
      <c r="J498" s="18"/>
    </row>
    <row r="499" spans="1:10">
      <c r="A499" s="788"/>
      <c r="B499" s="768"/>
      <c r="C499" s="12">
        <v>2015</v>
      </c>
      <c r="D499" s="35">
        <f>E499+F499+G499+H499+I499</f>
        <v>1.1654</v>
      </c>
      <c r="E499" s="35">
        <f>1165.4/1000</f>
        <v>1.1654</v>
      </c>
      <c r="F499" s="35">
        <v>0</v>
      </c>
      <c r="G499" s="35">
        <v>0</v>
      </c>
      <c r="H499" s="35">
        <v>0</v>
      </c>
      <c r="I499" s="35">
        <v>0</v>
      </c>
      <c r="J499" s="18"/>
    </row>
    <row r="500" spans="1:10">
      <c r="A500" s="788"/>
      <c r="B500" s="768"/>
      <c r="C500" s="12">
        <v>2016</v>
      </c>
      <c r="D500" s="35">
        <f>E500+F500+G500+H500+I500</f>
        <v>0.36060000000000003</v>
      </c>
      <c r="E500" s="35">
        <f>360.6/1000</f>
        <v>0.36060000000000003</v>
      </c>
      <c r="F500" s="35">
        <v>0</v>
      </c>
      <c r="G500" s="35">
        <v>0</v>
      </c>
      <c r="H500" s="35">
        <v>0</v>
      </c>
      <c r="I500" s="35">
        <v>0</v>
      </c>
      <c r="J500" s="18"/>
    </row>
    <row r="501" spans="1:10">
      <c r="A501" s="788"/>
      <c r="B501" s="768"/>
      <c r="C501" s="12">
        <v>2017</v>
      </c>
      <c r="D501" s="35">
        <f>E501+F501+G501+H501+I501</f>
        <v>0.98699999999999999</v>
      </c>
      <c r="E501" s="35">
        <f>987/1000</f>
        <v>0.98699999999999999</v>
      </c>
      <c r="F501" s="35">
        <v>0</v>
      </c>
      <c r="G501" s="35">
        <v>0</v>
      </c>
      <c r="H501" s="35">
        <v>0</v>
      </c>
      <c r="I501" s="35">
        <v>0</v>
      </c>
      <c r="J501" s="18"/>
    </row>
    <row r="502" spans="1:10">
      <c r="A502" s="788" t="s">
        <v>260</v>
      </c>
      <c r="B502" s="768" t="s">
        <v>261</v>
      </c>
      <c r="C502" s="16" t="s">
        <v>16</v>
      </c>
      <c r="D502" s="35">
        <f t="shared" ref="D502:I502" si="124">D503+D504+D505</f>
        <v>5.141</v>
      </c>
      <c r="E502" s="35">
        <f t="shared" si="124"/>
        <v>5.141</v>
      </c>
      <c r="F502" s="35">
        <f t="shared" si="124"/>
        <v>0</v>
      </c>
      <c r="G502" s="35">
        <f t="shared" si="124"/>
        <v>0</v>
      </c>
      <c r="H502" s="35">
        <f t="shared" si="124"/>
        <v>0</v>
      </c>
      <c r="I502" s="35">
        <f t="shared" si="124"/>
        <v>0</v>
      </c>
      <c r="J502" s="18"/>
    </row>
    <row r="503" spans="1:10">
      <c r="A503" s="788"/>
      <c r="B503" s="768"/>
      <c r="C503" s="12">
        <v>2015</v>
      </c>
      <c r="D503" s="35">
        <f>E503+F503+G503+H503+I503</f>
        <v>2.0563000000000002</v>
      </c>
      <c r="E503" s="35">
        <f>2056.3/1000</f>
        <v>2.0563000000000002</v>
      </c>
      <c r="F503" s="35">
        <v>0</v>
      </c>
      <c r="G503" s="35">
        <v>0</v>
      </c>
      <c r="H503" s="35">
        <v>0</v>
      </c>
      <c r="I503" s="35">
        <v>0</v>
      </c>
      <c r="J503" s="18"/>
    </row>
    <row r="504" spans="1:10">
      <c r="A504" s="788"/>
      <c r="B504" s="768"/>
      <c r="C504" s="12">
        <v>2016</v>
      </c>
      <c r="D504" s="35">
        <f>E504+F504+G504+H504+I504</f>
        <v>0.89879999999999993</v>
      </c>
      <c r="E504" s="35">
        <f>898.8/1000</f>
        <v>0.89879999999999993</v>
      </c>
      <c r="F504" s="35">
        <v>0</v>
      </c>
      <c r="G504" s="35">
        <v>0</v>
      </c>
      <c r="H504" s="35">
        <v>0</v>
      </c>
      <c r="I504" s="35">
        <v>0</v>
      </c>
      <c r="J504" s="18"/>
    </row>
    <row r="505" spans="1:10">
      <c r="A505" s="788"/>
      <c r="B505" s="768"/>
      <c r="C505" s="12">
        <v>2017</v>
      </c>
      <c r="D505" s="35">
        <f>E505+F505+G505+H505+I505</f>
        <v>2.1859000000000002</v>
      </c>
      <c r="E505" s="35">
        <f>2185.9/1000</f>
        <v>2.1859000000000002</v>
      </c>
      <c r="F505" s="35">
        <v>0</v>
      </c>
      <c r="G505" s="35">
        <v>0</v>
      </c>
      <c r="H505" s="35">
        <v>0</v>
      </c>
      <c r="I505" s="35">
        <v>0</v>
      </c>
      <c r="J505" s="18"/>
    </row>
    <row r="506" spans="1:10">
      <c r="A506" s="788" t="s">
        <v>262</v>
      </c>
      <c r="B506" s="768" t="s">
        <v>263</v>
      </c>
      <c r="C506" s="16" t="s">
        <v>16</v>
      </c>
      <c r="D506" s="35">
        <f t="shared" ref="D506:I506" si="125">D507+D508+D509</f>
        <v>1.7867</v>
      </c>
      <c r="E506" s="35">
        <f t="shared" si="125"/>
        <v>1.7867</v>
      </c>
      <c r="F506" s="35">
        <f t="shared" si="125"/>
        <v>0</v>
      </c>
      <c r="G506" s="35">
        <f t="shared" si="125"/>
        <v>0</v>
      </c>
      <c r="H506" s="35">
        <f t="shared" si="125"/>
        <v>0</v>
      </c>
      <c r="I506" s="35">
        <f t="shared" si="125"/>
        <v>0</v>
      </c>
      <c r="J506" s="18"/>
    </row>
    <row r="507" spans="1:10">
      <c r="A507" s="788"/>
      <c r="B507" s="768"/>
      <c r="C507" s="12">
        <v>2015</v>
      </c>
      <c r="D507" s="35">
        <f>E507+F507+G507+H507+I507</f>
        <v>1.7867</v>
      </c>
      <c r="E507" s="35">
        <f>1786.7/1000</f>
        <v>1.7867</v>
      </c>
      <c r="F507" s="35">
        <v>0</v>
      </c>
      <c r="G507" s="35">
        <v>0</v>
      </c>
      <c r="H507" s="35">
        <v>0</v>
      </c>
      <c r="I507" s="35">
        <v>0</v>
      </c>
      <c r="J507" s="18"/>
    </row>
    <row r="508" spans="1:10">
      <c r="A508" s="788"/>
      <c r="B508" s="768"/>
      <c r="C508" s="12">
        <v>2016</v>
      </c>
      <c r="D508" s="35">
        <f>E508+F508+G508+H508+I508</f>
        <v>0</v>
      </c>
      <c r="E508" s="35">
        <v>0</v>
      </c>
      <c r="F508" s="35">
        <v>0</v>
      </c>
      <c r="G508" s="35">
        <v>0</v>
      </c>
      <c r="H508" s="35">
        <v>0</v>
      </c>
      <c r="I508" s="35">
        <v>0</v>
      </c>
      <c r="J508" s="18"/>
    </row>
    <row r="509" spans="1:10">
      <c r="A509" s="788"/>
      <c r="B509" s="768"/>
      <c r="C509" s="12">
        <v>2017</v>
      </c>
      <c r="D509" s="35">
        <f>E509+F509+G509+H509+I509</f>
        <v>0</v>
      </c>
      <c r="E509" s="35">
        <v>0</v>
      </c>
      <c r="F509" s="35">
        <v>0</v>
      </c>
      <c r="G509" s="35">
        <v>0</v>
      </c>
      <c r="H509" s="35">
        <v>0</v>
      </c>
      <c r="I509" s="35">
        <v>0</v>
      </c>
      <c r="J509" s="18"/>
    </row>
    <row r="510" spans="1:10">
      <c r="A510" s="790" t="s">
        <v>264</v>
      </c>
      <c r="B510" s="787" t="s">
        <v>265</v>
      </c>
      <c r="C510" s="16" t="s">
        <v>16</v>
      </c>
      <c r="D510" s="39">
        <f t="shared" ref="D510:I510" si="126">D511+D512+D513</f>
        <v>160.19829999999999</v>
      </c>
      <c r="E510" s="39">
        <f t="shared" si="126"/>
        <v>152.78109999999998</v>
      </c>
      <c r="F510" s="39">
        <f t="shared" si="126"/>
        <v>0</v>
      </c>
      <c r="G510" s="39">
        <f t="shared" si="126"/>
        <v>0</v>
      </c>
      <c r="H510" s="39">
        <f t="shared" si="126"/>
        <v>0</v>
      </c>
      <c r="I510" s="39">
        <f t="shared" si="126"/>
        <v>7.4172000000000002</v>
      </c>
      <c r="J510" s="18"/>
    </row>
    <row r="511" spans="1:10">
      <c r="A511" s="791"/>
      <c r="B511" s="787"/>
      <c r="C511" s="12">
        <v>2015</v>
      </c>
      <c r="D511" s="13">
        <f t="shared" ref="D511:I513" si="127">D515</f>
        <v>57.426099999999998</v>
      </c>
      <c r="E511" s="13">
        <f t="shared" si="127"/>
        <v>50.008899999999997</v>
      </c>
      <c r="F511" s="13">
        <f t="shared" si="127"/>
        <v>0</v>
      </c>
      <c r="G511" s="13">
        <f t="shared" si="127"/>
        <v>0</v>
      </c>
      <c r="H511" s="13">
        <f t="shared" si="127"/>
        <v>0</v>
      </c>
      <c r="I511" s="13">
        <f t="shared" si="127"/>
        <v>7.4172000000000002</v>
      </c>
      <c r="J511" s="18"/>
    </row>
    <row r="512" spans="1:10">
      <c r="A512" s="791"/>
      <c r="B512" s="787"/>
      <c r="C512" s="12">
        <v>2016</v>
      </c>
      <c r="D512" s="13">
        <f t="shared" si="127"/>
        <v>50.743899999999996</v>
      </c>
      <c r="E512" s="13">
        <f t="shared" si="127"/>
        <v>50.743899999999996</v>
      </c>
      <c r="F512" s="13">
        <f t="shared" si="127"/>
        <v>0</v>
      </c>
      <c r="G512" s="13">
        <f t="shared" si="127"/>
        <v>0</v>
      </c>
      <c r="H512" s="13">
        <f t="shared" si="127"/>
        <v>0</v>
      </c>
      <c r="I512" s="13">
        <f t="shared" si="127"/>
        <v>0</v>
      </c>
      <c r="J512" s="18"/>
    </row>
    <row r="513" spans="1:10">
      <c r="A513" s="792"/>
      <c r="B513" s="787"/>
      <c r="C513" s="12">
        <v>2017</v>
      </c>
      <c r="D513" s="13">
        <f t="shared" si="127"/>
        <v>52.028300000000002</v>
      </c>
      <c r="E513" s="13">
        <f t="shared" si="127"/>
        <v>52.028300000000002</v>
      </c>
      <c r="F513" s="13">
        <f t="shared" si="127"/>
        <v>0</v>
      </c>
      <c r="G513" s="13">
        <f t="shared" si="127"/>
        <v>0</v>
      </c>
      <c r="H513" s="13">
        <f t="shared" si="127"/>
        <v>0</v>
      </c>
      <c r="I513" s="13">
        <f t="shared" si="127"/>
        <v>0</v>
      </c>
      <c r="J513" s="18"/>
    </row>
    <row r="514" spans="1:10" ht="12.75" customHeight="1">
      <c r="A514" s="788" t="s">
        <v>266</v>
      </c>
      <c r="B514" s="776" t="s">
        <v>267</v>
      </c>
      <c r="C514" s="16" t="s">
        <v>16</v>
      </c>
      <c r="D514" s="39">
        <f>D515+D516+D517</f>
        <v>160.19829999999999</v>
      </c>
      <c r="E514" s="39">
        <f>E518+E530+E546</f>
        <v>152.78110000000001</v>
      </c>
      <c r="F514" s="39">
        <f>F515+F516+F517</f>
        <v>0</v>
      </c>
      <c r="G514" s="39">
        <f>G515+G516+G517</f>
        <v>0</v>
      </c>
      <c r="H514" s="39">
        <f>H515+H516+H517</f>
        <v>0</v>
      </c>
      <c r="I514" s="39">
        <f>I515+I516+I517</f>
        <v>7.4172000000000002</v>
      </c>
      <c r="J514" s="18"/>
    </row>
    <row r="515" spans="1:10">
      <c r="A515" s="788"/>
      <c r="B515" s="776"/>
      <c r="C515" s="12">
        <v>2015</v>
      </c>
      <c r="D515" s="35">
        <f>E515+F515+G515+H515+I515</f>
        <v>57.426099999999998</v>
      </c>
      <c r="E515" s="39">
        <f>E519+E531+E547</f>
        <v>50.008899999999997</v>
      </c>
      <c r="F515" s="35">
        <v>0</v>
      </c>
      <c r="G515" s="35">
        <v>0</v>
      </c>
      <c r="H515" s="35">
        <v>0</v>
      </c>
      <c r="I515" s="35">
        <f>7417.2/1000</f>
        <v>7.4172000000000002</v>
      </c>
      <c r="J515" s="18"/>
    </row>
    <row r="516" spans="1:10">
      <c r="A516" s="788"/>
      <c r="B516" s="776"/>
      <c r="C516" s="12">
        <v>2016</v>
      </c>
      <c r="D516" s="35">
        <f>E516+F516+G516+H516+I516</f>
        <v>50.743899999999996</v>
      </c>
      <c r="E516" s="39">
        <f>E520+E532+E548</f>
        <v>50.743899999999996</v>
      </c>
      <c r="F516" s="35">
        <v>0</v>
      </c>
      <c r="G516" s="35">
        <v>0</v>
      </c>
      <c r="H516" s="35">
        <v>0</v>
      </c>
      <c r="I516" s="35">
        <v>0</v>
      </c>
      <c r="J516" s="18"/>
    </row>
    <row r="517" spans="1:10">
      <c r="A517" s="788"/>
      <c r="B517" s="776"/>
      <c r="C517" s="12">
        <v>2017</v>
      </c>
      <c r="D517" s="35">
        <f>E517+F517+G517+H517+I517</f>
        <v>52.028300000000002</v>
      </c>
      <c r="E517" s="39">
        <f>E521+E533+E549</f>
        <v>52.028300000000002</v>
      </c>
      <c r="F517" s="37">
        <v>0</v>
      </c>
      <c r="G517" s="37">
        <v>0</v>
      </c>
      <c r="H517" s="37">
        <v>0</v>
      </c>
      <c r="I517" s="37">
        <v>0</v>
      </c>
      <c r="J517" s="18"/>
    </row>
    <row r="518" spans="1:10" ht="12.75" customHeight="1">
      <c r="A518" s="788" t="s">
        <v>268</v>
      </c>
      <c r="B518" s="764" t="s">
        <v>269</v>
      </c>
      <c r="C518" s="16" t="s">
        <v>16</v>
      </c>
      <c r="D518" s="39">
        <f t="shared" ref="D518:I518" si="128">D519+D520+D521</f>
        <v>0.18099999999999999</v>
      </c>
      <c r="E518" s="39">
        <f t="shared" si="128"/>
        <v>0.18099999999999999</v>
      </c>
      <c r="F518" s="39">
        <f t="shared" si="128"/>
        <v>0</v>
      </c>
      <c r="G518" s="39">
        <f t="shared" si="128"/>
        <v>0</v>
      </c>
      <c r="H518" s="39">
        <f t="shared" si="128"/>
        <v>0</v>
      </c>
      <c r="I518" s="39">
        <f t="shared" si="128"/>
        <v>0</v>
      </c>
      <c r="J518" s="18"/>
    </row>
    <row r="519" spans="1:10">
      <c r="A519" s="788"/>
      <c r="B519" s="764"/>
      <c r="C519" s="12">
        <v>2015</v>
      </c>
      <c r="D519" s="35">
        <f>E519+F519+G519+H519+I519</f>
        <v>0.18099999999999999</v>
      </c>
      <c r="E519" s="35">
        <f>181/1000</f>
        <v>0.18099999999999999</v>
      </c>
      <c r="F519" s="35">
        <v>0</v>
      </c>
      <c r="G519" s="35">
        <v>0</v>
      </c>
      <c r="H519" s="35">
        <v>0</v>
      </c>
      <c r="I519" s="35">
        <v>0</v>
      </c>
      <c r="J519" s="18"/>
    </row>
    <row r="520" spans="1:10">
      <c r="A520" s="788"/>
      <c r="B520" s="764"/>
      <c r="C520" s="12">
        <v>2016</v>
      </c>
      <c r="D520" s="35">
        <f>E520+F520+G520+H520+I520</f>
        <v>0</v>
      </c>
      <c r="E520" s="35">
        <v>0</v>
      </c>
      <c r="F520" s="35">
        <v>0</v>
      </c>
      <c r="G520" s="35">
        <v>0</v>
      </c>
      <c r="H520" s="35">
        <v>0</v>
      </c>
      <c r="I520" s="35">
        <v>0</v>
      </c>
      <c r="J520" s="18"/>
    </row>
    <row r="521" spans="1:10">
      <c r="A521" s="788"/>
      <c r="B521" s="764"/>
      <c r="C521" s="12">
        <v>2017</v>
      </c>
      <c r="D521" s="35">
        <f>E521+F521+G521+H521+I521</f>
        <v>0</v>
      </c>
      <c r="E521" s="37">
        <v>0</v>
      </c>
      <c r="F521" s="35">
        <v>0</v>
      </c>
      <c r="G521" s="35">
        <v>0</v>
      </c>
      <c r="H521" s="35">
        <v>0</v>
      </c>
      <c r="I521" s="35">
        <v>0</v>
      </c>
      <c r="J521" s="18"/>
    </row>
    <row r="522" spans="1:10">
      <c r="A522" s="788" t="s">
        <v>268</v>
      </c>
      <c r="B522" s="768" t="s">
        <v>270</v>
      </c>
      <c r="C522" s="16" t="s">
        <v>16</v>
      </c>
      <c r="D522" s="39">
        <f>D523+D524+D525</f>
        <v>0</v>
      </c>
      <c r="E522" s="35">
        <v>0</v>
      </c>
      <c r="F522" s="35">
        <v>0</v>
      </c>
      <c r="G522" s="35">
        <v>0</v>
      </c>
      <c r="H522" s="35">
        <v>0</v>
      </c>
      <c r="I522" s="35">
        <v>0</v>
      </c>
      <c r="J522" s="18"/>
    </row>
    <row r="523" spans="1:10">
      <c r="A523" s="788"/>
      <c r="B523" s="768"/>
      <c r="C523" s="12">
        <v>2015</v>
      </c>
      <c r="D523" s="35">
        <f>E523+F523+G523+H523+I523</f>
        <v>0</v>
      </c>
      <c r="E523" s="37">
        <v>0</v>
      </c>
      <c r="F523" s="35">
        <v>0</v>
      </c>
      <c r="G523" s="35">
        <v>0</v>
      </c>
      <c r="H523" s="35">
        <v>0</v>
      </c>
      <c r="I523" s="35">
        <v>0</v>
      </c>
      <c r="J523" s="18"/>
    </row>
    <row r="524" spans="1:10">
      <c r="A524" s="788"/>
      <c r="B524" s="768"/>
      <c r="C524" s="12">
        <v>2016</v>
      </c>
      <c r="D524" s="35">
        <f>E524+F524+G524+H524+I524</f>
        <v>0</v>
      </c>
      <c r="E524" s="35">
        <v>0</v>
      </c>
      <c r="F524" s="35">
        <v>0</v>
      </c>
      <c r="G524" s="35">
        <v>0</v>
      </c>
      <c r="H524" s="35">
        <v>0</v>
      </c>
      <c r="I524" s="35">
        <v>0</v>
      </c>
      <c r="J524" s="18"/>
    </row>
    <row r="525" spans="1:10">
      <c r="A525" s="788"/>
      <c r="B525" s="768"/>
      <c r="C525" s="12">
        <v>2017</v>
      </c>
      <c r="D525" s="35">
        <f>E525+F525+G525+H525+I525</f>
        <v>0</v>
      </c>
      <c r="E525" s="37">
        <v>0</v>
      </c>
      <c r="F525" s="35">
        <v>0</v>
      </c>
      <c r="G525" s="35">
        <v>0</v>
      </c>
      <c r="H525" s="35">
        <v>0</v>
      </c>
      <c r="I525" s="35">
        <v>0</v>
      </c>
      <c r="J525" s="18"/>
    </row>
    <row r="526" spans="1:10" ht="12.75" customHeight="1">
      <c r="A526" s="788" t="s">
        <v>271</v>
      </c>
      <c r="B526" s="764" t="s">
        <v>272</v>
      </c>
      <c r="C526" s="16" t="s">
        <v>16</v>
      </c>
      <c r="D526" s="39">
        <f t="shared" ref="D526:I526" si="129">D527+D528+D529</f>
        <v>0.18099999999999999</v>
      </c>
      <c r="E526" s="39">
        <f t="shared" si="129"/>
        <v>0.18099999999999999</v>
      </c>
      <c r="F526" s="39">
        <f t="shared" si="129"/>
        <v>0</v>
      </c>
      <c r="G526" s="39">
        <f t="shared" si="129"/>
        <v>0</v>
      </c>
      <c r="H526" s="39">
        <f t="shared" si="129"/>
        <v>0</v>
      </c>
      <c r="I526" s="39">
        <f t="shared" si="129"/>
        <v>0</v>
      </c>
      <c r="J526" s="18"/>
    </row>
    <row r="527" spans="1:10">
      <c r="A527" s="788"/>
      <c r="B527" s="764"/>
      <c r="C527" s="12">
        <v>2015</v>
      </c>
      <c r="D527" s="35">
        <f>E527+F527+G527+H527+I527</f>
        <v>0.18099999999999999</v>
      </c>
      <c r="E527" s="37">
        <f>181/1000</f>
        <v>0.18099999999999999</v>
      </c>
      <c r="F527" s="37">
        <v>0</v>
      </c>
      <c r="G527" s="37">
        <v>0</v>
      </c>
      <c r="H527" s="37">
        <v>0</v>
      </c>
      <c r="I527" s="37">
        <v>0</v>
      </c>
      <c r="J527" s="18"/>
    </row>
    <row r="528" spans="1:10">
      <c r="A528" s="788"/>
      <c r="B528" s="764"/>
      <c r="C528" s="12">
        <v>2016</v>
      </c>
      <c r="D528" s="35">
        <f>E528+F528+G528+H528+I528</f>
        <v>0</v>
      </c>
      <c r="E528" s="37">
        <v>0</v>
      </c>
      <c r="F528" s="37">
        <v>0</v>
      </c>
      <c r="G528" s="37">
        <v>0</v>
      </c>
      <c r="H528" s="37">
        <v>0</v>
      </c>
      <c r="I528" s="37">
        <v>0</v>
      </c>
      <c r="J528" s="18"/>
    </row>
    <row r="529" spans="1:10">
      <c r="A529" s="788"/>
      <c r="B529" s="764"/>
      <c r="C529" s="12">
        <v>2017</v>
      </c>
      <c r="D529" s="35">
        <f>E529+F529+G529+H529+I529</f>
        <v>0</v>
      </c>
      <c r="E529" s="37">
        <v>0</v>
      </c>
      <c r="F529" s="37">
        <v>0</v>
      </c>
      <c r="G529" s="37">
        <v>0</v>
      </c>
      <c r="H529" s="37">
        <v>0</v>
      </c>
      <c r="I529" s="37">
        <v>0</v>
      </c>
      <c r="J529" s="18"/>
    </row>
    <row r="530" spans="1:10" ht="12.75" customHeight="1">
      <c r="A530" s="788" t="s">
        <v>271</v>
      </c>
      <c r="B530" s="763" t="s">
        <v>273</v>
      </c>
      <c r="C530" s="16" t="s">
        <v>16</v>
      </c>
      <c r="D530" s="39">
        <f t="shared" ref="D530:I530" si="130">D531+D532+D533</f>
        <v>64.427300000000002</v>
      </c>
      <c r="E530" s="39">
        <f t="shared" si="130"/>
        <v>57.010100000000001</v>
      </c>
      <c r="F530" s="39">
        <f t="shared" si="130"/>
        <v>0</v>
      </c>
      <c r="G530" s="39">
        <f t="shared" si="130"/>
        <v>0</v>
      </c>
      <c r="H530" s="39">
        <f t="shared" si="130"/>
        <v>0</v>
      </c>
      <c r="I530" s="39">
        <f t="shared" si="130"/>
        <v>7.4172000000000002</v>
      </c>
      <c r="J530" s="18"/>
    </row>
    <row r="531" spans="1:10">
      <c r="A531" s="788"/>
      <c r="B531" s="763"/>
      <c r="C531" s="12">
        <v>2015</v>
      </c>
      <c r="D531" s="35">
        <f>E531+F531+G531+H531+I531</f>
        <v>27.9801</v>
      </c>
      <c r="E531" s="35">
        <f>E535+E539+E543</f>
        <v>20.562899999999999</v>
      </c>
      <c r="F531" s="37">
        <v>0</v>
      </c>
      <c r="G531" s="37">
        <v>0</v>
      </c>
      <c r="H531" s="37">
        <v>0</v>
      </c>
      <c r="I531" s="35">
        <f>7417.2/1000</f>
        <v>7.4172000000000002</v>
      </c>
      <c r="J531" s="18"/>
    </row>
    <row r="532" spans="1:10">
      <c r="A532" s="788"/>
      <c r="B532" s="763"/>
      <c r="C532" s="12">
        <v>2016</v>
      </c>
      <c r="D532" s="35">
        <f>E532+F532+G532+H532+I532</f>
        <v>18.869900000000001</v>
      </c>
      <c r="E532" s="35">
        <f>E536+E540+E544</f>
        <v>18.869900000000001</v>
      </c>
      <c r="F532" s="37">
        <v>0</v>
      </c>
      <c r="G532" s="37">
        <v>0</v>
      </c>
      <c r="H532" s="37">
        <v>0</v>
      </c>
      <c r="I532" s="35">
        <v>0</v>
      </c>
      <c r="J532" s="18"/>
    </row>
    <row r="533" spans="1:10">
      <c r="A533" s="788"/>
      <c r="B533" s="763"/>
      <c r="C533" s="12">
        <v>2017</v>
      </c>
      <c r="D533" s="35">
        <f>E533+F533+G533+H533+I533</f>
        <v>17.577300000000001</v>
      </c>
      <c r="E533" s="35">
        <f>E537+E541+E545</f>
        <v>17.577300000000001</v>
      </c>
      <c r="F533" s="37">
        <v>0</v>
      </c>
      <c r="G533" s="37">
        <v>0</v>
      </c>
      <c r="H533" s="37">
        <v>0</v>
      </c>
      <c r="I533" s="37">
        <v>0</v>
      </c>
      <c r="J533" s="18"/>
    </row>
    <row r="534" spans="1:10" ht="12.75" customHeight="1">
      <c r="A534" s="788" t="s">
        <v>274</v>
      </c>
      <c r="B534" s="763" t="s">
        <v>275</v>
      </c>
      <c r="C534" s="16" t="s">
        <v>276</v>
      </c>
      <c r="D534" s="39">
        <f t="shared" ref="D534:I534" si="131">D535+D536+D537</f>
        <v>52.233200000000004</v>
      </c>
      <c r="E534" s="39">
        <f t="shared" si="131"/>
        <v>52.233200000000004</v>
      </c>
      <c r="F534" s="39">
        <f t="shared" si="131"/>
        <v>0</v>
      </c>
      <c r="G534" s="39">
        <f t="shared" si="131"/>
        <v>0</v>
      </c>
      <c r="H534" s="39">
        <f t="shared" si="131"/>
        <v>0</v>
      </c>
      <c r="I534" s="39">
        <f t="shared" si="131"/>
        <v>0</v>
      </c>
      <c r="J534" s="18"/>
    </row>
    <row r="535" spans="1:10">
      <c r="A535" s="788"/>
      <c r="B535" s="763"/>
      <c r="C535" s="12">
        <v>2015</v>
      </c>
      <c r="D535" s="35">
        <f>E535+F535+G535+H535+I535</f>
        <v>17.3841</v>
      </c>
      <c r="E535" s="35">
        <f>17384.1/1000</f>
        <v>17.3841</v>
      </c>
      <c r="F535" s="37">
        <v>0</v>
      </c>
      <c r="G535" s="37">
        <v>0</v>
      </c>
      <c r="H535" s="37">
        <v>0</v>
      </c>
      <c r="I535" s="37">
        <v>0</v>
      </c>
      <c r="J535" s="18"/>
    </row>
    <row r="536" spans="1:10">
      <c r="A536" s="788"/>
      <c r="B536" s="763"/>
      <c r="C536" s="12">
        <v>2016</v>
      </c>
      <c r="D536" s="35">
        <f>E536+F536+G536+H536+I536</f>
        <v>17.418200000000002</v>
      </c>
      <c r="E536" s="35">
        <f>17418.2/1000</f>
        <v>17.418200000000002</v>
      </c>
      <c r="F536" s="37">
        <v>0</v>
      </c>
      <c r="G536" s="37">
        <v>0</v>
      </c>
      <c r="H536" s="37">
        <v>0</v>
      </c>
      <c r="I536" s="37">
        <v>0</v>
      </c>
      <c r="J536" s="18"/>
    </row>
    <row r="537" spans="1:10">
      <c r="A537" s="788"/>
      <c r="B537" s="763"/>
      <c r="C537" s="12">
        <v>2017</v>
      </c>
      <c r="D537" s="35">
        <f>E537+F537+G537+H537+I537</f>
        <v>17.430900000000001</v>
      </c>
      <c r="E537" s="37">
        <f>17430.9/1000</f>
        <v>17.430900000000001</v>
      </c>
      <c r="F537" s="37">
        <v>0</v>
      </c>
      <c r="G537" s="37">
        <v>0</v>
      </c>
      <c r="H537" s="37">
        <v>0</v>
      </c>
      <c r="I537" s="37">
        <v>0</v>
      </c>
      <c r="J537" s="18"/>
    </row>
    <row r="538" spans="1:10" ht="12.75" customHeight="1">
      <c r="A538" s="788" t="s">
        <v>277</v>
      </c>
      <c r="B538" s="763" t="s">
        <v>278</v>
      </c>
      <c r="C538" s="16" t="s">
        <v>276</v>
      </c>
      <c r="D538" s="39">
        <f t="shared" ref="D538:I538" si="132">D539+D540+D541</f>
        <v>7.4172000000000002</v>
      </c>
      <c r="E538" s="39">
        <f t="shared" si="132"/>
        <v>0</v>
      </c>
      <c r="F538" s="39">
        <f t="shared" si="132"/>
        <v>0</v>
      </c>
      <c r="G538" s="39">
        <f t="shared" si="132"/>
        <v>0</v>
      </c>
      <c r="H538" s="39">
        <f t="shared" si="132"/>
        <v>0</v>
      </c>
      <c r="I538" s="39">
        <f t="shared" si="132"/>
        <v>7.4172000000000002</v>
      </c>
      <c r="J538" s="18"/>
    </row>
    <row r="539" spans="1:10">
      <c r="A539" s="788"/>
      <c r="B539" s="763"/>
      <c r="C539" s="12">
        <v>2015</v>
      </c>
      <c r="D539" s="35">
        <f>E539+F539+G539+H539+I539</f>
        <v>7.4172000000000002</v>
      </c>
      <c r="E539" s="35">
        <v>0</v>
      </c>
      <c r="F539" s="35">
        <v>0</v>
      </c>
      <c r="G539" s="35">
        <v>0</v>
      </c>
      <c r="H539" s="35">
        <v>0</v>
      </c>
      <c r="I539" s="35">
        <f>7417.2/1000</f>
        <v>7.4172000000000002</v>
      </c>
      <c r="J539" s="18"/>
    </row>
    <row r="540" spans="1:10">
      <c r="A540" s="788"/>
      <c r="B540" s="763"/>
      <c r="C540" s="12">
        <v>2016</v>
      </c>
      <c r="D540" s="35">
        <f>E540+F540+G540+H540+I540</f>
        <v>0</v>
      </c>
      <c r="E540" s="35">
        <f t="shared" ref="E540:H541" si="133">F540+G540+H540+I540+J540</f>
        <v>0</v>
      </c>
      <c r="F540" s="35">
        <f t="shared" si="133"/>
        <v>0</v>
      </c>
      <c r="G540" s="35">
        <f t="shared" si="133"/>
        <v>0</v>
      </c>
      <c r="H540" s="35">
        <f t="shared" si="133"/>
        <v>0</v>
      </c>
      <c r="I540" s="35">
        <v>0</v>
      </c>
      <c r="J540" s="18"/>
    </row>
    <row r="541" spans="1:10">
      <c r="A541" s="788"/>
      <c r="B541" s="763"/>
      <c r="C541" s="12">
        <v>2017</v>
      </c>
      <c r="D541" s="35">
        <f>E541+F541+G541+H541+I541</f>
        <v>0</v>
      </c>
      <c r="E541" s="35">
        <f t="shared" si="133"/>
        <v>0</v>
      </c>
      <c r="F541" s="35">
        <f t="shared" si="133"/>
        <v>0</v>
      </c>
      <c r="G541" s="35">
        <f t="shared" si="133"/>
        <v>0</v>
      </c>
      <c r="H541" s="35">
        <f t="shared" si="133"/>
        <v>0</v>
      </c>
      <c r="I541" s="37">
        <v>0</v>
      </c>
      <c r="J541" s="18"/>
    </row>
    <row r="542" spans="1:10" ht="12.75" customHeight="1">
      <c r="A542" s="788" t="s">
        <v>279</v>
      </c>
      <c r="B542" s="763" t="s">
        <v>280</v>
      </c>
      <c r="C542" s="16" t="s">
        <v>276</v>
      </c>
      <c r="D542" s="39">
        <f t="shared" ref="D542:I542" si="134">D543+D544+D545</f>
        <v>4.7769000000000004</v>
      </c>
      <c r="E542" s="39">
        <f t="shared" si="134"/>
        <v>4.7769000000000004</v>
      </c>
      <c r="F542" s="39">
        <f t="shared" si="134"/>
        <v>0</v>
      </c>
      <c r="G542" s="39">
        <f t="shared" si="134"/>
        <v>0</v>
      </c>
      <c r="H542" s="39">
        <f t="shared" si="134"/>
        <v>0</v>
      </c>
      <c r="I542" s="39">
        <f t="shared" si="134"/>
        <v>0</v>
      </c>
      <c r="J542" s="18"/>
    </row>
    <row r="543" spans="1:10">
      <c r="A543" s="788"/>
      <c r="B543" s="763"/>
      <c r="C543" s="12">
        <v>2015</v>
      </c>
      <c r="D543" s="35">
        <f>E543+F543+G543+H543+I543</f>
        <v>3.1788000000000003</v>
      </c>
      <c r="E543" s="35">
        <f>3178.8/1000</f>
        <v>3.1788000000000003</v>
      </c>
      <c r="F543" s="35">
        <f t="shared" ref="F543:I545" si="135">G543+H543+I543+J543+K543</f>
        <v>0</v>
      </c>
      <c r="G543" s="35">
        <f t="shared" si="135"/>
        <v>0</v>
      </c>
      <c r="H543" s="35">
        <f t="shared" si="135"/>
        <v>0</v>
      </c>
      <c r="I543" s="35">
        <f t="shared" si="135"/>
        <v>0</v>
      </c>
      <c r="J543" s="18"/>
    </row>
    <row r="544" spans="1:10">
      <c r="A544" s="788"/>
      <c r="B544" s="763"/>
      <c r="C544" s="12">
        <v>2016</v>
      </c>
      <c r="D544" s="35">
        <f>E544+F544+G544+H544+I544</f>
        <v>1.4517</v>
      </c>
      <c r="E544" s="35">
        <f>1451.7/1000</f>
        <v>1.4517</v>
      </c>
      <c r="F544" s="35">
        <f t="shared" si="135"/>
        <v>0</v>
      </c>
      <c r="G544" s="35">
        <f t="shared" si="135"/>
        <v>0</v>
      </c>
      <c r="H544" s="35">
        <f t="shared" si="135"/>
        <v>0</v>
      </c>
      <c r="I544" s="35">
        <f t="shared" si="135"/>
        <v>0</v>
      </c>
      <c r="J544" s="18"/>
    </row>
    <row r="545" spans="1:11">
      <c r="A545" s="788"/>
      <c r="B545" s="763"/>
      <c r="C545" s="12">
        <v>2017</v>
      </c>
      <c r="D545" s="35">
        <f>E545+F545+G545+H545+I545</f>
        <v>0.1464</v>
      </c>
      <c r="E545" s="37">
        <f>146.4/1000</f>
        <v>0.1464</v>
      </c>
      <c r="F545" s="35">
        <f t="shared" si="135"/>
        <v>0</v>
      </c>
      <c r="G545" s="35">
        <f t="shared" si="135"/>
        <v>0</v>
      </c>
      <c r="H545" s="35">
        <f t="shared" si="135"/>
        <v>0</v>
      </c>
      <c r="I545" s="35">
        <f t="shared" si="135"/>
        <v>0</v>
      </c>
      <c r="J545" s="18"/>
    </row>
    <row r="546" spans="1:11" ht="12.75" customHeight="1">
      <c r="A546" s="788" t="s">
        <v>281</v>
      </c>
      <c r="B546" s="763" t="s">
        <v>282</v>
      </c>
      <c r="C546" s="16" t="s">
        <v>16</v>
      </c>
      <c r="D546" s="39">
        <f t="shared" ref="D546:I546" si="136">D547+D548+D549</f>
        <v>95.59</v>
      </c>
      <c r="E546" s="39">
        <f t="shared" si="136"/>
        <v>95.59</v>
      </c>
      <c r="F546" s="39">
        <f t="shared" si="136"/>
        <v>0</v>
      </c>
      <c r="G546" s="39">
        <f t="shared" si="136"/>
        <v>0</v>
      </c>
      <c r="H546" s="39">
        <f t="shared" si="136"/>
        <v>0</v>
      </c>
      <c r="I546" s="39">
        <f t="shared" si="136"/>
        <v>0</v>
      </c>
      <c r="J546" s="18"/>
    </row>
    <row r="547" spans="1:11">
      <c r="A547" s="788"/>
      <c r="B547" s="763"/>
      <c r="C547" s="12">
        <v>2015</v>
      </c>
      <c r="D547" s="35">
        <f>E547+F547+G547+H547+I547</f>
        <v>29.265000000000001</v>
      </c>
      <c r="E547" s="35">
        <f>29265/1000</f>
        <v>29.265000000000001</v>
      </c>
      <c r="F547" s="35">
        <f t="shared" ref="F547:I549" si="137">G547+H547+I547+J547+K547</f>
        <v>0</v>
      </c>
      <c r="G547" s="35">
        <f t="shared" si="137"/>
        <v>0</v>
      </c>
      <c r="H547" s="35">
        <f t="shared" si="137"/>
        <v>0</v>
      </c>
      <c r="I547" s="35">
        <f t="shared" si="137"/>
        <v>0</v>
      </c>
      <c r="J547" s="18"/>
    </row>
    <row r="548" spans="1:11">
      <c r="A548" s="788"/>
      <c r="B548" s="763"/>
      <c r="C548" s="12">
        <v>2016</v>
      </c>
      <c r="D548" s="35">
        <f>E548+F548+G548+H548+I548</f>
        <v>31.873999999999999</v>
      </c>
      <c r="E548" s="35">
        <f>31874/1000</f>
        <v>31.873999999999999</v>
      </c>
      <c r="F548" s="35">
        <f t="shared" si="137"/>
        <v>0</v>
      </c>
      <c r="G548" s="35">
        <f t="shared" si="137"/>
        <v>0</v>
      </c>
      <c r="H548" s="35">
        <f t="shared" si="137"/>
        <v>0</v>
      </c>
      <c r="I548" s="35">
        <f t="shared" si="137"/>
        <v>0</v>
      </c>
      <c r="J548" s="18"/>
    </row>
    <row r="549" spans="1:11">
      <c r="A549" s="788"/>
      <c r="B549" s="763"/>
      <c r="C549" s="12">
        <v>2017</v>
      </c>
      <c r="D549" s="35">
        <f>E549+F549+G549+H549+I549</f>
        <v>34.451000000000001</v>
      </c>
      <c r="E549" s="35">
        <f>34451/1000</f>
        <v>34.451000000000001</v>
      </c>
      <c r="F549" s="35">
        <f t="shared" si="137"/>
        <v>0</v>
      </c>
      <c r="G549" s="35">
        <f t="shared" si="137"/>
        <v>0</v>
      </c>
      <c r="H549" s="35">
        <f t="shared" si="137"/>
        <v>0</v>
      </c>
      <c r="I549" s="35">
        <f t="shared" si="137"/>
        <v>0</v>
      </c>
      <c r="J549" s="18"/>
    </row>
    <row r="550" spans="1:11" ht="12.75" customHeight="1">
      <c r="A550" s="788" t="s">
        <v>283</v>
      </c>
      <c r="B550" s="763" t="s">
        <v>284</v>
      </c>
      <c r="C550" s="16" t="s">
        <v>16</v>
      </c>
      <c r="D550" s="39">
        <f t="shared" ref="D550:I550" si="138">D551+D552+D553</f>
        <v>95.59</v>
      </c>
      <c r="E550" s="39">
        <f t="shared" si="138"/>
        <v>95.59</v>
      </c>
      <c r="F550" s="39">
        <f t="shared" si="138"/>
        <v>0</v>
      </c>
      <c r="G550" s="39">
        <f t="shared" si="138"/>
        <v>0</v>
      </c>
      <c r="H550" s="39">
        <f t="shared" si="138"/>
        <v>0</v>
      </c>
      <c r="I550" s="39">
        <f t="shared" si="138"/>
        <v>0</v>
      </c>
      <c r="J550" s="18"/>
    </row>
    <row r="551" spans="1:11">
      <c r="A551" s="788"/>
      <c r="B551" s="763"/>
      <c r="C551" s="12">
        <v>2015</v>
      </c>
      <c r="D551" s="35">
        <f>E551+F551+G551+H551+I551</f>
        <v>29.265000000000001</v>
      </c>
      <c r="E551" s="35">
        <f>29265/1000</f>
        <v>29.265000000000001</v>
      </c>
      <c r="F551" s="35">
        <f t="shared" ref="F551:I553" si="139">G551+H551+I551+J551+K551</f>
        <v>0</v>
      </c>
      <c r="G551" s="35">
        <f t="shared" si="139"/>
        <v>0</v>
      </c>
      <c r="H551" s="35">
        <f t="shared" si="139"/>
        <v>0</v>
      </c>
      <c r="I551" s="35">
        <f t="shared" si="139"/>
        <v>0</v>
      </c>
      <c r="J551" s="18"/>
    </row>
    <row r="552" spans="1:11">
      <c r="A552" s="788"/>
      <c r="B552" s="763"/>
      <c r="C552" s="12">
        <v>2016</v>
      </c>
      <c r="D552" s="35">
        <f>E552+F552+G552+H552+I552</f>
        <v>31.873999999999999</v>
      </c>
      <c r="E552" s="35">
        <f>31874/1000</f>
        <v>31.873999999999999</v>
      </c>
      <c r="F552" s="35">
        <f t="shared" si="139"/>
        <v>0</v>
      </c>
      <c r="G552" s="35">
        <f t="shared" si="139"/>
        <v>0</v>
      </c>
      <c r="H552" s="35">
        <f t="shared" si="139"/>
        <v>0</v>
      </c>
      <c r="I552" s="35">
        <f t="shared" si="139"/>
        <v>0</v>
      </c>
      <c r="J552" s="18"/>
    </row>
    <row r="553" spans="1:11">
      <c r="A553" s="788"/>
      <c r="B553" s="763"/>
      <c r="C553" s="12">
        <v>2017</v>
      </c>
      <c r="D553" s="35">
        <f>E553+F553+G553+H553+I553</f>
        <v>34.451000000000001</v>
      </c>
      <c r="E553" s="35">
        <f>34451/1000</f>
        <v>34.451000000000001</v>
      </c>
      <c r="F553" s="35">
        <f t="shared" si="139"/>
        <v>0</v>
      </c>
      <c r="G553" s="35">
        <f t="shared" si="139"/>
        <v>0</v>
      </c>
      <c r="H553" s="35">
        <f t="shared" si="139"/>
        <v>0</v>
      </c>
      <c r="I553" s="35">
        <f t="shared" si="139"/>
        <v>0</v>
      </c>
      <c r="J553" s="18"/>
    </row>
    <row r="554" spans="1:11" s="14" customFormat="1">
      <c r="A554" s="790" t="s">
        <v>285</v>
      </c>
      <c r="B554" s="787" t="s">
        <v>286</v>
      </c>
      <c r="C554" s="16" t="s">
        <v>16</v>
      </c>
      <c r="D554" s="39">
        <f t="shared" ref="D554:I557" si="140">D558</f>
        <v>206.1438579</v>
      </c>
      <c r="E554" s="39">
        <f t="shared" si="140"/>
        <v>186.90100000000001</v>
      </c>
      <c r="F554" s="39">
        <f t="shared" si="140"/>
        <v>4.02E-2</v>
      </c>
      <c r="G554" s="39">
        <f t="shared" si="140"/>
        <v>17.651699999999998</v>
      </c>
      <c r="H554" s="39">
        <f t="shared" si="140"/>
        <v>4.7047800000000001E-2</v>
      </c>
      <c r="I554" s="39">
        <f t="shared" si="140"/>
        <v>1.5039101000000001</v>
      </c>
      <c r="J554" s="18"/>
    </row>
    <row r="555" spans="1:11" s="14" customFormat="1">
      <c r="A555" s="791"/>
      <c r="B555" s="787"/>
      <c r="C555" s="16">
        <v>2015</v>
      </c>
      <c r="D555" s="39">
        <f t="shared" si="140"/>
        <v>71.782357899999994</v>
      </c>
      <c r="E555" s="39">
        <f t="shared" si="140"/>
        <v>64.377499999999998</v>
      </c>
      <c r="F555" s="39">
        <f t="shared" si="140"/>
        <v>0</v>
      </c>
      <c r="G555" s="39">
        <f t="shared" si="140"/>
        <v>5.8838999999999997</v>
      </c>
      <c r="H555" s="39">
        <f t="shared" si="140"/>
        <v>1.7047799999999998E-2</v>
      </c>
      <c r="I555" s="39">
        <f t="shared" si="140"/>
        <v>1.5039101000000001</v>
      </c>
      <c r="J555" s="18"/>
    </row>
    <row r="556" spans="1:11" s="14" customFormat="1">
      <c r="A556" s="791"/>
      <c r="B556" s="787"/>
      <c r="C556" s="16">
        <v>2016</v>
      </c>
      <c r="D556" s="39">
        <f t="shared" si="140"/>
        <v>70.136899999999997</v>
      </c>
      <c r="E556" s="39">
        <f t="shared" si="140"/>
        <v>64.197800000000001</v>
      </c>
      <c r="F556" s="39">
        <f t="shared" si="140"/>
        <v>4.02E-2</v>
      </c>
      <c r="G556" s="39">
        <f t="shared" si="140"/>
        <v>5.8838999999999997</v>
      </c>
      <c r="H556" s="39">
        <f t="shared" si="140"/>
        <v>1.4999999999999999E-2</v>
      </c>
      <c r="I556" s="39">
        <f t="shared" si="140"/>
        <v>0</v>
      </c>
      <c r="J556" s="18"/>
    </row>
    <row r="557" spans="1:11" s="14" customFormat="1" ht="12.75" customHeight="1">
      <c r="A557" s="792"/>
      <c r="B557" s="787"/>
      <c r="C557" s="16">
        <v>2017</v>
      </c>
      <c r="D557" s="39">
        <f t="shared" si="140"/>
        <v>64.224599999999995</v>
      </c>
      <c r="E557" s="39">
        <f t="shared" si="140"/>
        <v>58.325699999999998</v>
      </c>
      <c r="F557" s="39">
        <f t="shared" si="140"/>
        <v>0</v>
      </c>
      <c r="G557" s="39">
        <f t="shared" si="140"/>
        <v>5.8838999999999997</v>
      </c>
      <c r="H557" s="39">
        <f t="shared" si="140"/>
        <v>1.4999999999999999E-2</v>
      </c>
      <c r="I557" s="39">
        <f t="shared" si="140"/>
        <v>0</v>
      </c>
      <c r="J557" s="18"/>
    </row>
    <row r="558" spans="1:11" ht="12.75" customHeight="1">
      <c r="A558" s="788" t="s">
        <v>287</v>
      </c>
      <c r="B558" s="770" t="s">
        <v>288</v>
      </c>
      <c r="C558" s="16" t="s">
        <v>16</v>
      </c>
      <c r="D558" s="40">
        <f t="shared" ref="D558:I561" si="141">D562+D622</f>
        <v>206.1438579</v>
      </c>
      <c r="E558" s="40">
        <f t="shared" si="141"/>
        <v>186.90100000000001</v>
      </c>
      <c r="F558" s="40">
        <f t="shared" si="141"/>
        <v>4.02E-2</v>
      </c>
      <c r="G558" s="40">
        <f t="shared" si="141"/>
        <v>17.651699999999998</v>
      </c>
      <c r="H558" s="40">
        <f t="shared" si="141"/>
        <v>4.7047800000000001E-2</v>
      </c>
      <c r="I558" s="40">
        <f t="shared" si="141"/>
        <v>1.5039101000000001</v>
      </c>
      <c r="J558" s="18"/>
      <c r="K558" s="24"/>
    </row>
    <row r="559" spans="1:11" ht="12.75" customHeight="1">
      <c r="A559" s="788"/>
      <c r="B559" s="770"/>
      <c r="C559" s="12">
        <v>2015</v>
      </c>
      <c r="D559" s="37">
        <f t="shared" si="141"/>
        <v>71.782357899999994</v>
      </c>
      <c r="E559" s="37">
        <f t="shared" si="141"/>
        <v>64.377499999999998</v>
      </c>
      <c r="F559" s="37">
        <f t="shared" si="141"/>
        <v>0</v>
      </c>
      <c r="G559" s="37">
        <f t="shared" si="141"/>
        <v>5.8838999999999997</v>
      </c>
      <c r="H559" s="37">
        <f t="shared" si="141"/>
        <v>1.7047799999999998E-2</v>
      </c>
      <c r="I559" s="37">
        <f t="shared" si="141"/>
        <v>1.5039101000000001</v>
      </c>
      <c r="J559" s="18"/>
    </row>
    <row r="560" spans="1:11" ht="12.75" customHeight="1">
      <c r="A560" s="788"/>
      <c r="B560" s="770"/>
      <c r="C560" s="12">
        <v>2016</v>
      </c>
      <c r="D560" s="37">
        <f t="shared" si="141"/>
        <v>70.136899999999997</v>
      </c>
      <c r="E560" s="37">
        <f t="shared" si="141"/>
        <v>64.197800000000001</v>
      </c>
      <c r="F560" s="37">
        <f t="shared" si="141"/>
        <v>4.02E-2</v>
      </c>
      <c r="G560" s="37">
        <f t="shared" si="141"/>
        <v>5.8838999999999997</v>
      </c>
      <c r="H560" s="37">
        <f t="shared" si="141"/>
        <v>1.4999999999999999E-2</v>
      </c>
      <c r="I560" s="37">
        <f t="shared" si="141"/>
        <v>0</v>
      </c>
      <c r="J560" s="18"/>
    </row>
    <row r="561" spans="1:12" ht="12.75" customHeight="1">
      <c r="A561" s="788"/>
      <c r="B561" s="770"/>
      <c r="C561" s="12">
        <v>2017</v>
      </c>
      <c r="D561" s="37">
        <f t="shared" si="141"/>
        <v>64.224599999999995</v>
      </c>
      <c r="E561" s="37">
        <f t="shared" si="141"/>
        <v>58.325699999999998</v>
      </c>
      <c r="F561" s="37">
        <f t="shared" si="141"/>
        <v>0</v>
      </c>
      <c r="G561" s="37">
        <f t="shared" si="141"/>
        <v>5.8838999999999997</v>
      </c>
      <c r="H561" s="37">
        <f t="shared" si="141"/>
        <v>1.4999999999999999E-2</v>
      </c>
      <c r="I561" s="37">
        <f t="shared" si="141"/>
        <v>0</v>
      </c>
      <c r="J561" s="18"/>
    </row>
    <row r="562" spans="1:12" ht="12.75" customHeight="1">
      <c r="A562" s="788" t="s">
        <v>289</v>
      </c>
      <c r="B562" s="771" t="s">
        <v>290</v>
      </c>
      <c r="C562" s="16" t="s">
        <v>16</v>
      </c>
      <c r="D562" s="39">
        <f t="shared" ref="D562:I562" si="142">D563+D564+D565</f>
        <v>204.28121010000001</v>
      </c>
      <c r="E562" s="39">
        <f t="shared" si="142"/>
        <v>186.90100000000001</v>
      </c>
      <c r="F562" s="39">
        <f t="shared" si="142"/>
        <v>4.02E-2</v>
      </c>
      <c r="G562" s="39">
        <f t="shared" si="142"/>
        <v>15.836099999999998</v>
      </c>
      <c r="H562" s="39">
        <f t="shared" si="142"/>
        <v>0</v>
      </c>
      <c r="I562" s="39">
        <f t="shared" si="142"/>
        <v>1.5039101000000001</v>
      </c>
      <c r="J562" s="18"/>
      <c r="K562" s="24"/>
      <c r="L562" s="24"/>
    </row>
    <row r="563" spans="1:12" ht="12.75" customHeight="1">
      <c r="A563" s="788"/>
      <c r="B563" s="771"/>
      <c r="C563" s="12">
        <v>2015</v>
      </c>
      <c r="D563" s="35">
        <f>E563+F563+G563+H563+I563</f>
        <v>71.160110099999997</v>
      </c>
      <c r="E563" s="27">
        <f>64377500/1000000</f>
        <v>64.377499999999998</v>
      </c>
      <c r="F563" s="27">
        <v>0</v>
      </c>
      <c r="G563" s="27">
        <f>5278700/1000000</f>
        <v>5.2786999999999997</v>
      </c>
      <c r="H563" s="27">
        <v>0</v>
      </c>
      <c r="I563" s="27">
        <f>1503910.1/1000000</f>
        <v>1.5039101000000001</v>
      </c>
      <c r="J563" s="18"/>
    </row>
    <row r="564" spans="1:12" ht="12.75" customHeight="1">
      <c r="A564" s="788"/>
      <c r="B564" s="771"/>
      <c r="C564" s="12">
        <v>2016</v>
      </c>
      <c r="D564" s="35">
        <f>E564+F564+G564+H564+I564</f>
        <v>69.5167</v>
      </c>
      <c r="E564" s="27">
        <f>64197800/1000000</f>
        <v>64.197800000000001</v>
      </c>
      <c r="F564" s="27">
        <f>40200/1000000</f>
        <v>4.02E-2</v>
      </c>
      <c r="G564" s="27">
        <f>5278700/1000000</f>
        <v>5.2786999999999997</v>
      </c>
      <c r="H564" s="27">
        <v>0</v>
      </c>
      <c r="I564" s="27">
        <v>0</v>
      </c>
      <c r="J564" s="18"/>
    </row>
    <row r="565" spans="1:12" ht="12.75" customHeight="1">
      <c r="A565" s="788"/>
      <c r="B565" s="771"/>
      <c r="C565" s="12">
        <v>2017</v>
      </c>
      <c r="D565" s="35">
        <f>E565+F565+G565+H565+I565</f>
        <v>63.604399999999998</v>
      </c>
      <c r="E565" s="27">
        <f>58325700/1000000</f>
        <v>58.325699999999998</v>
      </c>
      <c r="F565" s="27">
        <v>0</v>
      </c>
      <c r="G565" s="27">
        <f>5278700/1000000</f>
        <v>5.2786999999999997</v>
      </c>
      <c r="H565" s="27">
        <v>0</v>
      </c>
      <c r="I565" s="27">
        <v>0</v>
      </c>
      <c r="J565" s="18"/>
    </row>
    <row r="566" spans="1:12" ht="12.75" customHeight="1">
      <c r="A566" s="788" t="s">
        <v>291</v>
      </c>
      <c r="B566" s="771" t="s">
        <v>292</v>
      </c>
      <c r="C566" s="16" t="s">
        <v>16</v>
      </c>
      <c r="D566" s="39">
        <f t="shared" ref="D566:I566" si="143">D567+D568+D569</f>
        <v>10.008042</v>
      </c>
      <c r="E566" s="39">
        <f t="shared" si="143"/>
        <v>10.008042</v>
      </c>
      <c r="F566" s="39">
        <f t="shared" si="143"/>
        <v>0</v>
      </c>
      <c r="G566" s="39">
        <f t="shared" si="143"/>
        <v>0</v>
      </c>
      <c r="H566" s="39">
        <f t="shared" si="143"/>
        <v>0</v>
      </c>
      <c r="I566" s="39">
        <f t="shared" si="143"/>
        <v>0</v>
      </c>
      <c r="J566" s="18"/>
    </row>
    <row r="567" spans="1:12" ht="12.75" customHeight="1">
      <c r="A567" s="788"/>
      <c r="B567" s="771"/>
      <c r="C567" s="12">
        <v>2015</v>
      </c>
      <c r="D567" s="35">
        <f>E567+F567+G567+H567+I567</f>
        <v>3.336014</v>
      </c>
      <c r="E567" s="27">
        <f>3336014/1000000</f>
        <v>3.336014</v>
      </c>
      <c r="F567" s="27">
        <v>0</v>
      </c>
      <c r="G567" s="27">
        <v>0</v>
      </c>
      <c r="H567" s="27">
        <v>0</v>
      </c>
      <c r="I567" s="27">
        <v>0</v>
      </c>
      <c r="J567" s="18"/>
    </row>
    <row r="568" spans="1:12" ht="12.75" customHeight="1">
      <c r="A568" s="788"/>
      <c r="B568" s="771"/>
      <c r="C568" s="12">
        <v>2016</v>
      </c>
      <c r="D568" s="35">
        <f>E568+F568+G568+H568+I568</f>
        <v>3.336014</v>
      </c>
      <c r="E568" s="27">
        <f>3336014/1000000</f>
        <v>3.336014</v>
      </c>
      <c r="F568" s="27">
        <v>0</v>
      </c>
      <c r="G568" s="27">
        <v>0</v>
      </c>
      <c r="H568" s="27">
        <v>0</v>
      </c>
      <c r="I568" s="27">
        <v>0</v>
      </c>
      <c r="J568" s="18"/>
    </row>
    <row r="569" spans="1:12" ht="12.75" customHeight="1">
      <c r="A569" s="788"/>
      <c r="B569" s="771"/>
      <c r="C569" s="12">
        <v>2017</v>
      </c>
      <c r="D569" s="35">
        <f>E569+F569+G569+H569+I569</f>
        <v>3.336014</v>
      </c>
      <c r="E569" s="27">
        <f>3336014/1000000</f>
        <v>3.336014</v>
      </c>
      <c r="F569" s="27">
        <v>0</v>
      </c>
      <c r="G569" s="27">
        <v>0</v>
      </c>
      <c r="H569" s="27">
        <v>0</v>
      </c>
      <c r="I569" s="27">
        <v>0</v>
      </c>
      <c r="J569" s="18"/>
    </row>
    <row r="570" spans="1:12" ht="12.75" customHeight="1">
      <c r="A570" s="788" t="s">
        <v>293</v>
      </c>
      <c r="B570" s="771" t="s">
        <v>294</v>
      </c>
      <c r="C570" s="16" t="s">
        <v>16</v>
      </c>
      <c r="D570" s="39">
        <f t="shared" ref="D570:I570" si="144">D571+D572+D573</f>
        <v>155.23955799999999</v>
      </c>
      <c r="E570" s="39">
        <f t="shared" si="144"/>
        <v>155.23955799999999</v>
      </c>
      <c r="F570" s="39">
        <f t="shared" si="144"/>
        <v>0</v>
      </c>
      <c r="G570" s="39">
        <f t="shared" si="144"/>
        <v>0</v>
      </c>
      <c r="H570" s="39">
        <f t="shared" si="144"/>
        <v>0</v>
      </c>
      <c r="I570" s="39">
        <f t="shared" si="144"/>
        <v>0</v>
      </c>
      <c r="J570" s="18"/>
    </row>
    <row r="571" spans="1:12" ht="12.75" customHeight="1">
      <c r="A571" s="788"/>
      <c r="B571" s="771"/>
      <c r="C571" s="12">
        <v>2015</v>
      </c>
      <c r="D571" s="35">
        <f>E571+F571+G571+H571+I571</f>
        <v>51.950685999999997</v>
      </c>
      <c r="E571" s="27">
        <f>51950686/1000000</f>
        <v>51.950685999999997</v>
      </c>
      <c r="F571" s="27">
        <v>0</v>
      </c>
      <c r="G571" s="27">
        <v>0</v>
      </c>
      <c r="H571" s="27">
        <v>0</v>
      </c>
      <c r="I571" s="27">
        <v>0</v>
      </c>
      <c r="J571" s="18"/>
    </row>
    <row r="572" spans="1:12" ht="12.75" customHeight="1">
      <c r="A572" s="788"/>
      <c r="B572" s="771"/>
      <c r="C572" s="12">
        <v>2016</v>
      </c>
      <c r="D572" s="35">
        <f>E572+F572+G572+H572+I572</f>
        <v>51.460585999999999</v>
      </c>
      <c r="E572" s="27">
        <f>51460586/1000000</f>
        <v>51.460585999999999</v>
      </c>
      <c r="F572" s="27">
        <v>0</v>
      </c>
      <c r="G572" s="27">
        <v>0</v>
      </c>
      <c r="H572" s="27">
        <v>0</v>
      </c>
      <c r="I572" s="27">
        <v>0</v>
      </c>
      <c r="J572" s="18"/>
    </row>
    <row r="573" spans="1:12" ht="12.75" customHeight="1">
      <c r="A573" s="788"/>
      <c r="B573" s="771"/>
      <c r="C573" s="12">
        <v>2017</v>
      </c>
      <c r="D573" s="35">
        <f>E573+F573+G573+H573+I573</f>
        <v>51.828285999999999</v>
      </c>
      <c r="E573" s="27">
        <f>51828286/1000000</f>
        <v>51.828285999999999</v>
      </c>
      <c r="F573" s="27">
        <v>0</v>
      </c>
      <c r="G573" s="27">
        <v>0</v>
      </c>
      <c r="H573" s="27">
        <v>0</v>
      </c>
      <c r="I573" s="27">
        <v>0</v>
      </c>
      <c r="J573" s="18"/>
    </row>
    <row r="574" spans="1:12" ht="12.75" customHeight="1">
      <c r="A574" s="788" t="s">
        <v>295</v>
      </c>
      <c r="B574" s="771" t="s">
        <v>296</v>
      </c>
      <c r="C574" s="16" t="s">
        <v>16</v>
      </c>
      <c r="D574" s="39">
        <f t="shared" ref="D574:I574" si="145">D575+D576+D577</f>
        <v>6.2712000000000003</v>
      </c>
      <c r="E574" s="39">
        <f t="shared" si="145"/>
        <v>6.2712000000000003</v>
      </c>
      <c r="F574" s="39">
        <f t="shared" si="145"/>
        <v>0</v>
      </c>
      <c r="G574" s="39">
        <f t="shared" si="145"/>
        <v>0</v>
      </c>
      <c r="H574" s="39">
        <f t="shared" si="145"/>
        <v>0</v>
      </c>
      <c r="I574" s="39">
        <f t="shared" si="145"/>
        <v>0</v>
      </c>
      <c r="J574" s="18"/>
    </row>
    <row r="575" spans="1:12" ht="12.75" customHeight="1">
      <c r="A575" s="788"/>
      <c r="B575" s="771"/>
      <c r="C575" s="12">
        <v>2015</v>
      </c>
      <c r="D575" s="35">
        <f>E575+F575+G575+H575+I575</f>
        <v>0</v>
      </c>
      <c r="E575" s="27">
        <v>0</v>
      </c>
      <c r="F575" s="27">
        <v>0</v>
      </c>
      <c r="G575" s="27">
        <v>0</v>
      </c>
      <c r="H575" s="27">
        <v>0</v>
      </c>
      <c r="I575" s="27">
        <v>0</v>
      </c>
      <c r="J575" s="18"/>
    </row>
    <row r="576" spans="1:12" ht="12.75" customHeight="1">
      <c r="A576" s="788"/>
      <c r="B576" s="771"/>
      <c r="C576" s="12">
        <v>2016</v>
      </c>
      <c r="D576" s="35">
        <f>E576+F576+G576+H576+I576</f>
        <v>6.2712000000000003</v>
      </c>
      <c r="E576" s="27">
        <f>6271200/1000000</f>
        <v>6.2712000000000003</v>
      </c>
      <c r="F576" s="27">
        <v>0</v>
      </c>
      <c r="G576" s="27">
        <v>0</v>
      </c>
      <c r="H576" s="27">
        <v>0</v>
      </c>
      <c r="I576" s="27">
        <v>0</v>
      </c>
      <c r="J576" s="18"/>
    </row>
    <row r="577" spans="1:10" ht="12.75" customHeight="1">
      <c r="A577" s="788"/>
      <c r="B577" s="771"/>
      <c r="C577" s="12">
        <v>2017</v>
      </c>
      <c r="D577" s="35">
        <f>E577+F577+G577+H577+I577</f>
        <v>0</v>
      </c>
      <c r="E577" s="27">
        <v>0</v>
      </c>
      <c r="F577" s="27">
        <v>0</v>
      </c>
      <c r="G577" s="27">
        <v>0</v>
      </c>
      <c r="H577" s="27">
        <v>0</v>
      </c>
      <c r="I577" s="27">
        <v>0</v>
      </c>
      <c r="J577" s="18"/>
    </row>
    <row r="578" spans="1:10" ht="12.75" customHeight="1">
      <c r="A578" s="788" t="s">
        <v>297</v>
      </c>
      <c r="B578" s="771" t="s">
        <v>298</v>
      </c>
      <c r="C578" s="16" t="s">
        <v>16</v>
      </c>
      <c r="D578" s="39">
        <f t="shared" ref="D578:I578" si="146">D579+D580+D581</f>
        <v>6.0134999999999996</v>
      </c>
      <c r="E578" s="39">
        <f t="shared" si="146"/>
        <v>6.0134999999999996</v>
      </c>
      <c r="F578" s="39">
        <f t="shared" si="146"/>
        <v>0</v>
      </c>
      <c r="G578" s="39">
        <f t="shared" si="146"/>
        <v>0</v>
      </c>
      <c r="H578" s="39">
        <f t="shared" si="146"/>
        <v>0</v>
      </c>
      <c r="I578" s="39">
        <f t="shared" si="146"/>
        <v>0</v>
      </c>
      <c r="J578" s="18"/>
    </row>
    <row r="579" spans="1:10" ht="12.75" customHeight="1">
      <c r="A579" s="788"/>
      <c r="B579" s="771"/>
      <c r="C579" s="12">
        <v>2015</v>
      </c>
      <c r="D579" s="35">
        <f>E579+F579+G579+H579+I579</f>
        <v>6.0134999999999996</v>
      </c>
      <c r="E579" s="27">
        <f>6013500/1000000</f>
        <v>6.0134999999999996</v>
      </c>
      <c r="F579" s="27">
        <v>0</v>
      </c>
      <c r="G579" s="27">
        <v>0</v>
      </c>
      <c r="H579" s="27">
        <v>0</v>
      </c>
      <c r="I579" s="27">
        <v>0</v>
      </c>
      <c r="J579" s="18"/>
    </row>
    <row r="580" spans="1:10" ht="12.75" customHeight="1">
      <c r="A580" s="788"/>
      <c r="B580" s="771"/>
      <c r="C580" s="12">
        <v>2016</v>
      </c>
      <c r="D580" s="35">
        <f>E580+F580+G580+H580+I580</f>
        <v>0</v>
      </c>
      <c r="E580" s="27">
        <v>0</v>
      </c>
      <c r="F580" s="27">
        <v>0</v>
      </c>
      <c r="G580" s="27">
        <v>0</v>
      </c>
      <c r="H580" s="27">
        <v>0</v>
      </c>
      <c r="I580" s="27">
        <v>0</v>
      </c>
      <c r="J580" s="18"/>
    </row>
    <row r="581" spans="1:10" ht="12.75" customHeight="1">
      <c r="A581" s="788"/>
      <c r="B581" s="771"/>
      <c r="C581" s="12">
        <v>2017</v>
      </c>
      <c r="D581" s="35">
        <f>E581+F581+G581+H581+I581</f>
        <v>0</v>
      </c>
      <c r="E581" s="27">
        <v>0</v>
      </c>
      <c r="F581" s="27">
        <v>0</v>
      </c>
      <c r="G581" s="27">
        <v>0</v>
      </c>
      <c r="H581" s="27">
        <v>0</v>
      </c>
      <c r="I581" s="27">
        <v>0</v>
      </c>
      <c r="J581" s="18"/>
    </row>
    <row r="582" spans="1:10" ht="12.75" customHeight="1">
      <c r="A582" s="788" t="s">
        <v>299</v>
      </c>
      <c r="B582" s="771" t="s">
        <v>300</v>
      </c>
      <c r="C582" s="16" t="s">
        <v>16</v>
      </c>
      <c r="D582" s="39">
        <f t="shared" ref="D582:I582" si="147">D583+D584+D585</f>
        <v>3</v>
      </c>
      <c r="E582" s="39">
        <f t="shared" si="147"/>
        <v>3</v>
      </c>
      <c r="F582" s="39">
        <f t="shared" si="147"/>
        <v>0</v>
      </c>
      <c r="G582" s="39">
        <f t="shared" si="147"/>
        <v>0</v>
      </c>
      <c r="H582" s="39">
        <f t="shared" si="147"/>
        <v>0</v>
      </c>
      <c r="I582" s="39">
        <f t="shared" si="147"/>
        <v>0</v>
      </c>
      <c r="J582" s="18"/>
    </row>
    <row r="583" spans="1:10" ht="12.75" customHeight="1">
      <c r="A583" s="788"/>
      <c r="B583" s="771"/>
      <c r="C583" s="12">
        <v>2015</v>
      </c>
      <c r="D583" s="35">
        <f>E583+F583+G583+H583+I583</f>
        <v>1</v>
      </c>
      <c r="E583" s="27">
        <f>1000000/1000000</f>
        <v>1</v>
      </c>
      <c r="F583" s="27">
        <v>0</v>
      </c>
      <c r="G583" s="27">
        <v>0</v>
      </c>
      <c r="H583" s="27">
        <v>0</v>
      </c>
      <c r="I583" s="27">
        <v>0</v>
      </c>
      <c r="J583" s="18"/>
    </row>
    <row r="584" spans="1:10" ht="12.75" customHeight="1">
      <c r="A584" s="788"/>
      <c r="B584" s="771"/>
      <c r="C584" s="12">
        <v>2016</v>
      </c>
      <c r="D584" s="35">
        <f>E584+F584+G584+H584+I584</f>
        <v>1</v>
      </c>
      <c r="E584" s="27">
        <f>1000000/1000000</f>
        <v>1</v>
      </c>
      <c r="F584" s="27">
        <v>0</v>
      </c>
      <c r="G584" s="27">
        <v>0</v>
      </c>
      <c r="H584" s="27">
        <v>0</v>
      </c>
      <c r="I584" s="27">
        <v>0</v>
      </c>
      <c r="J584" s="18"/>
    </row>
    <row r="585" spans="1:10" ht="12.75" customHeight="1">
      <c r="A585" s="788"/>
      <c r="B585" s="771"/>
      <c r="C585" s="12">
        <v>2017</v>
      </c>
      <c r="D585" s="35">
        <f>E585+F585+G585+H585+I585</f>
        <v>1</v>
      </c>
      <c r="E585" s="27">
        <f>1000000/1000000</f>
        <v>1</v>
      </c>
      <c r="F585" s="27">
        <v>0</v>
      </c>
      <c r="G585" s="27">
        <v>0</v>
      </c>
      <c r="H585" s="27">
        <v>0</v>
      </c>
      <c r="I585" s="27">
        <v>0</v>
      </c>
      <c r="J585" s="18"/>
    </row>
    <row r="586" spans="1:10" ht="12.75" customHeight="1">
      <c r="A586" s="788" t="s">
        <v>301</v>
      </c>
      <c r="B586" s="771" t="s">
        <v>302</v>
      </c>
      <c r="C586" s="16" t="s">
        <v>16</v>
      </c>
      <c r="D586" s="39">
        <f t="shared" ref="D586:I586" si="148">D587+D588+D589</f>
        <v>2.1851000000000003</v>
      </c>
      <c r="E586" s="39">
        <f t="shared" si="148"/>
        <v>2.1851000000000003</v>
      </c>
      <c r="F586" s="39">
        <f t="shared" si="148"/>
        <v>0</v>
      </c>
      <c r="G586" s="39">
        <f t="shared" si="148"/>
        <v>0</v>
      </c>
      <c r="H586" s="39">
        <f t="shared" si="148"/>
        <v>0</v>
      </c>
      <c r="I586" s="39">
        <f t="shared" si="148"/>
        <v>0</v>
      </c>
      <c r="J586" s="18"/>
    </row>
    <row r="587" spans="1:10" ht="12.75" customHeight="1">
      <c r="A587" s="788"/>
      <c r="B587" s="771"/>
      <c r="C587" s="12">
        <v>2015</v>
      </c>
      <c r="D587" s="35">
        <f>E587+F587+G587+H587+I587</f>
        <v>0.69610000000000005</v>
      </c>
      <c r="E587" s="27">
        <f>696100/1000000</f>
        <v>0.69610000000000005</v>
      </c>
      <c r="F587" s="27">
        <v>0</v>
      </c>
      <c r="G587" s="27">
        <v>0</v>
      </c>
      <c r="H587" s="27">
        <v>0</v>
      </c>
      <c r="I587" s="27">
        <v>0</v>
      </c>
      <c r="J587" s="18"/>
    </row>
    <row r="588" spans="1:10" ht="12.75" customHeight="1">
      <c r="A588" s="788"/>
      <c r="B588" s="771"/>
      <c r="C588" s="12">
        <v>2016</v>
      </c>
      <c r="D588" s="35">
        <f>E588+F588+G588+H588+I588</f>
        <v>0.7288</v>
      </c>
      <c r="E588" s="27">
        <f>728800/1000000</f>
        <v>0.7288</v>
      </c>
      <c r="F588" s="27">
        <v>0</v>
      </c>
      <c r="G588" s="27">
        <v>0</v>
      </c>
      <c r="H588" s="27">
        <v>0</v>
      </c>
      <c r="I588" s="27">
        <v>0</v>
      </c>
      <c r="J588" s="18"/>
    </row>
    <row r="589" spans="1:10" ht="12.75" customHeight="1">
      <c r="A589" s="788"/>
      <c r="B589" s="771"/>
      <c r="C589" s="12">
        <v>2017</v>
      </c>
      <c r="D589" s="35">
        <f>E589+F589+G589+H589+I589</f>
        <v>0.76019999999999999</v>
      </c>
      <c r="E589" s="27">
        <f>760200/1000000</f>
        <v>0.76019999999999999</v>
      </c>
      <c r="F589" s="27">
        <v>0</v>
      </c>
      <c r="G589" s="27">
        <v>0</v>
      </c>
      <c r="H589" s="27">
        <v>0</v>
      </c>
      <c r="I589" s="27">
        <v>0</v>
      </c>
      <c r="J589" s="18"/>
    </row>
    <row r="590" spans="1:10" ht="12.75" customHeight="1">
      <c r="A590" s="788" t="s">
        <v>303</v>
      </c>
      <c r="B590" s="771" t="s">
        <v>304</v>
      </c>
      <c r="C590" s="16" t="s">
        <v>16</v>
      </c>
      <c r="D590" s="39">
        <f t="shared" ref="D590:I590" si="149">D591+D592+D593</f>
        <v>4.02E-2</v>
      </c>
      <c r="E590" s="39">
        <f t="shared" si="149"/>
        <v>0</v>
      </c>
      <c r="F590" s="39">
        <f t="shared" si="149"/>
        <v>4.02E-2</v>
      </c>
      <c r="G590" s="39">
        <f t="shared" si="149"/>
        <v>0</v>
      </c>
      <c r="H590" s="39">
        <f t="shared" si="149"/>
        <v>0</v>
      </c>
      <c r="I590" s="39">
        <f t="shared" si="149"/>
        <v>0</v>
      </c>
      <c r="J590" s="18"/>
    </row>
    <row r="591" spans="1:10" ht="12.75" customHeight="1">
      <c r="A591" s="788"/>
      <c r="B591" s="771"/>
      <c r="C591" s="12">
        <v>2015</v>
      </c>
      <c r="D591" s="35">
        <f>E591+F591+G591+H591+I591</f>
        <v>0</v>
      </c>
      <c r="E591" s="27">
        <v>0</v>
      </c>
      <c r="F591" s="27">
        <v>0</v>
      </c>
      <c r="G591" s="27">
        <v>0</v>
      </c>
      <c r="H591" s="27">
        <v>0</v>
      </c>
      <c r="I591" s="27">
        <v>0</v>
      </c>
      <c r="J591" s="18"/>
    </row>
    <row r="592" spans="1:10" ht="12.75" customHeight="1">
      <c r="A592" s="788"/>
      <c r="B592" s="771"/>
      <c r="C592" s="12">
        <v>2016</v>
      </c>
      <c r="D592" s="35">
        <f>E592+F592+G592+H592+I592</f>
        <v>4.02E-2</v>
      </c>
      <c r="E592" s="27">
        <v>0</v>
      </c>
      <c r="F592" s="27">
        <f>40200/1000000</f>
        <v>4.02E-2</v>
      </c>
      <c r="G592" s="27">
        <v>0</v>
      </c>
      <c r="H592" s="27">
        <v>0</v>
      </c>
      <c r="I592" s="27">
        <v>0</v>
      </c>
      <c r="J592" s="18"/>
    </row>
    <row r="593" spans="1:10" ht="12.75" customHeight="1">
      <c r="A593" s="788"/>
      <c r="B593" s="771"/>
      <c r="C593" s="12">
        <v>2017</v>
      </c>
      <c r="D593" s="35">
        <f>E593+F593+G593+H593+I593</f>
        <v>0</v>
      </c>
      <c r="E593" s="27">
        <v>0</v>
      </c>
      <c r="F593" s="27">
        <v>0</v>
      </c>
      <c r="G593" s="27">
        <v>0</v>
      </c>
      <c r="H593" s="27">
        <v>0</v>
      </c>
      <c r="I593" s="27">
        <v>0</v>
      </c>
      <c r="J593" s="18"/>
    </row>
    <row r="594" spans="1:10" ht="12.75" customHeight="1">
      <c r="A594" s="788" t="s">
        <v>305</v>
      </c>
      <c r="B594" s="771" t="s">
        <v>306</v>
      </c>
      <c r="C594" s="16" t="s">
        <v>16</v>
      </c>
      <c r="D594" s="39">
        <f t="shared" ref="D594:I594" si="150">D595+D596+D597</f>
        <v>0.89799999999999991</v>
      </c>
      <c r="E594" s="39">
        <f t="shared" si="150"/>
        <v>0.89799999999999991</v>
      </c>
      <c r="F594" s="39">
        <f t="shared" si="150"/>
        <v>0</v>
      </c>
      <c r="G594" s="39">
        <f t="shared" si="150"/>
        <v>0</v>
      </c>
      <c r="H594" s="39">
        <f t="shared" si="150"/>
        <v>0</v>
      </c>
      <c r="I594" s="39">
        <f t="shared" si="150"/>
        <v>0</v>
      </c>
      <c r="J594" s="18"/>
    </row>
    <row r="595" spans="1:10" ht="12.75" customHeight="1">
      <c r="A595" s="788"/>
      <c r="B595" s="771"/>
      <c r="C595" s="12">
        <v>2015</v>
      </c>
      <c r="D595" s="35">
        <f>E595+F595+G595+H595+I595</f>
        <v>0.28599999999999998</v>
      </c>
      <c r="E595" s="27">
        <f>286000/1000000</f>
        <v>0.28599999999999998</v>
      </c>
      <c r="F595" s="27">
        <v>0</v>
      </c>
      <c r="G595" s="27">
        <v>0</v>
      </c>
      <c r="H595" s="27">
        <v>0</v>
      </c>
      <c r="I595" s="27">
        <v>0</v>
      </c>
      <c r="J595" s="18"/>
    </row>
    <row r="596" spans="1:10" ht="12.75" customHeight="1">
      <c r="A596" s="788"/>
      <c r="B596" s="771"/>
      <c r="C596" s="12">
        <v>2016</v>
      </c>
      <c r="D596" s="35">
        <f>E596+F596+G596+H596+I596</f>
        <v>0.30599999999999999</v>
      </c>
      <c r="E596" s="27">
        <f>306000/1000000</f>
        <v>0.30599999999999999</v>
      </c>
      <c r="F596" s="27">
        <v>0</v>
      </c>
      <c r="G596" s="27">
        <v>0</v>
      </c>
      <c r="H596" s="27">
        <v>0</v>
      </c>
      <c r="I596" s="27">
        <v>0</v>
      </c>
      <c r="J596" s="18"/>
    </row>
    <row r="597" spans="1:10" ht="12.75" customHeight="1">
      <c r="A597" s="788"/>
      <c r="B597" s="771"/>
      <c r="C597" s="12">
        <v>2017</v>
      </c>
      <c r="D597" s="35">
        <f>E597+F597+G597+H597+I597</f>
        <v>0.30599999999999999</v>
      </c>
      <c r="E597" s="27">
        <f>306000/1000000</f>
        <v>0.30599999999999999</v>
      </c>
      <c r="F597" s="27">
        <v>0</v>
      </c>
      <c r="G597" s="27">
        <v>0</v>
      </c>
      <c r="H597" s="27">
        <v>0</v>
      </c>
      <c r="I597" s="27">
        <v>0</v>
      </c>
      <c r="J597" s="18"/>
    </row>
    <row r="598" spans="1:10" ht="12.75" customHeight="1">
      <c r="A598" s="788" t="s">
        <v>307</v>
      </c>
      <c r="B598" s="771" t="s">
        <v>308</v>
      </c>
      <c r="C598" s="16" t="s">
        <v>16</v>
      </c>
      <c r="D598" s="39">
        <f t="shared" ref="D598:I598" si="151">D599+D600+D601</f>
        <v>3.2855999999999996</v>
      </c>
      <c r="E598" s="39">
        <f t="shared" si="151"/>
        <v>3.2855999999999996</v>
      </c>
      <c r="F598" s="39">
        <f t="shared" si="151"/>
        <v>0</v>
      </c>
      <c r="G598" s="39">
        <f t="shared" si="151"/>
        <v>0</v>
      </c>
      <c r="H598" s="39">
        <f t="shared" si="151"/>
        <v>0</v>
      </c>
      <c r="I598" s="39">
        <f t="shared" si="151"/>
        <v>0</v>
      </c>
      <c r="J598" s="18"/>
    </row>
    <row r="599" spans="1:10" ht="12.75" customHeight="1">
      <c r="A599" s="788"/>
      <c r="B599" s="771"/>
      <c r="C599" s="12">
        <v>2015</v>
      </c>
      <c r="D599" s="35">
        <f>E599+F599+G599+H599+I599</f>
        <v>1.0952</v>
      </c>
      <c r="E599" s="27">
        <f>1095200/1000000</f>
        <v>1.0952</v>
      </c>
      <c r="F599" s="27">
        <v>0</v>
      </c>
      <c r="G599" s="27">
        <v>0</v>
      </c>
      <c r="H599" s="27">
        <v>0</v>
      </c>
      <c r="I599" s="27">
        <v>0</v>
      </c>
      <c r="J599" s="18"/>
    </row>
    <row r="600" spans="1:10" ht="12.75" customHeight="1">
      <c r="A600" s="788"/>
      <c r="B600" s="771"/>
      <c r="C600" s="12">
        <v>2016</v>
      </c>
      <c r="D600" s="35">
        <f>E600+F600+G600+H600+I600</f>
        <v>1.0952</v>
      </c>
      <c r="E600" s="27">
        <f>1095200/1000000</f>
        <v>1.0952</v>
      </c>
      <c r="F600" s="27">
        <v>0</v>
      </c>
      <c r="G600" s="27">
        <v>0</v>
      </c>
      <c r="H600" s="27">
        <v>0</v>
      </c>
      <c r="I600" s="27">
        <v>0</v>
      </c>
      <c r="J600" s="18"/>
    </row>
    <row r="601" spans="1:10" ht="12.75" customHeight="1">
      <c r="A601" s="788"/>
      <c r="B601" s="771"/>
      <c r="C601" s="12">
        <v>2017</v>
      </c>
      <c r="D601" s="35">
        <f>E601+F601+G601+H601+I601</f>
        <v>1.0952</v>
      </c>
      <c r="E601" s="27">
        <f>1095200/1000000</f>
        <v>1.0952</v>
      </c>
      <c r="F601" s="27">
        <v>0</v>
      </c>
      <c r="G601" s="27">
        <v>0</v>
      </c>
      <c r="H601" s="27">
        <v>0</v>
      </c>
      <c r="I601" s="27">
        <v>0</v>
      </c>
      <c r="J601" s="18"/>
    </row>
    <row r="602" spans="1:10" ht="12.75" customHeight="1">
      <c r="A602" s="788" t="s">
        <v>309</v>
      </c>
      <c r="B602" s="771" t="s">
        <v>310</v>
      </c>
      <c r="C602" s="16" t="s">
        <v>16</v>
      </c>
      <c r="D602" s="39">
        <f t="shared" ref="D602:I602" si="152">D603+D604+D605</f>
        <v>2.8487999999999998</v>
      </c>
      <c r="E602" s="39">
        <f t="shared" si="152"/>
        <v>0</v>
      </c>
      <c r="F602" s="39">
        <f t="shared" si="152"/>
        <v>0</v>
      </c>
      <c r="G602" s="39">
        <f t="shared" si="152"/>
        <v>2.8487999999999998</v>
      </c>
      <c r="H602" s="39">
        <f t="shared" si="152"/>
        <v>0</v>
      </c>
      <c r="I602" s="39">
        <f t="shared" si="152"/>
        <v>0</v>
      </c>
      <c r="J602" s="18"/>
    </row>
    <row r="603" spans="1:10" ht="12.75" customHeight="1">
      <c r="A603" s="788"/>
      <c r="B603" s="771"/>
      <c r="C603" s="12">
        <v>2015</v>
      </c>
      <c r="D603" s="35">
        <f>E603+F603+G603+H603+I603</f>
        <v>0.9496</v>
      </c>
      <c r="E603" s="27">
        <v>0</v>
      </c>
      <c r="F603" s="27">
        <v>0</v>
      </c>
      <c r="G603" s="27">
        <f>949600/1000000</f>
        <v>0.9496</v>
      </c>
      <c r="H603" s="27">
        <v>0</v>
      </c>
      <c r="I603" s="27">
        <v>0</v>
      </c>
      <c r="J603" s="18"/>
    </row>
    <row r="604" spans="1:10" ht="12.75" customHeight="1">
      <c r="A604" s="788"/>
      <c r="B604" s="771"/>
      <c r="C604" s="12">
        <v>2016</v>
      </c>
      <c r="D604" s="35">
        <f>E604+F604+G604+H604+I604</f>
        <v>0.9496</v>
      </c>
      <c r="E604" s="27">
        <v>0</v>
      </c>
      <c r="F604" s="27">
        <v>0</v>
      </c>
      <c r="G604" s="27">
        <f>949600/1000000</f>
        <v>0.9496</v>
      </c>
      <c r="H604" s="27">
        <v>0</v>
      </c>
      <c r="I604" s="27">
        <v>0</v>
      </c>
      <c r="J604" s="18"/>
    </row>
    <row r="605" spans="1:10" ht="12.75" customHeight="1">
      <c r="A605" s="788"/>
      <c r="B605" s="771"/>
      <c r="C605" s="12">
        <v>2017</v>
      </c>
      <c r="D605" s="35">
        <f>E605+F605+G605+H605+I605</f>
        <v>0.9496</v>
      </c>
      <c r="E605" s="27">
        <v>0</v>
      </c>
      <c r="F605" s="27">
        <v>0</v>
      </c>
      <c r="G605" s="27">
        <f>949600/1000000</f>
        <v>0.9496</v>
      </c>
      <c r="H605" s="27">
        <v>0</v>
      </c>
      <c r="I605" s="27">
        <v>0</v>
      </c>
      <c r="J605" s="18"/>
    </row>
    <row r="606" spans="1:10" ht="12.75" customHeight="1">
      <c r="A606" s="788" t="s">
        <v>311</v>
      </c>
      <c r="B606" s="771" t="s">
        <v>312</v>
      </c>
      <c r="C606" s="16" t="s">
        <v>16</v>
      </c>
      <c r="D606" s="39">
        <f t="shared" ref="D606:I606" si="153">D607+D608+D609</f>
        <v>9.3539999999999992</v>
      </c>
      <c r="E606" s="39">
        <f t="shared" si="153"/>
        <v>0</v>
      </c>
      <c r="F606" s="39">
        <f t="shared" si="153"/>
        <v>0</v>
      </c>
      <c r="G606" s="39">
        <f t="shared" si="153"/>
        <v>9.3539999999999992</v>
      </c>
      <c r="H606" s="39">
        <f t="shared" si="153"/>
        <v>0</v>
      </c>
      <c r="I606" s="39">
        <f t="shared" si="153"/>
        <v>0</v>
      </c>
      <c r="J606" s="18"/>
    </row>
    <row r="607" spans="1:10" ht="12.75" customHeight="1">
      <c r="A607" s="788"/>
      <c r="B607" s="771"/>
      <c r="C607" s="12">
        <v>2015</v>
      </c>
      <c r="D607" s="35">
        <f>E607+F607+G607+H607+I607</f>
        <v>3.1179999999999999</v>
      </c>
      <c r="E607" s="27">
        <v>0</v>
      </c>
      <c r="F607" s="27">
        <v>0</v>
      </c>
      <c r="G607" s="27">
        <f>3118000/1000000</f>
        <v>3.1179999999999999</v>
      </c>
      <c r="H607" s="27">
        <v>0</v>
      </c>
      <c r="I607" s="27">
        <v>0</v>
      </c>
      <c r="J607" s="18"/>
    </row>
    <row r="608" spans="1:10" ht="12.75" customHeight="1">
      <c r="A608" s="788"/>
      <c r="B608" s="771"/>
      <c r="C608" s="12">
        <v>2016</v>
      </c>
      <c r="D608" s="35">
        <f>E608+F608+G608+H608+I608</f>
        <v>3.1179999999999999</v>
      </c>
      <c r="E608" s="27">
        <v>0</v>
      </c>
      <c r="F608" s="27">
        <v>0</v>
      </c>
      <c r="G608" s="27">
        <f>3118000/1000000</f>
        <v>3.1179999999999999</v>
      </c>
      <c r="H608" s="27">
        <v>0</v>
      </c>
      <c r="I608" s="27">
        <v>0</v>
      </c>
      <c r="J608" s="18"/>
    </row>
    <row r="609" spans="1:10" ht="12.75" customHeight="1">
      <c r="A609" s="788"/>
      <c r="B609" s="771"/>
      <c r="C609" s="12">
        <v>2017</v>
      </c>
      <c r="D609" s="35">
        <f>E609+F609+G609+H609+I609</f>
        <v>3.1179999999999999</v>
      </c>
      <c r="E609" s="27">
        <v>0</v>
      </c>
      <c r="F609" s="27">
        <v>0</v>
      </c>
      <c r="G609" s="27">
        <f>3118000/1000000</f>
        <v>3.1179999999999999</v>
      </c>
      <c r="H609" s="27">
        <v>0</v>
      </c>
      <c r="I609" s="27">
        <v>0</v>
      </c>
      <c r="J609" s="18"/>
    </row>
    <row r="610" spans="1:10" ht="12.75" customHeight="1">
      <c r="A610" s="788" t="s">
        <v>313</v>
      </c>
      <c r="B610" s="771" t="s">
        <v>314</v>
      </c>
      <c r="C610" s="16" t="s">
        <v>16</v>
      </c>
      <c r="D610" s="39">
        <f t="shared" ref="D610:I610" si="154">D611+D612+D613</f>
        <v>3.6311999999999998</v>
      </c>
      <c r="E610" s="39">
        <f t="shared" si="154"/>
        <v>0</v>
      </c>
      <c r="F610" s="39">
        <f t="shared" si="154"/>
        <v>0</v>
      </c>
      <c r="G610" s="39">
        <f t="shared" si="154"/>
        <v>3.6311999999999998</v>
      </c>
      <c r="H610" s="39">
        <f t="shared" si="154"/>
        <v>0</v>
      </c>
      <c r="I610" s="39">
        <f t="shared" si="154"/>
        <v>0</v>
      </c>
      <c r="J610" s="18"/>
    </row>
    <row r="611" spans="1:10" ht="12.75" customHeight="1">
      <c r="A611" s="788"/>
      <c r="B611" s="771"/>
      <c r="C611" s="12">
        <v>2015</v>
      </c>
      <c r="D611" s="35">
        <f>E611+F611+G611+H611+I611</f>
        <v>1.2103999999999999</v>
      </c>
      <c r="E611" s="27">
        <v>0</v>
      </c>
      <c r="F611" s="27">
        <v>0</v>
      </c>
      <c r="G611" s="27">
        <f>1210400/1000000</f>
        <v>1.2103999999999999</v>
      </c>
      <c r="H611" s="27">
        <v>0</v>
      </c>
      <c r="I611" s="27">
        <v>0</v>
      </c>
      <c r="J611" s="18"/>
    </row>
    <row r="612" spans="1:10" ht="12.75" customHeight="1">
      <c r="A612" s="788"/>
      <c r="B612" s="771"/>
      <c r="C612" s="12">
        <v>2016</v>
      </c>
      <c r="D612" s="35">
        <f>E612+F612+G612+H612+I612</f>
        <v>1.2103999999999999</v>
      </c>
      <c r="E612" s="27">
        <v>0</v>
      </c>
      <c r="F612" s="27">
        <v>0</v>
      </c>
      <c r="G612" s="27">
        <f>1210400/1000000</f>
        <v>1.2103999999999999</v>
      </c>
      <c r="H612" s="27">
        <v>0</v>
      </c>
      <c r="I612" s="27">
        <v>0</v>
      </c>
      <c r="J612" s="18"/>
    </row>
    <row r="613" spans="1:10" ht="12.75" customHeight="1">
      <c r="A613" s="788"/>
      <c r="B613" s="771"/>
      <c r="C613" s="12">
        <v>2017</v>
      </c>
      <c r="D613" s="35">
        <f>E613+F613+G613+H613+I613</f>
        <v>1.2103999999999999</v>
      </c>
      <c r="E613" s="27">
        <v>0</v>
      </c>
      <c r="F613" s="27">
        <v>0</v>
      </c>
      <c r="G613" s="27">
        <f>1210400/1000000</f>
        <v>1.2103999999999999</v>
      </c>
      <c r="H613" s="27">
        <v>0</v>
      </c>
      <c r="I613" s="27">
        <v>0</v>
      </c>
      <c r="J613" s="18"/>
    </row>
    <row r="614" spans="1:10" ht="12.75" customHeight="1">
      <c r="A614" s="788" t="s">
        <v>315</v>
      </c>
      <c r="B614" s="771" t="s">
        <v>316</v>
      </c>
      <c r="C614" s="16" t="s">
        <v>16</v>
      </c>
      <c r="D614" s="39">
        <f t="shared" ref="D614:I614" si="155">D615+D616+D617</f>
        <v>2.0999999999999999E-3</v>
      </c>
      <c r="E614" s="39">
        <f t="shared" si="155"/>
        <v>0</v>
      </c>
      <c r="F614" s="39">
        <f t="shared" si="155"/>
        <v>0</v>
      </c>
      <c r="G614" s="39">
        <f t="shared" si="155"/>
        <v>2.0999999999999999E-3</v>
      </c>
      <c r="H614" s="39">
        <f t="shared" si="155"/>
        <v>0</v>
      </c>
      <c r="I614" s="39">
        <f t="shared" si="155"/>
        <v>0</v>
      </c>
      <c r="J614" s="18"/>
    </row>
    <row r="615" spans="1:10" ht="12.75" customHeight="1">
      <c r="A615" s="788"/>
      <c r="B615" s="771"/>
      <c r="C615" s="12">
        <v>2015</v>
      </c>
      <c r="D615" s="35">
        <f>E615+F615+G615+H615+I615</f>
        <v>6.9999999999999999E-4</v>
      </c>
      <c r="E615" s="27">
        <v>0</v>
      </c>
      <c r="F615" s="27">
        <v>0</v>
      </c>
      <c r="G615" s="27">
        <f>700/1000000</f>
        <v>6.9999999999999999E-4</v>
      </c>
      <c r="H615" s="27">
        <v>0</v>
      </c>
      <c r="I615" s="27">
        <v>0</v>
      </c>
      <c r="J615" s="18"/>
    </row>
    <row r="616" spans="1:10" ht="12.75" customHeight="1">
      <c r="A616" s="788"/>
      <c r="B616" s="771"/>
      <c r="C616" s="12">
        <v>2016</v>
      </c>
      <c r="D616" s="35">
        <f>E616+F616+G616+H616+I616</f>
        <v>6.9999999999999999E-4</v>
      </c>
      <c r="E616" s="27">
        <v>0</v>
      </c>
      <c r="F616" s="27">
        <v>0</v>
      </c>
      <c r="G616" s="27">
        <f>700/1000000</f>
        <v>6.9999999999999999E-4</v>
      </c>
      <c r="H616" s="27">
        <v>0</v>
      </c>
      <c r="I616" s="27">
        <v>0</v>
      </c>
      <c r="J616" s="18"/>
    </row>
    <row r="617" spans="1:10" ht="12.75" customHeight="1">
      <c r="A617" s="788"/>
      <c r="B617" s="771"/>
      <c r="C617" s="12">
        <v>2017</v>
      </c>
      <c r="D617" s="35">
        <f>E617+F617+G617+H617+I617</f>
        <v>6.9999999999999999E-4</v>
      </c>
      <c r="E617" s="27">
        <v>0</v>
      </c>
      <c r="F617" s="27">
        <v>0</v>
      </c>
      <c r="G617" s="27">
        <f>700/1000000</f>
        <v>6.9999999999999999E-4</v>
      </c>
      <c r="H617" s="27">
        <v>0</v>
      </c>
      <c r="I617" s="27">
        <v>0</v>
      </c>
      <c r="J617" s="18"/>
    </row>
    <row r="618" spans="1:10" ht="12.75" customHeight="1">
      <c r="A618" s="788" t="s">
        <v>317</v>
      </c>
      <c r="B618" s="771" t="s">
        <v>318</v>
      </c>
      <c r="C618" s="16" t="s">
        <v>16</v>
      </c>
      <c r="D618" s="39">
        <f t="shared" ref="D618:I618" si="156">D619+D620+D621</f>
        <v>1.5039101000000001</v>
      </c>
      <c r="E618" s="39">
        <f t="shared" si="156"/>
        <v>0</v>
      </c>
      <c r="F618" s="39">
        <f t="shared" si="156"/>
        <v>0</v>
      </c>
      <c r="G618" s="39">
        <f t="shared" si="156"/>
        <v>0</v>
      </c>
      <c r="H618" s="39">
        <f t="shared" si="156"/>
        <v>0</v>
      </c>
      <c r="I618" s="39">
        <f t="shared" si="156"/>
        <v>1.5039101000000001</v>
      </c>
      <c r="J618" s="18"/>
    </row>
    <row r="619" spans="1:10" ht="12.75" customHeight="1">
      <c r="A619" s="788"/>
      <c r="B619" s="771"/>
      <c r="C619" s="12">
        <v>2015</v>
      </c>
      <c r="D619" s="35">
        <f>E619+F619+G619+H619+I619</f>
        <v>1.5039101000000001</v>
      </c>
      <c r="E619" s="27">
        <v>0</v>
      </c>
      <c r="F619" s="27">
        <v>0</v>
      </c>
      <c r="G619" s="27">
        <v>0</v>
      </c>
      <c r="H619" s="27">
        <v>0</v>
      </c>
      <c r="I619" s="27">
        <f>1503910.1/1000000</f>
        <v>1.5039101000000001</v>
      </c>
      <c r="J619" s="18"/>
    </row>
    <row r="620" spans="1:10" ht="12.75" customHeight="1">
      <c r="A620" s="788"/>
      <c r="B620" s="771"/>
      <c r="C620" s="12">
        <v>2016</v>
      </c>
      <c r="D620" s="35">
        <f>E620+F620+G620+H620+I620</f>
        <v>0</v>
      </c>
      <c r="E620" s="27">
        <v>0</v>
      </c>
      <c r="F620" s="27">
        <v>0</v>
      </c>
      <c r="G620" s="27">
        <v>0</v>
      </c>
      <c r="H620" s="27">
        <v>0</v>
      </c>
      <c r="I620" s="37">
        <f>I624+I628+I632+I636+I640+I644+I648+I652+I656</f>
        <v>0</v>
      </c>
      <c r="J620" s="18"/>
    </row>
    <row r="621" spans="1:10" ht="12.75" customHeight="1">
      <c r="A621" s="788"/>
      <c r="B621" s="771"/>
      <c r="C621" s="12">
        <v>2017</v>
      </c>
      <c r="D621" s="35">
        <f>E621+F621+G621+H621+I621</f>
        <v>0</v>
      </c>
      <c r="E621" s="27">
        <v>0</v>
      </c>
      <c r="F621" s="27">
        <v>0</v>
      </c>
      <c r="G621" s="27">
        <v>0</v>
      </c>
      <c r="H621" s="27">
        <v>0</v>
      </c>
      <c r="I621" s="37">
        <f>I625+I629+I633+I637+I641+I645+I649+I653+I657</f>
        <v>0</v>
      </c>
      <c r="J621" s="18"/>
    </row>
    <row r="622" spans="1:10" ht="12.75" customHeight="1">
      <c r="A622" s="788" t="s">
        <v>319</v>
      </c>
      <c r="B622" s="766" t="s">
        <v>320</v>
      </c>
      <c r="C622" s="16" t="s">
        <v>16</v>
      </c>
      <c r="D622" s="39">
        <f t="shared" ref="D622:I622" si="157">D623+D624+D625</f>
        <v>1.8626478000000002</v>
      </c>
      <c r="E622" s="39">
        <f t="shared" si="157"/>
        <v>0</v>
      </c>
      <c r="F622" s="39">
        <f t="shared" si="157"/>
        <v>0</v>
      </c>
      <c r="G622" s="39">
        <f t="shared" si="157"/>
        <v>1.8156000000000003</v>
      </c>
      <c r="H622" s="39">
        <f t="shared" si="157"/>
        <v>4.7047800000000001E-2</v>
      </c>
      <c r="I622" s="39">
        <f t="shared" si="157"/>
        <v>0</v>
      </c>
      <c r="J622" s="18"/>
    </row>
    <row r="623" spans="1:10">
      <c r="A623" s="788"/>
      <c r="B623" s="766"/>
      <c r="C623" s="12">
        <v>2015</v>
      </c>
      <c r="D623" s="35">
        <f>E623+F623+G623+H623+I623</f>
        <v>0.62224780000000002</v>
      </c>
      <c r="E623" s="37">
        <f t="shared" ref="E623:I625" si="158">E627+E631+E635+E639+E643+E647+E651+E655+E659</f>
        <v>0</v>
      </c>
      <c r="F623" s="37">
        <f t="shared" si="158"/>
        <v>0</v>
      </c>
      <c r="G623" s="37">
        <f t="shared" si="158"/>
        <v>0.60520000000000007</v>
      </c>
      <c r="H623" s="37">
        <f t="shared" si="158"/>
        <v>1.7047799999999998E-2</v>
      </c>
      <c r="I623" s="37">
        <f t="shared" si="158"/>
        <v>0</v>
      </c>
      <c r="J623" s="18"/>
    </row>
    <row r="624" spans="1:10">
      <c r="A624" s="788"/>
      <c r="B624" s="766"/>
      <c r="C624" s="12">
        <v>2016</v>
      </c>
      <c r="D624" s="35">
        <f>E624+F624+G624+H624+I624</f>
        <v>0.62020000000000008</v>
      </c>
      <c r="E624" s="37">
        <f t="shared" si="158"/>
        <v>0</v>
      </c>
      <c r="F624" s="37">
        <f t="shared" si="158"/>
        <v>0</v>
      </c>
      <c r="G624" s="37">
        <f t="shared" si="158"/>
        <v>0.60520000000000007</v>
      </c>
      <c r="H624" s="37">
        <f t="shared" si="158"/>
        <v>1.4999999999999999E-2</v>
      </c>
      <c r="I624" s="37">
        <f t="shared" si="158"/>
        <v>0</v>
      </c>
      <c r="J624" s="18"/>
    </row>
    <row r="625" spans="1:12">
      <c r="A625" s="788"/>
      <c r="B625" s="766"/>
      <c r="C625" s="12">
        <v>2017</v>
      </c>
      <c r="D625" s="35">
        <f>E625+F625+G625+H625+I625</f>
        <v>0.62020000000000008</v>
      </c>
      <c r="E625" s="37">
        <f t="shared" si="158"/>
        <v>0</v>
      </c>
      <c r="F625" s="37">
        <f t="shared" si="158"/>
        <v>0</v>
      </c>
      <c r="G625" s="37">
        <f t="shared" si="158"/>
        <v>0.60520000000000007</v>
      </c>
      <c r="H625" s="37">
        <f t="shared" si="158"/>
        <v>1.4999999999999999E-2</v>
      </c>
      <c r="I625" s="37">
        <f t="shared" si="158"/>
        <v>0</v>
      </c>
      <c r="J625" s="18"/>
    </row>
    <row r="626" spans="1:12">
      <c r="A626" s="788" t="s">
        <v>321</v>
      </c>
      <c r="B626" s="771" t="s">
        <v>322</v>
      </c>
      <c r="C626" s="16" t="s">
        <v>16</v>
      </c>
      <c r="D626" s="39">
        <f t="shared" ref="D626:I626" si="159">D627+D628+D629</f>
        <v>1.7466000000000002</v>
      </c>
      <c r="E626" s="39">
        <f t="shared" si="159"/>
        <v>0</v>
      </c>
      <c r="F626" s="39">
        <f t="shared" si="159"/>
        <v>0</v>
      </c>
      <c r="G626" s="39">
        <f t="shared" si="159"/>
        <v>1.7466000000000002</v>
      </c>
      <c r="H626" s="39">
        <f t="shared" si="159"/>
        <v>0</v>
      </c>
      <c r="I626" s="39">
        <f t="shared" si="159"/>
        <v>0</v>
      </c>
      <c r="J626" s="18"/>
    </row>
    <row r="627" spans="1:12">
      <c r="A627" s="788"/>
      <c r="B627" s="771"/>
      <c r="C627" s="12">
        <v>2015</v>
      </c>
      <c r="D627" s="35">
        <f>E627+F627+G627+H627+I627</f>
        <v>0.58220000000000005</v>
      </c>
      <c r="E627" s="27">
        <v>0</v>
      </c>
      <c r="F627" s="27">
        <v>0</v>
      </c>
      <c r="G627" s="27">
        <f>582200/1000000</f>
        <v>0.58220000000000005</v>
      </c>
      <c r="H627" s="27">
        <v>0</v>
      </c>
      <c r="I627" s="27">
        <v>0</v>
      </c>
      <c r="J627" s="18"/>
    </row>
    <row r="628" spans="1:12">
      <c r="A628" s="788"/>
      <c r="B628" s="771"/>
      <c r="C628" s="12">
        <v>2016</v>
      </c>
      <c r="D628" s="35">
        <f>E628+F628+G628+H628+I628</f>
        <v>0.58220000000000005</v>
      </c>
      <c r="E628" s="27">
        <v>0</v>
      </c>
      <c r="F628" s="27">
        <v>0</v>
      </c>
      <c r="G628" s="27">
        <f>582200/1000000</f>
        <v>0.58220000000000005</v>
      </c>
      <c r="H628" s="27">
        <v>0</v>
      </c>
      <c r="I628" s="27">
        <v>0</v>
      </c>
      <c r="J628" s="18"/>
    </row>
    <row r="629" spans="1:12">
      <c r="A629" s="788"/>
      <c r="B629" s="771"/>
      <c r="C629" s="12">
        <v>2017</v>
      </c>
      <c r="D629" s="35">
        <f>E629+F629+G629+H629+I629</f>
        <v>0.58220000000000005</v>
      </c>
      <c r="E629" s="27">
        <v>0</v>
      </c>
      <c r="F629" s="27">
        <v>0</v>
      </c>
      <c r="G629" s="27">
        <f>582200/1000000</f>
        <v>0.58220000000000005</v>
      </c>
      <c r="H629" s="27">
        <v>0</v>
      </c>
      <c r="I629" s="27">
        <v>0</v>
      </c>
      <c r="J629" s="18"/>
    </row>
    <row r="630" spans="1:12">
      <c r="A630" s="788" t="s">
        <v>323</v>
      </c>
      <c r="B630" s="771" t="s">
        <v>324</v>
      </c>
      <c r="C630" s="16" t="s">
        <v>16</v>
      </c>
      <c r="D630" s="39">
        <f t="shared" ref="D630:I630" si="160">D631+D632+D633</f>
        <v>6.9000000000000006E-2</v>
      </c>
      <c r="E630" s="39">
        <f t="shared" si="160"/>
        <v>0</v>
      </c>
      <c r="F630" s="39">
        <f t="shared" si="160"/>
        <v>0</v>
      </c>
      <c r="G630" s="39">
        <f t="shared" si="160"/>
        <v>6.9000000000000006E-2</v>
      </c>
      <c r="H630" s="39">
        <f t="shared" si="160"/>
        <v>0</v>
      </c>
      <c r="I630" s="39">
        <f t="shared" si="160"/>
        <v>0</v>
      </c>
      <c r="J630" s="18"/>
    </row>
    <row r="631" spans="1:12">
      <c r="A631" s="788"/>
      <c r="B631" s="771"/>
      <c r="C631" s="12">
        <v>2015</v>
      </c>
      <c r="D631" s="35">
        <f>E631+F631+G631+H631+I631</f>
        <v>2.3E-2</v>
      </c>
      <c r="E631" s="27">
        <v>0</v>
      </c>
      <c r="F631" s="27">
        <v>0</v>
      </c>
      <c r="G631" s="27">
        <f>23000/1000000</f>
        <v>2.3E-2</v>
      </c>
      <c r="H631" s="27">
        <v>0</v>
      </c>
      <c r="I631" s="27">
        <v>0</v>
      </c>
      <c r="J631" s="18"/>
    </row>
    <row r="632" spans="1:12">
      <c r="A632" s="788"/>
      <c r="B632" s="771"/>
      <c r="C632" s="12">
        <v>2016</v>
      </c>
      <c r="D632" s="35">
        <f>E632+F632+G632+H632+I632</f>
        <v>2.3E-2</v>
      </c>
      <c r="E632" s="27">
        <v>0</v>
      </c>
      <c r="F632" s="27">
        <v>0</v>
      </c>
      <c r="G632" s="27">
        <f>23000/1000000</f>
        <v>2.3E-2</v>
      </c>
      <c r="H632" s="27">
        <v>0</v>
      </c>
      <c r="I632" s="27">
        <v>0</v>
      </c>
      <c r="J632" s="18"/>
    </row>
    <row r="633" spans="1:12">
      <c r="A633" s="788"/>
      <c r="B633" s="771"/>
      <c r="C633" s="12">
        <v>2017</v>
      </c>
      <c r="D633" s="35">
        <f>E633+F633+G633+H633+I633</f>
        <v>2.3E-2</v>
      </c>
      <c r="E633" s="27">
        <v>0</v>
      </c>
      <c r="F633" s="27">
        <v>0</v>
      </c>
      <c r="G633" s="27">
        <f>23000/1000000</f>
        <v>2.3E-2</v>
      </c>
      <c r="H633" s="27">
        <v>0</v>
      </c>
      <c r="I633" s="27">
        <v>0</v>
      </c>
      <c r="J633" s="18"/>
    </row>
    <row r="634" spans="1:12">
      <c r="A634" s="788" t="s">
        <v>325</v>
      </c>
      <c r="B634" s="771" t="s">
        <v>326</v>
      </c>
      <c r="C634" s="16" t="s">
        <v>16</v>
      </c>
      <c r="D634" s="39">
        <f t="shared" ref="D634:I634" si="161">D635+D636+D637</f>
        <v>0</v>
      </c>
      <c r="E634" s="39">
        <f t="shared" si="161"/>
        <v>0</v>
      </c>
      <c r="F634" s="39">
        <f t="shared" si="161"/>
        <v>0</v>
      </c>
      <c r="G634" s="39">
        <f t="shared" si="161"/>
        <v>0</v>
      </c>
      <c r="H634" s="39">
        <f t="shared" si="161"/>
        <v>0</v>
      </c>
      <c r="I634" s="39">
        <f t="shared" si="161"/>
        <v>0</v>
      </c>
      <c r="J634" s="18"/>
    </row>
    <row r="635" spans="1:12" ht="17.25" customHeight="1">
      <c r="A635" s="788"/>
      <c r="B635" s="771"/>
      <c r="C635" s="12">
        <v>2015</v>
      </c>
      <c r="D635" s="35">
        <f>E635+F635+G635+H635+I635</f>
        <v>0</v>
      </c>
      <c r="E635" s="27">
        <v>0</v>
      </c>
      <c r="F635" s="27">
        <v>0</v>
      </c>
      <c r="G635" s="27">
        <v>0</v>
      </c>
      <c r="H635" s="27">
        <v>0</v>
      </c>
      <c r="I635" s="27">
        <v>0</v>
      </c>
      <c r="J635" s="18"/>
    </row>
    <row r="636" spans="1:12">
      <c r="A636" s="788"/>
      <c r="B636" s="771"/>
      <c r="C636" s="12">
        <v>2016</v>
      </c>
      <c r="D636" s="35">
        <f>E636+F636+G636+H636+I636</f>
        <v>0</v>
      </c>
      <c r="E636" s="27">
        <v>0</v>
      </c>
      <c r="F636" s="27">
        <v>0</v>
      </c>
      <c r="G636" s="27">
        <v>0</v>
      </c>
      <c r="H636" s="27">
        <v>0</v>
      </c>
      <c r="I636" s="27">
        <v>0</v>
      </c>
      <c r="J636" s="18"/>
    </row>
    <row r="637" spans="1:12">
      <c r="A637" s="788"/>
      <c r="B637" s="771"/>
      <c r="C637" s="12">
        <v>2017</v>
      </c>
      <c r="D637" s="35">
        <f>E637+F637+G637+H637+I637</f>
        <v>0</v>
      </c>
      <c r="E637" s="27">
        <v>0</v>
      </c>
      <c r="F637" s="27">
        <v>0</v>
      </c>
      <c r="G637" s="27">
        <v>0</v>
      </c>
      <c r="H637" s="27">
        <v>0</v>
      </c>
      <c r="I637" s="27">
        <v>0</v>
      </c>
      <c r="J637" s="18"/>
    </row>
    <row r="638" spans="1:12">
      <c r="A638" s="788" t="s">
        <v>327</v>
      </c>
      <c r="B638" s="771" t="s">
        <v>328</v>
      </c>
      <c r="C638" s="16" t="s">
        <v>16</v>
      </c>
      <c r="D638" s="39">
        <f t="shared" ref="D638:I638" si="162">D639+D640+D641</f>
        <v>0</v>
      </c>
      <c r="E638" s="39">
        <f t="shared" si="162"/>
        <v>0</v>
      </c>
      <c r="F638" s="39">
        <f t="shared" si="162"/>
        <v>0</v>
      </c>
      <c r="G638" s="39">
        <f t="shared" si="162"/>
        <v>0</v>
      </c>
      <c r="H638" s="39">
        <f t="shared" si="162"/>
        <v>0</v>
      </c>
      <c r="I638" s="39">
        <f t="shared" si="162"/>
        <v>0</v>
      </c>
      <c r="J638" s="18"/>
      <c r="K638" s="41"/>
      <c r="L638" s="42"/>
    </row>
    <row r="639" spans="1:12">
      <c r="A639" s="788"/>
      <c r="B639" s="771"/>
      <c r="C639" s="12">
        <v>2015</v>
      </c>
      <c r="D639" s="35">
        <f>E639+F639+G639+H639+I639</f>
        <v>0</v>
      </c>
      <c r="E639" s="27">
        <v>0</v>
      </c>
      <c r="F639" s="27">
        <v>0</v>
      </c>
      <c r="G639" s="27">
        <v>0</v>
      </c>
      <c r="H639" s="27">
        <v>0</v>
      </c>
      <c r="I639" s="27">
        <v>0</v>
      </c>
      <c r="J639" s="18"/>
    </row>
    <row r="640" spans="1:12">
      <c r="A640" s="788"/>
      <c r="B640" s="771"/>
      <c r="C640" s="12">
        <v>2016</v>
      </c>
      <c r="D640" s="35">
        <f>E640+F640+G640+H640+I640</f>
        <v>0</v>
      </c>
      <c r="E640" s="27">
        <v>0</v>
      </c>
      <c r="F640" s="27">
        <v>0</v>
      </c>
      <c r="G640" s="27">
        <v>0</v>
      </c>
      <c r="H640" s="27">
        <v>0</v>
      </c>
      <c r="I640" s="27">
        <v>0</v>
      </c>
      <c r="J640" s="18"/>
    </row>
    <row r="641" spans="1:10">
      <c r="A641" s="788"/>
      <c r="B641" s="771"/>
      <c r="C641" s="12">
        <v>2017</v>
      </c>
      <c r="D641" s="35">
        <f>E641+F641+G641+H641+I641</f>
        <v>0</v>
      </c>
      <c r="E641" s="27">
        <v>0</v>
      </c>
      <c r="F641" s="27">
        <v>0</v>
      </c>
      <c r="G641" s="27">
        <v>0</v>
      </c>
      <c r="H641" s="27">
        <v>0</v>
      </c>
      <c r="I641" s="27">
        <v>0</v>
      </c>
      <c r="J641" s="18"/>
    </row>
    <row r="642" spans="1:10">
      <c r="A642" s="788" t="s">
        <v>329</v>
      </c>
      <c r="B642" s="771" t="s">
        <v>330</v>
      </c>
      <c r="C642" s="16" t="s">
        <v>16</v>
      </c>
      <c r="D642" s="39">
        <f t="shared" ref="D642:I642" si="163">D643+D644+D645</f>
        <v>0</v>
      </c>
      <c r="E642" s="39">
        <f t="shared" si="163"/>
        <v>0</v>
      </c>
      <c r="F642" s="39">
        <f t="shared" si="163"/>
        <v>0</v>
      </c>
      <c r="G642" s="39">
        <f t="shared" si="163"/>
        <v>0</v>
      </c>
      <c r="H642" s="39">
        <f t="shared" si="163"/>
        <v>0</v>
      </c>
      <c r="I642" s="39">
        <f t="shared" si="163"/>
        <v>0</v>
      </c>
      <c r="J642" s="18"/>
    </row>
    <row r="643" spans="1:10">
      <c r="A643" s="788"/>
      <c r="B643" s="771"/>
      <c r="C643" s="12">
        <v>2015</v>
      </c>
      <c r="D643" s="35">
        <f>E643+F643+G643+H643+I643</f>
        <v>0</v>
      </c>
      <c r="E643" s="27">
        <v>0</v>
      </c>
      <c r="F643" s="27">
        <v>0</v>
      </c>
      <c r="G643" s="27">
        <v>0</v>
      </c>
      <c r="H643" s="27">
        <v>0</v>
      </c>
      <c r="I643" s="27">
        <v>0</v>
      </c>
      <c r="J643" s="18"/>
    </row>
    <row r="644" spans="1:10">
      <c r="A644" s="788"/>
      <c r="B644" s="771"/>
      <c r="C644" s="12">
        <v>2016</v>
      </c>
      <c r="D644" s="35">
        <f>E644+F644+G644+H644+I644</f>
        <v>0</v>
      </c>
      <c r="E644" s="27">
        <v>0</v>
      </c>
      <c r="F644" s="27">
        <v>0</v>
      </c>
      <c r="G644" s="27">
        <v>0</v>
      </c>
      <c r="H644" s="27">
        <v>0</v>
      </c>
      <c r="I644" s="27">
        <v>0</v>
      </c>
      <c r="J644" s="18"/>
    </row>
    <row r="645" spans="1:10">
      <c r="A645" s="788"/>
      <c r="B645" s="771"/>
      <c r="C645" s="12">
        <v>2017</v>
      </c>
      <c r="D645" s="35">
        <f>E645+F645+G645+H645+I645</f>
        <v>0</v>
      </c>
      <c r="E645" s="27">
        <v>0</v>
      </c>
      <c r="F645" s="27">
        <v>0</v>
      </c>
      <c r="G645" s="27">
        <v>0</v>
      </c>
      <c r="H645" s="27">
        <v>0</v>
      </c>
      <c r="I645" s="27">
        <v>0</v>
      </c>
      <c r="J645" s="18"/>
    </row>
    <row r="646" spans="1:10" ht="26.25" customHeight="1">
      <c r="A646" s="788" t="s">
        <v>331</v>
      </c>
      <c r="B646" s="771" t="s">
        <v>332</v>
      </c>
      <c r="C646" s="16" t="s">
        <v>16</v>
      </c>
      <c r="D646" s="39">
        <f t="shared" ref="D646:I646" si="164">D647+D648+D649</f>
        <v>0</v>
      </c>
      <c r="E646" s="39">
        <f t="shared" si="164"/>
        <v>0</v>
      </c>
      <c r="F646" s="39">
        <f t="shared" si="164"/>
        <v>0</v>
      </c>
      <c r="G646" s="39">
        <f t="shared" si="164"/>
        <v>0</v>
      </c>
      <c r="H646" s="39">
        <f t="shared" si="164"/>
        <v>0</v>
      </c>
      <c r="I646" s="39">
        <f t="shared" si="164"/>
        <v>0</v>
      </c>
      <c r="J646" s="18"/>
    </row>
    <row r="647" spans="1:10">
      <c r="A647" s="788"/>
      <c r="B647" s="771"/>
      <c r="C647" s="12">
        <v>2015</v>
      </c>
      <c r="D647" s="35">
        <f>E647+F647+G647+H647+I647</f>
        <v>0</v>
      </c>
      <c r="E647" s="27">
        <v>0</v>
      </c>
      <c r="F647" s="27">
        <v>0</v>
      </c>
      <c r="G647" s="27">
        <v>0</v>
      </c>
      <c r="H647" s="27">
        <v>0</v>
      </c>
      <c r="I647" s="27">
        <v>0</v>
      </c>
      <c r="J647" s="18"/>
    </row>
    <row r="648" spans="1:10">
      <c r="A648" s="788"/>
      <c r="B648" s="771"/>
      <c r="C648" s="12">
        <v>2016</v>
      </c>
      <c r="D648" s="35">
        <f>E648+F648+G648+H648+I648</f>
        <v>0</v>
      </c>
      <c r="E648" s="27">
        <v>0</v>
      </c>
      <c r="F648" s="27">
        <v>0</v>
      </c>
      <c r="G648" s="27">
        <v>0</v>
      </c>
      <c r="H648" s="27">
        <v>0</v>
      </c>
      <c r="I648" s="27">
        <v>0</v>
      </c>
      <c r="J648" s="18"/>
    </row>
    <row r="649" spans="1:10">
      <c r="A649" s="788"/>
      <c r="B649" s="771"/>
      <c r="C649" s="12">
        <v>2017</v>
      </c>
      <c r="D649" s="35">
        <f>E649+F649+G649+H649+I649</f>
        <v>0</v>
      </c>
      <c r="E649" s="27">
        <v>0</v>
      </c>
      <c r="F649" s="27">
        <v>0</v>
      </c>
      <c r="G649" s="27">
        <v>0</v>
      </c>
      <c r="H649" s="27">
        <v>0</v>
      </c>
      <c r="I649" s="27">
        <v>0</v>
      </c>
      <c r="J649" s="18"/>
    </row>
    <row r="650" spans="1:10">
      <c r="A650" s="788" t="s">
        <v>333</v>
      </c>
      <c r="B650" s="771" t="s">
        <v>334</v>
      </c>
      <c r="C650" s="16" t="s">
        <v>16</v>
      </c>
      <c r="D650" s="39">
        <f t="shared" ref="D650:I650" si="165">D651+D652+D653</f>
        <v>0</v>
      </c>
      <c r="E650" s="39">
        <f t="shared" si="165"/>
        <v>0</v>
      </c>
      <c r="F650" s="39">
        <f t="shared" si="165"/>
        <v>0</v>
      </c>
      <c r="G650" s="39">
        <f t="shared" si="165"/>
        <v>0</v>
      </c>
      <c r="H650" s="39">
        <f t="shared" si="165"/>
        <v>0</v>
      </c>
      <c r="I650" s="39">
        <f t="shared" si="165"/>
        <v>0</v>
      </c>
      <c r="J650" s="18"/>
    </row>
    <row r="651" spans="1:10">
      <c r="A651" s="788"/>
      <c r="B651" s="771"/>
      <c r="C651" s="12">
        <v>2015</v>
      </c>
      <c r="D651" s="35">
        <f>E651+F651+G651+H651+I651</f>
        <v>0</v>
      </c>
      <c r="E651" s="27">
        <v>0</v>
      </c>
      <c r="F651" s="27">
        <v>0</v>
      </c>
      <c r="G651" s="27">
        <v>0</v>
      </c>
      <c r="H651" s="27">
        <v>0</v>
      </c>
      <c r="I651" s="27">
        <v>0</v>
      </c>
      <c r="J651" s="18"/>
    </row>
    <row r="652" spans="1:10">
      <c r="A652" s="788"/>
      <c r="B652" s="771"/>
      <c r="C652" s="12">
        <v>2016</v>
      </c>
      <c r="D652" s="35">
        <f>E652+F652+G652+H652+I652</f>
        <v>0</v>
      </c>
      <c r="E652" s="27">
        <v>0</v>
      </c>
      <c r="F652" s="27">
        <v>0</v>
      </c>
      <c r="G652" s="27">
        <v>0</v>
      </c>
      <c r="H652" s="27">
        <v>0</v>
      </c>
      <c r="I652" s="27">
        <v>0</v>
      </c>
      <c r="J652" s="18"/>
    </row>
    <row r="653" spans="1:10" ht="29.25" customHeight="1">
      <c r="A653" s="788"/>
      <c r="B653" s="771"/>
      <c r="C653" s="12">
        <v>2017</v>
      </c>
      <c r="D653" s="35">
        <f>E653+F653+G653+H653+I653</f>
        <v>0</v>
      </c>
      <c r="E653" s="27">
        <v>0</v>
      </c>
      <c r="F653" s="27">
        <v>0</v>
      </c>
      <c r="G653" s="27">
        <v>0</v>
      </c>
      <c r="H653" s="27">
        <v>0</v>
      </c>
      <c r="I653" s="27">
        <v>0</v>
      </c>
      <c r="J653" s="18"/>
    </row>
    <row r="654" spans="1:10" ht="26.25" customHeight="1">
      <c r="A654" s="788" t="s">
        <v>335</v>
      </c>
      <c r="B654" s="771" t="s">
        <v>336</v>
      </c>
      <c r="C654" s="16" t="s">
        <v>16</v>
      </c>
      <c r="D654" s="39">
        <f t="shared" ref="D654:I654" si="166">D655+D656+D657</f>
        <v>4.7047800000000001E-2</v>
      </c>
      <c r="E654" s="39">
        <f t="shared" si="166"/>
        <v>0</v>
      </c>
      <c r="F654" s="39">
        <f t="shared" si="166"/>
        <v>0</v>
      </c>
      <c r="G654" s="39">
        <f t="shared" si="166"/>
        <v>0</v>
      </c>
      <c r="H654" s="39">
        <f t="shared" si="166"/>
        <v>4.7047800000000001E-2</v>
      </c>
      <c r="I654" s="39">
        <f t="shared" si="166"/>
        <v>0</v>
      </c>
      <c r="J654" s="18"/>
    </row>
    <row r="655" spans="1:10">
      <c r="A655" s="788"/>
      <c r="B655" s="771"/>
      <c r="C655" s="12">
        <v>2015</v>
      </c>
      <c r="D655" s="35">
        <f>E655+F655+G655+H655+I655</f>
        <v>1.7047799999999998E-2</v>
      </c>
      <c r="E655" s="27">
        <v>0</v>
      </c>
      <c r="F655" s="27">
        <v>0</v>
      </c>
      <c r="G655" s="27">
        <v>0</v>
      </c>
      <c r="H655" s="27">
        <f>17047.8/1000000</f>
        <v>1.7047799999999998E-2</v>
      </c>
      <c r="I655" s="27">
        <v>0</v>
      </c>
      <c r="J655" s="18"/>
    </row>
    <row r="656" spans="1:10">
      <c r="A656" s="788"/>
      <c r="B656" s="771"/>
      <c r="C656" s="12">
        <v>2016</v>
      </c>
      <c r="D656" s="35">
        <f>E656+F656+G656+H656+I656</f>
        <v>1.4999999999999999E-2</v>
      </c>
      <c r="E656" s="27">
        <v>0</v>
      </c>
      <c r="F656" s="27">
        <v>0</v>
      </c>
      <c r="G656" s="27">
        <v>0</v>
      </c>
      <c r="H656" s="27">
        <f>15000/1000000</f>
        <v>1.4999999999999999E-2</v>
      </c>
      <c r="I656" s="27">
        <v>0</v>
      </c>
      <c r="J656" s="18"/>
    </row>
    <row r="657" spans="1:10">
      <c r="A657" s="788"/>
      <c r="B657" s="771"/>
      <c r="C657" s="12">
        <v>2017</v>
      </c>
      <c r="D657" s="35">
        <f>E657+F657+G657+H657+I657</f>
        <v>1.4999999999999999E-2</v>
      </c>
      <c r="E657" s="27">
        <v>0</v>
      </c>
      <c r="F657" s="27">
        <v>0</v>
      </c>
      <c r="G657" s="27">
        <v>0</v>
      </c>
      <c r="H657" s="27">
        <f>15000/1000000</f>
        <v>1.4999999999999999E-2</v>
      </c>
      <c r="I657" s="27">
        <v>0</v>
      </c>
      <c r="J657" s="18"/>
    </row>
    <row r="658" spans="1:10">
      <c r="A658" s="788" t="s">
        <v>337</v>
      </c>
      <c r="B658" s="771" t="s">
        <v>338</v>
      </c>
      <c r="C658" s="16" t="s">
        <v>16</v>
      </c>
      <c r="D658" s="39">
        <f t="shared" ref="D658:I658" si="167">D659+D660+D661</f>
        <v>0</v>
      </c>
      <c r="E658" s="39">
        <f t="shared" si="167"/>
        <v>0</v>
      </c>
      <c r="F658" s="39">
        <f t="shared" si="167"/>
        <v>0</v>
      </c>
      <c r="G658" s="39">
        <f t="shared" si="167"/>
        <v>0</v>
      </c>
      <c r="H658" s="39">
        <f t="shared" si="167"/>
        <v>0</v>
      </c>
      <c r="I658" s="39">
        <f t="shared" si="167"/>
        <v>0</v>
      </c>
      <c r="J658" s="18"/>
    </row>
    <row r="659" spans="1:10">
      <c r="A659" s="788"/>
      <c r="B659" s="771"/>
      <c r="C659" s="12">
        <v>2015</v>
      </c>
      <c r="D659" s="35">
        <f>E659+F659+G659+H659+I659</f>
        <v>0</v>
      </c>
      <c r="E659" s="27">
        <v>0</v>
      </c>
      <c r="F659" s="27">
        <v>0</v>
      </c>
      <c r="G659" s="27">
        <v>0</v>
      </c>
      <c r="H659" s="27">
        <v>0</v>
      </c>
      <c r="I659" s="27">
        <v>0</v>
      </c>
      <c r="J659" s="18"/>
    </row>
    <row r="660" spans="1:10">
      <c r="A660" s="788"/>
      <c r="B660" s="771"/>
      <c r="C660" s="12">
        <v>2016</v>
      </c>
      <c r="D660" s="35">
        <f>E660+F660+G660+H660+I660</f>
        <v>0</v>
      </c>
      <c r="E660" s="27">
        <v>0</v>
      </c>
      <c r="F660" s="27">
        <v>0</v>
      </c>
      <c r="G660" s="27">
        <v>0</v>
      </c>
      <c r="H660" s="27">
        <v>0</v>
      </c>
      <c r="I660" s="27">
        <v>0</v>
      </c>
      <c r="J660" s="18"/>
    </row>
    <row r="661" spans="1:10">
      <c r="A661" s="788"/>
      <c r="B661" s="771"/>
      <c r="C661" s="12">
        <v>2017</v>
      </c>
      <c r="D661" s="35">
        <f>E661+F661+G661+H661+I661</f>
        <v>0</v>
      </c>
      <c r="E661" s="27">
        <v>0</v>
      </c>
      <c r="F661" s="27">
        <v>0</v>
      </c>
      <c r="G661" s="27">
        <v>0</v>
      </c>
      <c r="H661" s="27">
        <v>0</v>
      </c>
      <c r="I661" s="27">
        <v>0</v>
      </c>
      <c r="J661" s="18"/>
    </row>
    <row r="662" spans="1:10">
      <c r="C662" s="4"/>
      <c r="D662" s="4"/>
      <c r="E662" s="4"/>
      <c r="F662" s="4"/>
      <c r="G662" s="4"/>
    </row>
    <row r="663" spans="1:10">
      <c r="C663" s="4"/>
      <c r="D663" s="4"/>
      <c r="E663" s="4"/>
      <c r="F663" s="4"/>
      <c r="G663" s="4"/>
    </row>
    <row r="664" spans="1:10">
      <c r="C664" s="4"/>
      <c r="D664" s="4"/>
      <c r="E664" s="4"/>
      <c r="F664" s="4"/>
      <c r="G664" s="4"/>
    </row>
    <row r="665" spans="1:10">
      <c r="C665" s="4"/>
      <c r="D665" s="4"/>
      <c r="E665" s="4"/>
      <c r="F665" s="4"/>
      <c r="G665" s="4"/>
    </row>
    <row r="666" spans="1:10">
      <c r="C666" s="4"/>
      <c r="D666" s="4"/>
      <c r="E666" s="4"/>
      <c r="F666" s="4"/>
      <c r="G666" s="4"/>
    </row>
    <row r="667" spans="1:10">
      <c r="C667" s="4"/>
      <c r="D667" s="4"/>
      <c r="E667" s="4"/>
      <c r="F667" s="4"/>
      <c r="G667" s="4"/>
    </row>
    <row r="668" spans="1:10">
      <c r="C668" s="4"/>
      <c r="D668" s="4"/>
      <c r="E668" s="4"/>
      <c r="F668" s="4"/>
      <c r="G668" s="4"/>
    </row>
    <row r="669" spans="1:10">
      <c r="C669" s="4"/>
      <c r="D669" s="4"/>
      <c r="E669" s="4"/>
      <c r="F669" s="4"/>
      <c r="G669" s="4"/>
    </row>
    <row r="670" spans="1:10">
      <c r="C670" s="4"/>
      <c r="D670" s="4"/>
      <c r="E670" s="4"/>
      <c r="F670" s="4"/>
      <c r="G670" s="4"/>
    </row>
    <row r="671" spans="1:10">
      <c r="C671" s="4"/>
      <c r="D671" s="4"/>
      <c r="E671" s="4"/>
      <c r="F671" s="4"/>
      <c r="G671" s="4"/>
    </row>
    <row r="672" spans="1:10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</sheetData>
  <mergeCells count="342">
    <mergeCell ref="F1:I1"/>
    <mergeCell ref="A634:A637"/>
    <mergeCell ref="B614:B617"/>
    <mergeCell ref="A618:A621"/>
    <mergeCell ref="B618:B621"/>
    <mergeCell ref="A630:A633"/>
    <mergeCell ref="A606:A609"/>
    <mergeCell ref="B606:B609"/>
    <mergeCell ref="A594:A597"/>
    <mergeCell ref="B594:B597"/>
    <mergeCell ref="A598:A601"/>
    <mergeCell ref="B598:B601"/>
    <mergeCell ref="A602:A605"/>
    <mergeCell ref="B602:B605"/>
    <mergeCell ref="B630:B633"/>
    <mergeCell ref="A610:A613"/>
    <mergeCell ref="A590:A593"/>
    <mergeCell ref="B590:B593"/>
    <mergeCell ref="A570:A573"/>
    <mergeCell ref="B570:B573"/>
    <mergeCell ref="A582:A585"/>
    <mergeCell ref="B582:B585"/>
    <mergeCell ref="A586:A589"/>
    <mergeCell ref="A518:A521"/>
    <mergeCell ref="A642:A645"/>
    <mergeCell ref="B642:B645"/>
    <mergeCell ref="A658:A661"/>
    <mergeCell ref="B658:B661"/>
    <mergeCell ref="A646:A649"/>
    <mergeCell ref="B646:B649"/>
    <mergeCell ref="A650:A653"/>
    <mergeCell ref="B650:B653"/>
    <mergeCell ref="A654:A657"/>
    <mergeCell ref="B654:B657"/>
    <mergeCell ref="A638:A641"/>
    <mergeCell ref="B638:B641"/>
    <mergeCell ref="A622:A625"/>
    <mergeCell ref="B622:B625"/>
    <mergeCell ref="A626:A629"/>
    <mergeCell ref="B626:B629"/>
    <mergeCell ref="B610:B613"/>
    <mergeCell ref="A614:A617"/>
    <mergeCell ref="B634:B637"/>
    <mergeCell ref="B586:B589"/>
    <mergeCell ref="A558:A561"/>
    <mergeCell ref="B558:B561"/>
    <mergeCell ref="A578:A581"/>
    <mergeCell ref="B578:B581"/>
    <mergeCell ref="A562:A565"/>
    <mergeCell ref="B562:B565"/>
    <mergeCell ref="A546:A549"/>
    <mergeCell ref="B546:B549"/>
    <mergeCell ref="A574:A577"/>
    <mergeCell ref="B574:B577"/>
    <mergeCell ref="A550:A553"/>
    <mergeCell ref="B550:B553"/>
    <mergeCell ref="A554:A557"/>
    <mergeCell ref="B554:B557"/>
    <mergeCell ref="A566:A569"/>
    <mergeCell ref="B566:B569"/>
    <mergeCell ref="A538:A541"/>
    <mergeCell ref="B538:B541"/>
    <mergeCell ref="A542:A545"/>
    <mergeCell ref="B542:B545"/>
    <mergeCell ref="A506:A509"/>
    <mergeCell ref="B506:B509"/>
    <mergeCell ref="A510:A513"/>
    <mergeCell ref="B510:B513"/>
    <mergeCell ref="B518:B521"/>
    <mergeCell ref="A530:A533"/>
    <mergeCell ref="B530:B533"/>
    <mergeCell ref="A534:A537"/>
    <mergeCell ref="B534:B537"/>
    <mergeCell ref="A522:A525"/>
    <mergeCell ref="B522:B525"/>
    <mergeCell ref="A526:A529"/>
    <mergeCell ref="B526:B529"/>
    <mergeCell ref="A490:A493"/>
    <mergeCell ref="B490:B493"/>
    <mergeCell ref="A494:A497"/>
    <mergeCell ref="B494:B497"/>
    <mergeCell ref="A498:A501"/>
    <mergeCell ref="B498:B501"/>
    <mergeCell ref="A502:A505"/>
    <mergeCell ref="B502:B505"/>
    <mergeCell ref="A514:A517"/>
    <mergeCell ref="B514:B517"/>
    <mergeCell ref="A482:A485"/>
    <mergeCell ref="B482:B485"/>
    <mergeCell ref="A486:A489"/>
    <mergeCell ref="B486:B489"/>
    <mergeCell ref="A474:A477"/>
    <mergeCell ref="B474:B477"/>
    <mergeCell ref="A478:A481"/>
    <mergeCell ref="B478:B481"/>
    <mergeCell ref="A444:A447"/>
    <mergeCell ref="B444:B447"/>
    <mergeCell ref="A448:A451"/>
    <mergeCell ref="B448:B451"/>
    <mergeCell ref="A452:A455"/>
    <mergeCell ref="B452:B455"/>
    <mergeCell ref="A456:A459"/>
    <mergeCell ref="B457:B459"/>
    <mergeCell ref="A467:A469"/>
    <mergeCell ref="B467:B469"/>
    <mergeCell ref="A460:A462"/>
    <mergeCell ref="B460:B462"/>
    <mergeCell ref="A463:A466"/>
    <mergeCell ref="B463:B466"/>
    <mergeCell ref="A470:A473"/>
    <mergeCell ref="B470:B473"/>
    <mergeCell ref="A436:A439"/>
    <mergeCell ref="B436:B439"/>
    <mergeCell ref="A440:A443"/>
    <mergeCell ref="B440:B443"/>
    <mergeCell ref="A428:A431"/>
    <mergeCell ref="B428:B431"/>
    <mergeCell ref="A432:A435"/>
    <mergeCell ref="B432:B435"/>
    <mergeCell ref="A396:A399"/>
    <mergeCell ref="B396:B399"/>
    <mergeCell ref="A400:A403"/>
    <mergeCell ref="B400:B403"/>
    <mergeCell ref="A404:A407"/>
    <mergeCell ref="B404:B407"/>
    <mergeCell ref="A408:A411"/>
    <mergeCell ref="B408:B411"/>
    <mergeCell ref="A420:A423"/>
    <mergeCell ref="B420:B423"/>
    <mergeCell ref="A412:A415"/>
    <mergeCell ref="B412:B415"/>
    <mergeCell ref="A416:A419"/>
    <mergeCell ref="B416:B419"/>
    <mergeCell ref="A424:A427"/>
    <mergeCell ref="B424:B427"/>
    <mergeCell ref="A316:A319"/>
    <mergeCell ref="B316:B319"/>
    <mergeCell ref="A320:A323"/>
    <mergeCell ref="B320:B323"/>
    <mergeCell ref="A328:A331"/>
    <mergeCell ref="B328:B331"/>
    <mergeCell ref="A392:A395"/>
    <mergeCell ref="B392:B395"/>
    <mergeCell ref="A380:A383"/>
    <mergeCell ref="B380:B383"/>
    <mergeCell ref="A384:A387"/>
    <mergeCell ref="B384:B387"/>
    <mergeCell ref="A356:A359"/>
    <mergeCell ref="B356:B359"/>
    <mergeCell ref="A360:A363"/>
    <mergeCell ref="B360:B363"/>
    <mergeCell ref="A372:A375"/>
    <mergeCell ref="B372:B375"/>
    <mergeCell ref="A364:A367"/>
    <mergeCell ref="B364:B367"/>
    <mergeCell ref="A368:A371"/>
    <mergeCell ref="B368:B371"/>
    <mergeCell ref="A376:A379"/>
    <mergeCell ref="B376:B379"/>
    <mergeCell ref="A300:A303"/>
    <mergeCell ref="B300:B303"/>
    <mergeCell ref="A304:A307"/>
    <mergeCell ref="B304:B307"/>
    <mergeCell ref="A388:A391"/>
    <mergeCell ref="B388:B391"/>
    <mergeCell ref="A308:A311"/>
    <mergeCell ref="B308:B311"/>
    <mergeCell ref="A312:A315"/>
    <mergeCell ref="B312:B315"/>
    <mergeCell ref="A324:A327"/>
    <mergeCell ref="B324:B327"/>
    <mergeCell ref="A348:A351"/>
    <mergeCell ref="B348:B351"/>
    <mergeCell ref="A352:A355"/>
    <mergeCell ref="B352:B355"/>
    <mergeCell ref="A340:A343"/>
    <mergeCell ref="B340:B343"/>
    <mergeCell ref="A344:A347"/>
    <mergeCell ref="B344:B347"/>
    <mergeCell ref="A332:A335"/>
    <mergeCell ref="B332:B335"/>
    <mergeCell ref="A336:A339"/>
    <mergeCell ref="B336:B339"/>
    <mergeCell ref="A272:A275"/>
    <mergeCell ref="B272:B275"/>
    <mergeCell ref="A292:A295"/>
    <mergeCell ref="B292:B295"/>
    <mergeCell ref="A296:A299"/>
    <mergeCell ref="B296:B299"/>
    <mergeCell ref="A284:A287"/>
    <mergeCell ref="B284:B287"/>
    <mergeCell ref="A288:A291"/>
    <mergeCell ref="B288:B291"/>
    <mergeCell ref="A276:A279"/>
    <mergeCell ref="B276:B279"/>
    <mergeCell ref="A280:A283"/>
    <mergeCell ref="B280:B283"/>
    <mergeCell ref="K244:L244"/>
    <mergeCell ref="K245:L245"/>
    <mergeCell ref="K246:L246"/>
    <mergeCell ref="A260:A263"/>
    <mergeCell ref="B260:B263"/>
    <mergeCell ref="A252:A255"/>
    <mergeCell ref="B252:B255"/>
    <mergeCell ref="A256:A259"/>
    <mergeCell ref="B256:B259"/>
    <mergeCell ref="A203:A206"/>
    <mergeCell ref="B203:B206"/>
    <mergeCell ref="A207:A210"/>
    <mergeCell ref="B207:B210"/>
    <mergeCell ref="A227:A230"/>
    <mergeCell ref="B227:B230"/>
    <mergeCell ref="K240:L240"/>
    <mergeCell ref="K241:L241"/>
    <mergeCell ref="K242:L242"/>
    <mergeCell ref="A239:A242"/>
    <mergeCell ref="B239:B242"/>
    <mergeCell ref="A215:A218"/>
    <mergeCell ref="B215:B218"/>
    <mergeCell ref="A219:A222"/>
    <mergeCell ref="B219:B222"/>
    <mergeCell ref="A223:A226"/>
    <mergeCell ref="B223:B226"/>
    <mergeCell ref="A155:A158"/>
    <mergeCell ref="B155:B158"/>
    <mergeCell ref="A179:A182"/>
    <mergeCell ref="B179:B182"/>
    <mergeCell ref="A264:A267"/>
    <mergeCell ref="B264:B267"/>
    <mergeCell ref="A268:A271"/>
    <mergeCell ref="B268:B271"/>
    <mergeCell ref="A235:A238"/>
    <mergeCell ref="B235:B238"/>
    <mergeCell ref="A243:A246"/>
    <mergeCell ref="B243:B246"/>
    <mergeCell ref="A187:A190"/>
    <mergeCell ref="B187:B190"/>
    <mergeCell ref="A231:A234"/>
    <mergeCell ref="B231:B234"/>
    <mergeCell ref="A211:A214"/>
    <mergeCell ref="B211:B214"/>
    <mergeCell ref="A191:A194"/>
    <mergeCell ref="B191:B194"/>
    <mergeCell ref="A195:A198"/>
    <mergeCell ref="B195:B198"/>
    <mergeCell ref="A199:A202"/>
    <mergeCell ref="B199:B202"/>
    <mergeCell ref="A139:A142"/>
    <mergeCell ref="B139:B142"/>
    <mergeCell ref="A143:A146"/>
    <mergeCell ref="B143:B146"/>
    <mergeCell ref="A131:A134"/>
    <mergeCell ref="B131:B134"/>
    <mergeCell ref="A135:A138"/>
    <mergeCell ref="B135:B138"/>
    <mergeCell ref="A183:A186"/>
    <mergeCell ref="B183:B186"/>
    <mergeCell ref="A171:A174"/>
    <mergeCell ref="B171:B174"/>
    <mergeCell ref="A175:A178"/>
    <mergeCell ref="B175:B178"/>
    <mergeCell ref="A163:A166"/>
    <mergeCell ref="B163:B166"/>
    <mergeCell ref="A167:A170"/>
    <mergeCell ref="B167:B170"/>
    <mergeCell ref="A147:A150"/>
    <mergeCell ref="B147:B150"/>
    <mergeCell ref="A151:A154"/>
    <mergeCell ref="B151:B154"/>
    <mergeCell ref="A159:A162"/>
    <mergeCell ref="B159:B162"/>
    <mergeCell ref="A111:A114"/>
    <mergeCell ref="B111:B114"/>
    <mergeCell ref="A123:A126"/>
    <mergeCell ref="B123:B126"/>
    <mergeCell ref="A127:A130"/>
    <mergeCell ref="B127:B130"/>
    <mergeCell ref="A115:A118"/>
    <mergeCell ref="B115:B118"/>
    <mergeCell ref="A119:A122"/>
    <mergeCell ref="B119:B122"/>
    <mergeCell ref="A91:A94"/>
    <mergeCell ref="B91:B94"/>
    <mergeCell ref="A95:A98"/>
    <mergeCell ref="B95:B98"/>
    <mergeCell ref="A107:A110"/>
    <mergeCell ref="B107:B110"/>
    <mergeCell ref="A87:A90"/>
    <mergeCell ref="B87:B90"/>
    <mergeCell ref="A67:A70"/>
    <mergeCell ref="B67:B70"/>
    <mergeCell ref="A71:A74"/>
    <mergeCell ref="B71:B74"/>
    <mergeCell ref="A75:A78"/>
    <mergeCell ref="B75:B78"/>
    <mergeCell ref="A79:A82"/>
    <mergeCell ref="B79:B82"/>
    <mergeCell ref="A83:A86"/>
    <mergeCell ref="B83:B86"/>
    <mergeCell ref="A99:A102"/>
    <mergeCell ref="B99:B102"/>
    <mergeCell ref="A103:A106"/>
    <mergeCell ref="B103:B106"/>
    <mergeCell ref="A47:A50"/>
    <mergeCell ref="B47:B50"/>
    <mergeCell ref="A51:A54"/>
    <mergeCell ref="B51:B54"/>
    <mergeCell ref="A63:A66"/>
    <mergeCell ref="B63:B66"/>
    <mergeCell ref="A39:A42"/>
    <mergeCell ref="B39:B42"/>
    <mergeCell ref="A43:A46"/>
    <mergeCell ref="B43:B46"/>
    <mergeCell ref="A59:A62"/>
    <mergeCell ref="B59:B62"/>
    <mergeCell ref="A55:A58"/>
    <mergeCell ref="B55:B58"/>
    <mergeCell ref="A15:A18"/>
    <mergeCell ref="B15:B18"/>
    <mergeCell ref="A19:A22"/>
    <mergeCell ref="B19:B22"/>
    <mergeCell ref="A6:A9"/>
    <mergeCell ref="A35:A38"/>
    <mergeCell ref="B35:B38"/>
    <mergeCell ref="A23:A26"/>
    <mergeCell ref="B23:B26"/>
    <mergeCell ref="A27:A30"/>
    <mergeCell ref="B27:B30"/>
    <mergeCell ref="A31:A34"/>
    <mergeCell ref="B31:B34"/>
    <mergeCell ref="B3:E3"/>
    <mergeCell ref="F3:I3"/>
    <mergeCell ref="A10:A13"/>
    <mergeCell ref="B10:B13"/>
    <mergeCell ref="A4:I4"/>
    <mergeCell ref="G5:I5"/>
    <mergeCell ref="E6:I7"/>
    <mergeCell ref="E8:E9"/>
    <mergeCell ref="F8:I8"/>
    <mergeCell ref="C6:C9"/>
    <mergeCell ref="D6:D9"/>
    <mergeCell ref="B6:B9"/>
  </mergeCells>
  <pageMargins left="0.23622047901153601" right="0.23622047901153601" top="0.74803149700164795" bottom="0.74803149700164795" header="0.31496062874794001" footer="0.31496062874794001"/>
  <pageSetup paperSize="9" scale="92" fitToHeight="0" orientation="landscape"/>
  <headerFooter alignWithMargins="0"/>
  <rowBreaks count="16" manualBreakCount="16">
    <brk id="38" max="726" man="1"/>
    <brk id="74" max="726" man="1"/>
    <brk id="106" max="726" man="1"/>
    <brk id="138" max="726" man="1"/>
    <brk id="170" max="726" man="1"/>
    <brk id="206" max="726" man="1"/>
    <brk id="242" max="726" man="1"/>
    <brk id="319" max="726" man="1"/>
    <brk id="351" max="726" man="1"/>
    <brk id="387" max="726" man="1"/>
    <brk id="423" max="726" man="1"/>
    <brk id="489" max="726" man="1"/>
    <brk id="525" max="726" man="1"/>
    <brk id="561" max="726" man="1"/>
    <brk id="597" max="726" man="1"/>
    <brk id="633" max="726" man="1"/>
  </rowBreaks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G1419"/>
  <sheetViews>
    <sheetView zoomScale="125" zoomScaleNormal="125" workbookViewId="0">
      <pane xSplit="3" ySplit="8" topLeftCell="H320" activePane="bottomRight" state="frozen"/>
      <selection pane="topRight"/>
      <selection pane="bottomLeft"/>
      <selection pane="bottomRight" activeCell="H320" sqref="H320"/>
    </sheetView>
  </sheetViews>
  <sheetFormatPr defaultColWidth="9.140625" defaultRowHeight="12.75" customHeight="1"/>
  <cols>
    <col min="1" max="1" width="7.5703125" style="43" customWidth="1"/>
    <col min="2" max="2" width="40.7109375" style="44" customWidth="1"/>
    <col min="3" max="3" width="33.42578125" style="44" customWidth="1"/>
    <col min="4" max="4" width="13.5703125" style="45" customWidth="1"/>
    <col min="5" max="5" width="14.5703125" style="46" customWidth="1"/>
    <col min="6" max="6" width="13.42578125" style="46" customWidth="1"/>
    <col min="7" max="7" width="11.85546875" style="46" customWidth="1"/>
    <col min="8" max="8" width="11.28515625" style="46" customWidth="1"/>
    <col min="9" max="9" width="15.28515625" style="47" customWidth="1"/>
    <col min="10" max="10" width="14.42578125" style="47" customWidth="1"/>
    <col min="11" max="11" width="17.140625" style="48" customWidth="1"/>
    <col min="12" max="12" width="20.7109375" style="45" customWidth="1"/>
    <col min="13" max="13" width="14.85546875" style="49" customWidth="1"/>
    <col min="14" max="14" width="11.5703125" style="50" customWidth="1"/>
    <col min="15" max="15" width="23" style="51" customWidth="1"/>
    <col min="16" max="136" width="0" style="49" hidden="1" customWidth="1"/>
    <col min="137" max="137" width="9.140625" style="49" customWidth="1"/>
    <col min="138" max="16384" width="9.140625" style="49"/>
  </cols>
  <sheetData>
    <row r="1" spans="1:57" ht="18.75" hidden="1" customHeight="1">
      <c r="M1" s="917"/>
      <c r="N1" s="917"/>
      <c r="O1" s="917"/>
    </row>
    <row r="2" spans="1:57" ht="51" customHeight="1">
      <c r="M2" s="918" t="s">
        <v>339</v>
      </c>
      <c r="N2" s="918"/>
      <c r="O2" s="918"/>
    </row>
    <row r="3" spans="1:57" ht="12.75" customHeight="1">
      <c r="A3" s="919" t="s">
        <v>340</v>
      </c>
      <c r="B3" s="919"/>
      <c r="C3" s="919"/>
      <c r="D3" s="919"/>
      <c r="E3" s="919"/>
      <c r="F3" s="919"/>
      <c r="G3" s="919"/>
      <c r="H3" s="919"/>
      <c r="I3" s="919"/>
      <c r="J3" s="919"/>
      <c r="K3" s="53"/>
      <c r="O3" s="49"/>
    </row>
    <row r="4" spans="1:57">
      <c r="A4" s="54"/>
      <c r="B4" s="55"/>
      <c r="C4" s="55"/>
      <c r="D4" s="56"/>
      <c r="E4" s="57"/>
      <c r="F4" s="57"/>
      <c r="G4" s="57"/>
      <c r="H4" s="920" t="s">
        <v>3</v>
      </c>
      <c r="I4" s="920"/>
      <c r="J4" s="920"/>
      <c r="K4" s="58"/>
      <c r="O4" s="49"/>
    </row>
    <row r="5" spans="1:57" s="51" customFormat="1">
      <c r="A5" s="921" t="s">
        <v>4</v>
      </c>
      <c r="B5" s="870" t="s">
        <v>341</v>
      </c>
      <c r="C5" s="867" t="s">
        <v>342</v>
      </c>
      <c r="D5" s="922" t="s">
        <v>6</v>
      </c>
      <c r="E5" s="904" t="s">
        <v>343</v>
      </c>
      <c r="F5" s="64" t="s">
        <v>8</v>
      </c>
      <c r="G5" s="65"/>
      <c r="H5" s="65"/>
      <c r="I5" s="65"/>
      <c r="J5" s="66"/>
      <c r="K5" s="67"/>
      <c r="L5" s="923" t="s">
        <v>344</v>
      </c>
      <c r="M5" s="855" t="s">
        <v>345</v>
      </c>
      <c r="N5" s="901" t="s">
        <v>346</v>
      </c>
      <c r="O5" s="855" t="s">
        <v>347</v>
      </c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68"/>
    </row>
    <row r="6" spans="1:57" s="51" customFormat="1" ht="12.75" customHeight="1">
      <c r="A6" s="921"/>
      <c r="B6" s="870"/>
      <c r="C6" s="872"/>
      <c r="D6" s="922"/>
      <c r="E6" s="904"/>
      <c r="F6" s="70"/>
      <c r="G6" s="71"/>
      <c r="H6" s="71"/>
      <c r="I6" s="71"/>
      <c r="J6" s="72"/>
      <c r="K6" s="73"/>
      <c r="L6" s="924"/>
      <c r="M6" s="856"/>
      <c r="N6" s="902"/>
      <c r="O6" s="856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68"/>
    </row>
    <row r="7" spans="1:57" s="51" customFormat="1" ht="12.75" customHeight="1">
      <c r="A7" s="921"/>
      <c r="B7" s="870"/>
      <c r="C7" s="872"/>
      <c r="D7" s="922"/>
      <c r="E7" s="904"/>
      <c r="F7" s="904" t="s">
        <v>9</v>
      </c>
      <c r="G7" s="905" t="s">
        <v>10</v>
      </c>
      <c r="H7" s="906"/>
      <c r="I7" s="906"/>
      <c r="J7" s="77"/>
      <c r="K7" s="73"/>
      <c r="L7" s="924"/>
      <c r="M7" s="856"/>
      <c r="N7" s="902"/>
      <c r="O7" s="856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68"/>
    </row>
    <row r="8" spans="1:57" s="51" customFormat="1" ht="25.5">
      <c r="A8" s="921"/>
      <c r="B8" s="870"/>
      <c r="C8" s="873"/>
      <c r="D8" s="922"/>
      <c r="E8" s="904"/>
      <c r="F8" s="904"/>
      <c r="G8" s="63" t="s">
        <v>11</v>
      </c>
      <c r="H8" s="63" t="s">
        <v>12</v>
      </c>
      <c r="I8" s="63" t="s">
        <v>13</v>
      </c>
      <c r="J8" s="63" t="s">
        <v>14</v>
      </c>
      <c r="K8" s="79"/>
      <c r="L8" s="925"/>
      <c r="M8" s="857"/>
      <c r="N8" s="903"/>
      <c r="O8" s="857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68"/>
    </row>
    <row r="9" spans="1:57" s="82" customFormat="1" ht="29.25" customHeight="1">
      <c r="A9" s="794"/>
      <c r="B9" s="913" t="s">
        <v>348</v>
      </c>
      <c r="C9" s="913"/>
      <c r="D9" s="84" t="s">
        <v>16</v>
      </c>
      <c r="E9" s="85">
        <f t="shared" ref="E9:J9" si="0">E10+E11+E12+E13+E14+E15+E16+E17+E18+E19+E20+E21</f>
        <v>137168.63869366786</v>
      </c>
      <c r="F9" s="85">
        <f t="shared" si="0"/>
        <v>2599.3802936678671</v>
      </c>
      <c r="G9" s="85">
        <f t="shared" si="0"/>
        <v>411.87579999999997</v>
      </c>
      <c r="H9" s="85">
        <f t="shared" si="0"/>
        <v>8020.3154999999988</v>
      </c>
      <c r="I9" s="85">
        <f t="shared" si="0"/>
        <v>125967.7049</v>
      </c>
      <c r="J9" s="85">
        <f t="shared" si="0"/>
        <v>169.36220000000003</v>
      </c>
      <c r="K9" s="86">
        <f t="shared" ref="K9:K21" si="1">F9+G9+H9+I9+J9</f>
        <v>137168.63869366786</v>
      </c>
      <c r="L9" s="87">
        <f t="shared" ref="L9:L21" si="2">E9-K9</f>
        <v>0</v>
      </c>
      <c r="M9" s="88"/>
      <c r="N9" s="89"/>
      <c r="O9" s="90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2"/>
    </row>
    <row r="10" spans="1:57" s="82" customFormat="1" ht="13.5" customHeight="1">
      <c r="A10" s="834"/>
      <c r="B10" s="868"/>
      <c r="C10" s="868"/>
      <c r="D10" s="84">
        <v>2019</v>
      </c>
      <c r="E10" s="85">
        <f t="shared" ref="E10:J10" si="3">E23+E75+E256+E276+E359+E401+E428+E454+E514+E540+E556+E693+E715+E756+E817+E983+E1034+E1110+E1153</f>
        <v>33792.876089999998</v>
      </c>
      <c r="F10" s="85">
        <f t="shared" si="3"/>
        <v>234.08769000000001</v>
      </c>
      <c r="G10" s="85">
        <f t="shared" si="3"/>
        <v>106.84769999999999</v>
      </c>
      <c r="H10" s="85">
        <f t="shared" si="3"/>
        <v>4544.7029999999995</v>
      </c>
      <c r="I10" s="85">
        <f t="shared" si="3"/>
        <v>28875.748500000002</v>
      </c>
      <c r="J10" s="85">
        <f t="shared" si="3"/>
        <v>31.489200000000004</v>
      </c>
      <c r="K10" s="86">
        <f t="shared" si="1"/>
        <v>33792.876090000005</v>
      </c>
      <c r="L10" s="87">
        <f t="shared" si="2"/>
        <v>0</v>
      </c>
      <c r="M10" s="88"/>
      <c r="N10" s="89"/>
      <c r="O10" s="90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2"/>
    </row>
    <row r="11" spans="1:57" s="82" customFormat="1" ht="13.5" customHeight="1">
      <c r="A11" s="834"/>
      <c r="B11" s="868"/>
      <c r="C11" s="868"/>
      <c r="D11" s="84">
        <v>2020</v>
      </c>
      <c r="E11" s="85">
        <f t="shared" ref="E11:J11" si="4">E24+E76+E257+E277+E402+E429+E455+E515+E541+E557+E694+E716+E757+E818+E958+E984+E1035+E1111+E1154+E1181+E360</f>
        <v>47477.485546000011</v>
      </c>
      <c r="F11" s="85">
        <f t="shared" si="4"/>
        <v>237.19264599999997</v>
      </c>
      <c r="G11" s="85">
        <f t="shared" si="4"/>
        <v>172.37690000000001</v>
      </c>
      <c r="H11" s="85">
        <f t="shared" si="4"/>
        <v>1334.9612999999995</v>
      </c>
      <c r="I11" s="85">
        <f t="shared" si="4"/>
        <v>45717.347399999999</v>
      </c>
      <c r="J11" s="85">
        <f t="shared" si="4"/>
        <v>15.607300000000002</v>
      </c>
      <c r="K11" s="86">
        <f t="shared" si="1"/>
        <v>47477.485546000004</v>
      </c>
      <c r="L11" s="87">
        <f t="shared" si="2"/>
        <v>0</v>
      </c>
      <c r="M11" s="88"/>
      <c r="N11" s="89"/>
      <c r="O11" s="90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2"/>
    </row>
    <row r="12" spans="1:57" s="82" customFormat="1" ht="13.5" customHeight="1">
      <c r="A12" s="834"/>
      <c r="B12" s="868"/>
      <c r="C12" s="868"/>
      <c r="D12" s="84">
        <v>2021</v>
      </c>
      <c r="E12" s="85">
        <f t="shared" ref="E12:J12" si="5">E25+E77+E258+E278+E361+E403+E430+E456+E516+E542+E558+E695+E717+E758+E819+E959+E985+E1036+E1112+E1155+E1182</f>
        <v>30830.548829999996</v>
      </c>
      <c r="F12" s="85">
        <f t="shared" si="5"/>
        <v>190.07343</v>
      </c>
      <c r="G12" s="85">
        <f t="shared" si="5"/>
        <v>132.35929999999999</v>
      </c>
      <c r="H12" s="85">
        <f t="shared" si="5"/>
        <v>484.13639999999992</v>
      </c>
      <c r="I12" s="85">
        <f t="shared" si="5"/>
        <v>30004.428899999999</v>
      </c>
      <c r="J12" s="85">
        <f t="shared" si="5"/>
        <v>19.550800000000002</v>
      </c>
      <c r="K12" s="86">
        <f t="shared" si="1"/>
        <v>30830.54883</v>
      </c>
      <c r="L12" s="87">
        <f t="shared" si="2"/>
        <v>0</v>
      </c>
      <c r="M12" s="88"/>
      <c r="N12" s="89"/>
      <c r="O12" s="90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2"/>
    </row>
    <row r="13" spans="1:57" s="82" customFormat="1" ht="13.5" customHeight="1">
      <c r="A13" s="834"/>
      <c r="B13" s="868"/>
      <c r="C13" s="868"/>
      <c r="D13" s="84">
        <v>2022</v>
      </c>
      <c r="E13" s="85">
        <f t="shared" ref="E13:J13" si="6">-E26+E78+E279+E362+E404+E431+E517+E543+E559+E718+E759+E820+E960+E986+E1037+E1113+E1155+E457</f>
        <v>17106.450369999999</v>
      </c>
      <c r="F13" s="85">
        <f t="shared" si="6"/>
        <v>166.11646999999999</v>
      </c>
      <c r="G13" s="85">
        <f t="shared" si="6"/>
        <v>0.29189999999999999</v>
      </c>
      <c r="H13" s="85">
        <f t="shared" si="6"/>
        <v>84.703499999999991</v>
      </c>
      <c r="I13" s="85">
        <f t="shared" si="6"/>
        <v>16854.069500000001</v>
      </c>
      <c r="J13" s="85">
        <f t="shared" si="6"/>
        <v>1.2689999999999999</v>
      </c>
      <c r="K13" s="86">
        <f t="shared" si="1"/>
        <v>17106.450370000002</v>
      </c>
      <c r="L13" s="87">
        <f t="shared" si="2"/>
        <v>0</v>
      </c>
      <c r="M13" s="88"/>
      <c r="N13" s="89"/>
      <c r="O13" s="90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2"/>
    </row>
    <row r="14" spans="1:57" s="82" customFormat="1" ht="13.5" customHeight="1">
      <c r="A14" s="834"/>
      <c r="B14" s="868"/>
      <c r="C14" s="868"/>
      <c r="D14" s="84">
        <v>2023</v>
      </c>
      <c r="E14" s="85">
        <f t="shared" ref="E14:J14" si="7">E27+E79+E280+E363+E405+E432+E518+E544+E560+E719+E821+E961+E987+E1114+E1157+E458+E260</f>
        <v>4823.2968800000008</v>
      </c>
      <c r="F14" s="85">
        <f t="shared" si="7"/>
        <v>187.29787999999996</v>
      </c>
      <c r="G14" s="85">
        <f t="shared" si="7"/>
        <v>0</v>
      </c>
      <c r="H14" s="85">
        <f t="shared" si="7"/>
        <v>265.94390000000004</v>
      </c>
      <c r="I14" s="85">
        <f t="shared" si="7"/>
        <v>4352.0378999999994</v>
      </c>
      <c r="J14" s="85">
        <f t="shared" si="7"/>
        <v>18.017200000000003</v>
      </c>
      <c r="K14" s="86">
        <f t="shared" si="1"/>
        <v>4823.2968799999999</v>
      </c>
      <c r="L14" s="87">
        <f t="shared" si="2"/>
        <v>0</v>
      </c>
      <c r="M14" s="88"/>
      <c r="N14" s="89"/>
      <c r="O14" s="90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2"/>
    </row>
    <row r="15" spans="1:57" s="82" customFormat="1" ht="13.5" customHeight="1">
      <c r="A15" s="834"/>
      <c r="B15" s="868"/>
      <c r="C15" s="868"/>
      <c r="D15" s="84">
        <v>2024</v>
      </c>
      <c r="E15" s="85">
        <f t="shared" ref="E15:J15" si="8">E28+E80+E281+E364+E406+E433+E519+E561+E720+E822+E962+E988+E1039+E1115+E1158+E459+E261+E1185</f>
        <v>491.18396999999993</v>
      </c>
      <c r="F15" s="85">
        <f t="shared" si="8"/>
        <v>195.55826999999996</v>
      </c>
      <c r="G15" s="85">
        <f t="shared" si="8"/>
        <v>0</v>
      </c>
      <c r="H15" s="85">
        <f t="shared" si="8"/>
        <v>209.79300000000001</v>
      </c>
      <c r="I15" s="85">
        <f t="shared" si="8"/>
        <v>74.896900000000002</v>
      </c>
      <c r="J15" s="85">
        <f t="shared" si="8"/>
        <v>10.9358</v>
      </c>
      <c r="K15" s="86">
        <f t="shared" si="1"/>
        <v>491.18397000000004</v>
      </c>
      <c r="L15" s="87">
        <f t="shared" si="2"/>
        <v>0</v>
      </c>
      <c r="M15" s="88"/>
      <c r="N15" s="89"/>
      <c r="O15" s="90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2"/>
    </row>
    <row r="16" spans="1:57" s="82" customFormat="1" ht="13.5" customHeight="1">
      <c r="A16" s="834"/>
      <c r="B16" s="868"/>
      <c r="C16" s="868"/>
      <c r="D16" s="84">
        <v>2025</v>
      </c>
      <c r="E16" s="85">
        <f t="shared" ref="E16:J16" si="9">E29+E81+E282+E365+E434+E520+E562+E721+E823+E963+E989+E1040+E1116+E1159+E460+E262+E407+E1186</f>
        <v>386.44405</v>
      </c>
      <c r="F16" s="85">
        <f t="shared" si="9"/>
        <v>188.82794999999996</v>
      </c>
      <c r="G16" s="85">
        <f t="shared" si="9"/>
        <v>0</v>
      </c>
      <c r="H16" s="85">
        <f t="shared" si="9"/>
        <v>151.27500000000001</v>
      </c>
      <c r="I16" s="85">
        <f t="shared" si="9"/>
        <v>30.337900000000001</v>
      </c>
      <c r="J16" s="85">
        <f t="shared" si="9"/>
        <v>16.0032</v>
      </c>
      <c r="K16" s="86">
        <f t="shared" si="1"/>
        <v>386.44404999999995</v>
      </c>
      <c r="L16" s="87">
        <f t="shared" si="2"/>
        <v>0</v>
      </c>
      <c r="M16" s="88"/>
      <c r="N16" s="89"/>
      <c r="O16" s="90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2"/>
    </row>
    <row r="17" spans="1:57" s="82" customFormat="1" ht="13.5" customHeight="1">
      <c r="A17" s="834"/>
      <c r="B17" s="868"/>
      <c r="C17" s="868"/>
      <c r="D17" s="84">
        <v>2026</v>
      </c>
      <c r="E17" s="85">
        <f t="shared" ref="E17:J17" si="10">E30+E82+E283+E435+E521+E563+E722+E761+E824+E964+E990+E1041+E1117+E1160+E1187</f>
        <v>551.59176079999997</v>
      </c>
      <c r="F17" s="85">
        <f t="shared" si="10"/>
        <v>265.71566080000002</v>
      </c>
      <c r="G17" s="85">
        <f t="shared" si="10"/>
        <v>0</v>
      </c>
      <c r="H17" s="85">
        <f t="shared" si="10"/>
        <v>226.56</v>
      </c>
      <c r="I17" s="85">
        <f t="shared" si="10"/>
        <v>43.837900000000005</v>
      </c>
      <c r="J17" s="85">
        <f t="shared" si="10"/>
        <v>15.478200000000001</v>
      </c>
      <c r="K17" s="86">
        <f t="shared" si="1"/>
        <v>551.59176080000009</v>
      </c>
      <c r="L17" s="87">
        <f t="shared" si="2"/>
        <v>0</v>
      </c>
      <c r="M17" s="88"/>
      <c r="N17" s="89"/>
      <c r="O17" s="90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2"/>
    </row>
    <row r="18" spans="1:57" s="82" customFormat="1" ht="13.5" customHeight="1">
      <c r="A18" s="834"/>
      <c r="B18" s="868"/>
      <c r="C18" s="868"/>
      <c r="D18" s="84">
        <v>2027</v>
      </c>
      <c r="E18" s="85">
        <f t="shared" ref="E18:J18" si="11">E31+E83+E284+E366+E436+E522+E564+E723+E825+E965+E991+E1161+E1042</f>
        <v>730.56742371200016</v>
      </c>
      <c r="F18" s="85">
        <f t="shared" si="11"/>
        <v>184.130123712</v>
      </c>
      <c r="G18" s="85">
        <f t="shared" si="11"/>
        <v>0</v>
      </c>
      <c r="H18" s="85">
        <f t="shared" si="11"/>
        <v>535.92539999999997</v>
      </c>
      <c r="I18" s="85">
        <f t="shared" si="11"/>
        <v>0</v>
      </c>
      <c r="J18" s="85">
        <f t="shared" si="11"/>
        <v>10.511900000000001</v>
      </c>
      <c r="K18" s="86">
        <f t="shared" si="1"/>
        <v>730.56742371199994</v>
      </c>
      <c r="L18" s="87">
        <f t="shared" si="2"/>
        <v>0</v>
      </c>
      <c r="M18" s="88"/>
      <c r="N18" s="89"/>
      <c r="O18" s="90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2"/>
    </row>
    <row r="19" spans="1:57" s="82" customFormat="1" ht="13.5" customHeight="1">
      <c r="A19" s="834"/>
      <c r="B19" s="868"/>
      <c r="C19" s="868"/>
      <c r="D19" s="84">
        <v>2028</v>
      </c>
      <c r="E19" s="85">
        <f t="shared" ref="E19:J19" si="12">E32+E84+E285+E437+E523+E565+E724+E826+E966+E992+E1043+E1162+E1189</f>
        <v>320.48477592127989</v>
      </c>
      <c r="F19" s="85">
        <f t="shared" si="12"/>
        <v>194.12757592128</v>
      </c>
      <c r="G19" s="85">
        <f t="shared" si="12"/>
        <v>0</v>
      </c>
      <c r="H19" s="85">
        <f t="shared" si="12"/>
        <v>116.87899999999999</v>
      </c>
      <c r="I19" s="85">
        <f t="shared" si="12"/>
        <v>0</v>
      </c>
      <c r="J19" s="85">
        <f t="shared" si="12"/>
        <v>9.4782000000000011</v>
      </c>
      <c r="K19" s="86">
        <f t="shared" si="1"/>
        <v>320.48477592128</v>
      </c>
      <c r="L19" s="87">
        <f t="shared" si="2"/>
        <v>0</v>
      </c>
      <c r="M19" s="88"/>
      <c r="N19" s="89"/>
      <c r="O19" s="90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2"/>
    </row>
    <row r="20" spans="1:57" s="82" customFormat="1" ht="13.5" customHeight="1">
      <c r="A20" s="834"/>
      <c r="B20" s="868"/>
      <c r="C20" s="868"/>
      <c r="D20" s="84">
        <v>2029</v>
      </c>
      <c r="E20" s="85">
        <f t="shared" ref="E20:J20" si="13">E33+E286+E367+E438+E524+E566+E725+E827+E967+E993+E1163+E1044+E1190</f>
        <v>336.83736295813117</v>
      </c>
      <c r="F20" s="85">
        <f t="shared" si="13"/>
        <v>274.85916295813115</v>
      </c>
      <c r="G20" s="85">
        <f t="shared" si="13"/>
        <v>0</v>
      </c>
      <c r="H20" s="85">
        <f t="shared" si="13"/>
        <v>50.435000000000002</v>
      </c>
      <c r="I20" s="85">
        <f t="shared" si="13"/>
        <v>0</v>
      </c>
      <c r="J20" s="85">
        <f t="shared" si="13"/>
        <v>11.543200000000001</v>
      </c>
      <c r="K20" s="86">
        <f t="shared" si="1"/>
        <v>336.83736295813117</v>
      </c>
      <c r="L20" s="87">
        <f t="shared" si="2"/>
        <v>0</v>
      </c>
      <c r="M20" s="88"/>
      <c r="N20" s="89"/>
      <c r="O20" s="90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2"/>
    </row>
    <row r="21" spans="1:57" s="82" customFormat="1" ht="13.5" customHeight="1">
      <c r="A21" s="835"/>
      <c r="B21" s="869"/>
      <c r="C21" s="869"/>
      <c r="D21" s="84">
        <v>2030</v>
      </c>
      <c r="E21" s="85">
        <f t="shared" ref="E21:J21" si="14">E34+E86+E287+E439+E525+E567+E726+E762+E828+E968+E994+E1164+E1045+E1191</f>
        <v>320.87163427645646</v>
      </c>
      <c r="F21" s="85">
        <f t="shared" si="14"/>
        <v>281.39343427645645</v>
      </c>
      <c r="G21" s="85">
        <f t="shared" si="14"/>
        <v>0</v>
      </c>
      <c r="H21" s="85">
        <f t="shared" si="14"/>
        <v>15</v>
      </c>
      <c r="I21" s="85">
        <f t="shared" si="14"/>
        <v>15</v>
      </c>
      <c r="J21" s="85">
        <f t="shared" si="14"/>
        <v>9.4782000000000011</v>
      </c>
      <c r="K21" s="86">
        <f t="shared" si="1"/>
        <v>320.87163427645646</v>
      </c>
      <c r="L21" s="87">
        <f t="shared" si="2"/>
        <v>0</v>
      </c>
      <c r="M21" s="88"/>
      <c r="N21" s="89"/>
      <c r="O21" s="90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2"/>
    </row>
    <row r="22" spans="1:57" s="82" customFormat="1" ht="35.25" customHeight="1">
      <c r="A22" s="97">
        <v>1</v>
      </c>
      <c r="B22" s="98" t="s">
        <v>349</v>
      </c>
      <c r="C22" s="94"/>
      <c r="D22" s="84" t="s">
        <v>16</v>
      </c>
      <c r="E22" s="85">
        <f t="shared" ref="E22:J22" si="15">E23+E24+E25+E26+E27+E28+E29+E30+E31+E32+E33+E34</f>
        <v>35.498799999999996</v>
      </c>
      <c r="F22" s="85">
        <f t="shared" si="15"/>
        <v>35.498799999999996</v>
      </c>
      <c r="G22" s="85">
        <f t="shared" si="15"/>
        <v>0</v>
      </c>
      <c r="H22" s="85">
        <f t="shared" si="15"/>
        <v>0</v>
      </c>
      <c r="I22" s="85">
        <f t="shared" si="15"/>
        <v>0</v>
      </c>
      <c r="J22" s="85">
        <f t="shared" si="15"/>
        <v>0</v>
      </c>
      <c r="K22" s="86">
        <f>SUM(K10:K21)</f>
        <v>137168.63869366786</v>
      </c>
      <c r="L22" s="99"/>
      <c r="M22" s="88"/>
      <c r="N22" s="89"/>
      <c r="O22" s="100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2"/>
    </row>
    <row r="23" spans="1:57" s="82" customFormat="1" ht="13.5" customHeight="1">
      <c r="A23" s="101"/>
      <c r="B23" s="102"/>
      <c r="C23" s="94"/>
      <c r="D23" s="62">
        <v>2019</v>
      </c>
      <c r="E23" s="63">
        <f t="shared" ref="E23:J34" si="16">E36+E49+E62</f>
        <v>2.4135999999999997</v>
      </c>
      <c r="F23" s="63">
        <f t="shared" si="16"/>
        <v>2.4135999999999997</v>
      </c>
      <c r="G23" s="63">
        <f t="shared" si="16"/>
        <v>0</v>
      </c>
      <c r="H23" s="63">
        <f t="shared" si="16"/>
        <v>0</v>
      </c>
      <c r="I23" s="63">
        <f t="shared" si="16"/>
        <v>0</v>
      </c>
      <c r="J23" s="63">
        <f t="shared" si="16"/>
        <v>0</v>
      </c>
      <c r="K23" s="86">
        <f t="shared" ref="K23:K54" si="17">F23+G23+H23+I23+J23</f>
        <v>2.4135999999999997</v>
      </c>
      <c r="L23" s="99"/>
      <c r="M23" s="88"/>
      <c r="N23" s="89"/>
      <c r="O23" s="100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2"/>
    </row>
    <row r="24" spans="1:57" s="82" customFormat="1" ht="13.5" customHeight="1">
      <c r="A24" s="101"/>
      <c r="B24" s="102"/>
      <c r="C24" s="94"/>
      <c r="D24" s="62">
        <v>2020</v>
      </c>
      <c r="E24" s="63">
        <f t="shared" si="16"/>
        <v>1.4824000000000002</v>
      </c>
      <c r="F24" s="63">
        <f t="shared" si="16"/>
        <v>1.4824000000000002</v>
      </c>
      <c r="G24" s="63">
        <f t="shared" si="16"/>
        <v>0</v>
      </c>
      <c r="H24" s="63">
        <f t="shared" si="16"/>
        <v>0</v>
      </c>
      <c r="I24" s="63">
        <f t="shared" si="16"/>
        <v>0</v>
      </c>
      <c r="J24" s="63">
        <f t="shared" si="16"/>
        <v>0</v>
      </c>
      <c r="K24" s="86">
        <f t="shared" si="17"/>
        <v>1.4824000000000002</v>
      </c>
      <c r="L24" s="99"/>
      <c r="M24" s="88"/>
      <c r="N24" s="89"/>
      <c r="O24" s="100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2"/>
    </row>
    <row r="25" spans="1:57" s="82" customFormat="1" ht="13.5" customHeight="1">
      <c r="A25" s="101"/>
      <c r="B25" s="102"/>
      <c r="C25" s="94"/>
      <c r="D25" s="62">
        <v>2021</v>
      </c>
      <c r="E25" s="63">
        <f t="shared" si="16"/>
        <v>2.6947999999999999</v>
      </c>
      <c r="F25" s="63">
        <f t="shared" si="16"/>
        <v>2.6947999999999999</v>
      </c>
      <c r="G25" s="63">
        <f t="shared" si="16"/>
        <v>0</v>
      </c>
      <c r="H25" s="63">
        <f t="shared" si="16"/>
        <v>0</v>
      </c>
      <c r="I25" s="63">
        <f t="shared" si="16"/>
        <v>0</v>
      </c>
      <c r="J25" s="63">
        <f t="shared" si="16"/>
        <v>0</v>
      </c>
      <c r="K25" s="86">
        <f t="shared" si="17"/>
        <v>2.6947999999999999</v>
      </c>
      <c r="L25" s="99"/>
      <c r="M25" s="88"/>
      <c r="N25" s="89"/>
      <c r="O25" s="100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2"/>
    </row>
    <row r="26" spans="1:57" s="82" customFormat="1" ht="13.5" customHeight="1">
      <c r="A26" s="101"/>
      <c r="B26" s="102"/>
      <c r="C26" s="94"/>
      <c r="D26" s="62">
        <v>2022</v>
      </c>
      <c r="E26" s="63">
        <f t="shared" si="16"/>
        <v>2.6949000000000001</v>
      </c>
      <c r="F26" s="63">
        <f t="shared" si="16"/>
        <v>2.6949000000000001</v>
      </c>
      <c r="G26" s="63">
        <f t="shared" si="16"/>
        <v>0</v>
      </c>
      <c r="H26" s="63">
        <f t="shared" si="16"/>
        <v>0</v>
      </c>
      <c r="I26" s="63">
        <f t="shared" si="16"/>
        <v>0</v>
      </c>
      <c r="J26" s="63">
        <f t="shared" si="16"/>
        <v>0</v>
      </c>
      <c r="K26" s="86">
        <f t="shared" si="17"/>
        <v>2.6949000000000001</v>
      </c>
      <c r="L26" s="99"/>
      <c r="M26" s="88"/>
      <c r="N26" s="89"/>
      <c r="O26" s="100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2"/>
    </row>
    <row r="27" spans="1:57" s="82" customFormat="1" ht="13.5" customHeight="1">
      <c r="A27" s="101"/>
      <c r="B27" s="102"/>
      <c r="C27" s="94"/>
      <c r="D27" s="62">
        <v>2023</v>
      </c>
      <c r="E27" s="63">
        <f t="shared" si="16"/>
        <v>5.4606000000000003</v>
      </c>
      <c r="F27" s="63">
        <f t="shared" si="16"/>
        <v>5.4606000000000003</v>
      </c>
      <c r="G27" s="63">
        <f t="shared" si="16"/>
        <v>0</v>
      </c>
      <c r="H27" s="63">
        <f t="shared" si="16"/>
        <v>0</v>
      </c>
      <c r="I27" s="63">
        <f t="shared" si="16"/>
        <v>0</v>
      </c>
      <c r="J27" s="63">
        <f t="shared" si="16"/>
        <v>0</v>
      </c>
      <c r="K27" s="86">
        <f t="shared" si="17"/>
        <v>5.4606000000000003</v>
      </c>
      <c r="L27" s="99"/>
      <c r="M27" s="88"/>
      <c r="N27" s="89"/>
      <c r="O27" s="100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2"/>
    </row>
    <row r="28" spans="1:57" s="82" customFormat="1" ht="13.5" customHeight="1">
      <c r="A28" s="101"/>
      <c r="B28" s="102"/>
      <c r="C28" s="94"/>
      <c r="D28" s="62">
        <v>2024</v>
      </c>
      <c r="E28" s="63">
        <f t="shared" si="16"/>
        <v>5.6774999999999993</v>
      </c>
      <c r="F28" s="63">
        <f t="shared" si="16"/>
        <v>5.6774999999999993</v>
      </c>
      <c r="G28" s="63">
        <f t="shared" si="16"/>
        <v>0</v>
      </c>
      <c r="H28" s="63">
        <f t="shared" si="16"/>
        <v>0</v>
      </c>
      <c r="I28" s="63">
        <f t="shared" si="16"/>
        <v>0</v>
      </c>
      <c r="J28" s="63">
        <f t="shared" si="16"/>
        <v>0</v>
      </c>
      <c r="K28" s="86">
        <f t="shared" si="17"/>
        <v>5.6774999999999993</v>
      </c>
      <c r="L28" s="99"/>
      <c r="M28" s="88"/>
      <c r="N28" s="89"/>
      <c r="O28" s="100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2"/>
    </row>
    <row r="29" spans="1:57" s="82" customFormat="1" ht="13.5" customHeight="1">
      <c r="A29" s="101"/>
      <c r="B29" s="102"/>
      <c r="C29" s="94"/>
      <c r="D29" s="62">
        <v>2025</v>
      </c>
      <c r="E29" s="63">
        <f t="shared" si="16"/>
        <v>5.7424999999999997</v>
      </c>
      <c r="F29" s="63">
        <f t="shared" si="16"/>
        <v>5.7424999999999997</v>
      </c>
      <c r="G29" s="63">
        <f t="shared" si="16"/>
        <v>0</v>
      </c>
      <c r="H29" s="63">
        <f t="shared" si="16"/>
        <v>0</v>
      </c>
      <c r="I29" s="63">
        <f t="shared" si="16"/>
        <v>0</v>
      </c>
      <c r="J29" s="63">
        <f t="shared" si="16"/>
        <v>0</v>
      </c>
      <c r="K29" s="86">
        <f t="shared" si="17"/>
        <v>5.7424999999999997</v>
      </c>
      <c r="L29" s="99"/>
      <c r="M29" s="88"/>
      <c r="N29" s="89"/>
      <c r="O29" s="100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2"/>
    </row>
    <row r="30" spans="1:57" s="82" customFormat="1" ht="13.5" customHeight="1">
      <c r="A30" s="101"/>
      <c r="B30" s="102"/>
      <c r="C30" s="94"/>
      <c r="D30" s="62">
        <v>2026</v>
      </c>
      <c r="E30" s="63">
        <f t="shared" si="16"/>
        <v>1.3933</v>
      </c>
      <c r="F30" s="63">
        <f t="shared" si="16"/>
        <v>1.3933</v>
      </c>
      <c r="G30" s="63">
        <f t="shared" si="16"/>
        <v>0</v>
      </c>
      <c r="H30" s="63">
        <f t="shared" si="16"/>
        <v>0</v>
      </c>
      <c r="I30" s="63">
        <f t="shared" si="16"/>
        <v>0</v>
      </c>
      <c r="J30" s="63">
        <f t="shared" si="16"/>
        <v>0</v>
      </c>
      <c r="K30" s="86">
        <f t="shared" si="17"/>
        <v>1.3933</v>
      </c>
      <c r="L30" s="99"/>
      <c r="M30" s="88"/>
      <c r="N30" s="89"/>
      <c r="O30" s="100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2"/>
    </row>
    <row r="31" spans="1:57" s="82" customFormat="1" ht="13.5" customHeight="1">
      <c r="A31" s="101"/>
      <c r="B31" s="102"/>
      <c r="C31" s="94"/>
      <c r="D31" s="62">
        <v>2027</v>
      </c>
      <c r="E31" s="63">
        <f t="shared" si="16"/>
        <v>2.3397000000000001</v>
      </c>
      <c r="F31" s="63">
        <f t="shared" si="16"/>
        <v>2.3397000000000001</v>
      </c>
      <c r="G31" s="63">
        <f t="shared" si="16"/>
        <v>0</v>
      </c>
      <c r="H31" s="63">
        <f t="shared" si="16"/>
        <v>0</v>
      </c>
      <c r="I31" s="63">
        <f t="shared" si="16"/>
        <v>0</v>
      </c>
      <c r="J31" s="63">
        <f t="shared" si="16"/>
        <v>0</v>
      </c>
      <c r="K31" s="86">
        <f t="shared" si="17"/>
        <v>2.3397000000000001</v>
      </c>
      <c r="L31" s="99"/>
      <c r="M31" s="88"/>
      <c r="N31" s="89"/>
      <c r="O31" s="100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2"/>
    </row>
    <row r="32" spans="1:57" s="82" customFormat="1" ht="13.5" customHeight="1">
      <c r="A32" s="101"/>
      <c r="B32" s="102"/>
      <c r="C32" s="94"/>
      <c r="D32" s="62">
        <v>2028</v>
      </c>
      <c r="E32" s="63">
        <f t="shared" si="16"/>
        <v>1.8665</v>
      </c>
      <c r="F32" s="63">
        <f t="shared" si="16"/>
        <v>1.8665</v>
      </c>
      <c r="G32" s="63">
        <f t="shared" si="16"/>
        <v>0</v>
      </c>
      <c r="H32" s="63">
        <f t="shared" si="16"/>
        <v>0</v>
      </c>
      <c r="I32" s="63">
        <f t="shared" si="16"/>
        <v>0</v>
      </c>
      <c r="J32" s="63">
        <f t="shared" si="16"/>
        <v>0</v>
      </c>
      <c r="K32" s="86">
        <f t="shared" si="17"/>
        <v>1.8665</v>
      </c>
      <c r="L32" s="99"/>
      <c r="M32" s="88"/>
      <c r="N32" s="89"/>
      <c r="O32" s="100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2"/>
    </row>
    <row r="33" spans="1:57" s="82" customFormat="1" ht="13.5" customHeight="1">
      <c r="A33" s="101"/>
      <c r="B33" s="102"/>
      <c r="C33" s="94"/>
      <c r="D33" s="62">
        <v>2029</v>
      </c>
      <c r="E33" s="63">
        <f t="shared" si="16"/>
        <v>1.3933</v>
      </c>
      <c r="F33" s="63">
        <f t="shared" si="16"/>
        <v>1.3933</v>
      </c>
      <c r="G33" s="63">
        <f t="shared" si="16"/>
        <v>0</v>
      </c>
      <c r="H33" s="63">
        <f t="shared" si="16"/>
        <v>0</v>
      </c>
      <c r="I33" s="63">
        <f t="shared" si="16"/>
        <v>0</v>
      </c>
      <c r="J33" s="63">
        <f t="shared" si="16"/>
        <v>0</v>
      </c>
      <c r="K33" s="86">
        <f t="shared" si="17"/>
        <v>1.3933</v>
      </c>
      <c r="L33" s="99"/>
      <c r="M33" s="88"/>
      <c r="N33" s="89"/>
      <c r="O33" s="100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2"/>
    </row>
    <row r="34" spans="1:57" s="82" customFormat="1" ht="13.5" customHeight="1">
      <c r="A34" s="101"/>
      <c r="B34" s="102"/>
      <c r="C34" s="94"/>
      <c r="D34" s="62">
        <v>2030</v>
      </c>
      <c r="E34" s="63">
        <f t="shared" si="16"/>
        <v>2.3397000000000001</v>
      </c>
      <c r="F34" s="63">
        <f t="shared" si="16"/>
        <v>2.3397000000000001</v>
      </c>
      <c r="G34" s="63">
        <f t="shared" si="16"/>
        <v>0</v>
      </c>
      <c r="H34" s="63">
        <f t="shared" si="16"/>
        <v>0</v>
      </c>
      <c r="I34" s="63">
        <f t="shared" si="16"/>
        <v>0</v>
      </c>
      <c r="J34" s="63">
        <f t="shared" si="16"/>
        <v>0</v>
      </c>
      <c r="K34" s="86">
        <f t="shared" si="17"/>
        <v>2.3397000000000001</v>
      </c>
      <c r="L34" s="99"/>
      <c r="M34" s="88"/>
      <c r="N34" s="89"/>
      <c r="O34" s="100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2"/>
    </row>
    <row r="35" spans="1:57" s="82" customFormat="1" ht="13.5" customHeight="1">
      <c r="A35" s="914" t="s">
        <v>19</v>
      </c>
      <c r="B35" s="867" t="s">
        <v>350</v>
      </c>
      <c r="C35" s="104"/>
      <c r="D35" s="84" t="s">
        <v>16</v>
      </c>
      <c r="E35" s="85">
        <f t="shared" ref="E35:J35" si="18">E36+E37+E38+E39+E40+E41+E42+E43+E44+E45+E46+E47</f>
        <v>1.4656999999999998</v>
      </c>
      <c r="F35" s="85">
        <f t="shared" si="18"/>
        <v>1.4656999999999998</v>
      </c>
      <c r="G35" s="85">
        <f t="shared" si="18"/>
        <v>0</v>
      </c>
      <c r="H35" s="85">
        <f t="shared" si="18"/>
        <v>0</v>
      </c>
      <c r="I35" s="85">
        <f t="shared" si="18"/>
        <v>0</v>
      </c>
      <c r="J35" s="85">
        <f t="shared" si="18"/>
        <v>0</v>
      </c>
      <c r="K35" s="86">
        <f t="shared" si="17"/>
        <v>1.4656999999999998</v>
      </c>
      <c r="L35" s="99"/>
      <c r="M35" s="88"/>
      <c r="N35" s="89"/>
      <c r="O35" s="105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2"/>
    </row>
    <row r="36" spans="1:57" s="82" customFormat="1">
      <c r="A36" s="834"/>
      <c r="B36" s="868"/>
      <c r="C36" s="60" t="s">
        <v>351</v>
      </c>
      <c r="D36" s="62">
        <v>2019</v>
      </c>
      <c r="E36" s="63">
        <f t="shared" ref="E36:E47" si="19">F36</f>
        <v>0.22639999999999999</v>
      </c>
      <c r="F36" s="63">
        <v>0.22639999999999999</v>
      </c>
      <c r="G36" s="63">
        <v>0</v>
      </c>
      <c r="H36" s="63">
        <v>0</v>
      </c>
      <c r="I36" s="63">
        <v>0</v>
      </c>
      <c r="J36" s="63">
        <v>0</v>
      </c>
      <c r="K36" s="86">
        <f t="shared" si="17"/>
        <v>0.22639999999999999</v>
      </c>
      <c r="L36" s="99"/>
      <c r="M36" s="88"/>
      <c r="N36" s="89"/>
      <c r="O36" s="910" t="s">
        <v>352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2"/>
    </row>
    <row r="37" spans="1:57" s="82" customFormat="1">
      <c r="A37" s="834"/>
      <c r="B37" s="868"/>
      <c r="C37" s="867" t="s">
        <v>353</v>
      </c>
      <c r="D37" s="62">
        <v>2020</v>
      </c>
      <c r="E37" s="63">
        <f t="shared" si="19"/>
        <v>0.1467</v>
      </c>
      <c r="F37" s="63">
        <v>0.1467</v>
      </c>
      <c r="G37" s="63">
        <v>0</v>
      </c>
      <c r="H37" s="63">
        <v>0</v>
      </c>
      <c r="I37" s="63">
        <v>0</v>
      </c>
      <c r="J37" s="63">
        <v>0</v>
      </c>
      <c r="K37" s="86">
        <f t="shared" si="17"/>
        <v>0.1467</v>
      </c>
      <c r="L37" s="99"/>
      <c r="M37" s="88"/>
      <c r="N37" s="89"/>
      <c r="O37" s="91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2"/>
    </row>
    <row r="38" spans="1:57" s="82" customFormat="1">
      <c r="A38" s="834"/>
      <c r="B38" s="868"/>
      <c r="C38" s="872"/>
      <c r="D38" s="62">
        <v>2021</v>
      </c>
      <c r="E38" s="63">
        <f t="shared" si="19"/>
        <v>0.15260000000000001</v>
      </c>
      <c r="F38" s="63">
        <v>0.15260000000000001</v>
      </c>
      <c r="G38" s="63">
        <v>0</v>
      </c>
      <c r="H38" s="63">
        <v>0</v>
      </c>
      <c r="I38" s="63">
        <v>0</v>
      </c>
      <c r="J38" s="63">
        <v>0</v>
      </c>
      <c r="K38" s="86">
        <f t="shared" si="17"/>
        <v>0.15260000000000001</v>
      </c>
      <c r="L38" s="99"/>
      <c r="M38" s="88"/>
      <c r="N38" s="89"/>
      <c r="O38" s="91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2"/>
    </row>
    <row r="39" spans="1:57" s="82" customFormat="1">
      <c r="A39" s="834"/>
      <c r="B39" s="868"/>
      <c r="C39" s="872"/>
      <c r="D39" s="62">
        <v>2022</v>
      </c>
      <c r="E39" s="63">
        <f t="shared" si="19"/>
        <v>0.15260000000000001</v>
      </c>
      <c r="F39" s="63">
        <v>0.15260000000000001</v>
      </c>
      <c r="G39" s="63">
        <v>0</v>
      </c>
      <c r="H39" s="63">
        <v>0</v>
      </c>
      <c r="I39" s="63">
        <v>0</v>
      </c>
      <c r="J39" s="63">
        <v>0</v>
      </c>
      <c r="K39" s="86">
        <f t="shared" si="17"/>
        <v>0.15260000000000001</v>
      </c>
      <c r="L39" s="99"/>
      <c r="M39" s="88"/>
      <c r="N39" s="89"/>
      <c r="O39" s="91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2"/>
    </row>
    <row r="40" spans="1:57" s="82" customFormat="1">
      <c r="A40" s="834"/>
      <c r="B40" s="868"/>
      <c r="C40" s="872"/>
      <c r="D40" s="62">
        <v>2023</v>
      </c>
      <c r="E40" s="63">
        <f t="shared" si="19"/>
        <v>5.4000000000000003E-3</v>
      </c>
      <c r="F40" s="63">
        <v>5.4000000000000003E-3</v>
      </c>
      <c r="G40" s="63">
        <v>0</v>
      </c>
      <c r="H40" s="63">
        <v>0</v>
      </c>
      <c r="I40" s="63">
        <v>0</v>
      </c>
      <c r="J40" s="63">
        <v>0</v>
      </c>
      <c r="K40" s="86">
        <f t="shared" si="17"/>
        <v>5.4000000000000003E-3</v>
      </c>
      <c r="L40" s="99"/>
      <c r="M40" s="88"/>
      <c r="N40" s="89"/>
      <c r="O40" s="91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2"/>
    </row>
    <row r="41" spans="1:57" s="82" customFormat="1">
      <c r="A41" s="834"/>
      <c r="B41" s="868"/>
      <c r="C41" s="872"/>
      <c r="D41" s="62">
        <v>2024</v>
      </c>
      <c r="E41" s="63">
        <f t="shared" si="19"/>
        <v>5.5999999999999999E-3</v>
      </c>
      <c r="F41" s="63">
        <v>5.5999999999999999E-3</v>
      </c>
      <c r="G41" s="63">
        <v>0</v>
      </c>
      <c r="H41" s="63">
        <v>0</v>
      </c>
      <c r="I41" s="63">
        <v>0</v>
      </c>
      <c r="J41" s="63">
        <v>0</v>
      </c>
      <c r="K41" s="86">
        <f t="shared" si="17"/>
        <v>5.5999999999999999E-3</v>
      </c>
      <c r="L41" s="99"/>
      <c r="M41" s="88"/>
      <c r="N41" s="89"/>
      <c r="O41" s="91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2"/>
    </row>
    <row r="42" spans="1:57" s="82" customFormat="1">
      <c r="A42" s="834"/>
      <c r="B42" s="868"/>
      <c r="C42" s="873"/>
      <c r="D42" s="62">
        <v>2025</v>
      </c>
      <c r="E42" s="63">
        <f t="shared" si="19"/>
        <v>5.8999999999999999E-3</v>
      </c>
      <c r="F42" s="63">
        <v>5.8999999999999999E-3</v>
      </c>
      <c r="G42" s="63">
        <v>0</v>
      </c>
      <c r="H42" s="63">
        <v>0</v>
      </c>
      <c r="I42" s="63">
        <v>0</v>
      </c>
      <c r="J42" s="63">
        <v>0</v>
      </c>
      <c r="K42" s="86">
        <f t="shared" si="17"/>
        <v>5.8999999999999999E-3</v>
      </c>
      <c r="L42" s="99"/>
      <c r="M42" s="88"/>
      <c r="N42" s="89"/>
      <c r="O42" s="91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2"/>
    </row>
    <row r="43" spans="1:57" s="82" customFormat="1">
      <c r="A43" s="834"/>
      <c r="B43" s="868"/>
      <c r="C43" s="867" t="s">
        <v>354</v>
      </c>
      <c r="D43" s="62">
        <v>2026</v>
      </c>
      <c r="E43" s="63">
        <f t="shared" si="19"/>
        <v>0.15409999999999999</v>
      </c>
      <c r="F43" s="63">
        <v>0.15409999999999999</v>
      </c>
      <c r="G43" s="63">
        <v>0</v>
      </c>
      <c r="H43" s="63">
        <v>0</v>
      </c>
      <c r="I43" s="63">
        <v>0</v>
      </c>
      <c r="J43" s="63">
        <v>0</v>
      </c>
      <c r="K43" s="86">
        <f t="shared" si="17"/>
        <v>0.15409999999999999</v>
      </c>
      <c r="L43" s="99"/>
      <c r="M43" s="88"/>
      <c r="N43" s="89"/>
      <c r="O43" s="91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2"/>
    </row>
    <row r="44" spans="1:57" s="82" customFormat="1">
      <c r="A44" s="834"/>
      <c r="B44" s="868"/>
      <c r="C44" s="872"/>
      <c r="D44" s="62">
        <v>2027</v>
      </c>
      <c r="E44" s="63">
        <f t="shared" si="19"/>
        <v>0.15409999999999999</v>
      </c>
      <c r="F44" s="63">
        <v>0.15409999999999999</v>
      </c>
      <c r="G44" s="63">
        <v>0</v>
      </c>
      <c r="H44" s="63">
        <v>0</v>
      </c>
      <c r="I44" s="63">
        <v>0</v>
      </c>
      <c r="J44" s="63">
        <v>0</v>
      </c>
      <c r="K44" s="86">
        <f t="shared" si="17"/>
        <v>0.15409999999999999</v>
      </c>
      <c r="L44" s="99"/>
      <c r="M44" s="88"/>
      <c r="N44" s="89"/>
      <c r="O44" s="91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2"/>
    </row>
    <row r="45" spans="1:57" s="82" customFormat="1">
      <c r="A45" s="834"/>
      <c r="B45" s="868"/>
      <c r="C45" s="872"/>
      <c r="D45" s="62">
        <v>2028</v>
      </c>
      <c r="E45" s="63">
        <f t="shared" si="19"/>
        <v>0.15409999999999999</v>
      </c>
      <c r="F45" s="63">
        <v>0.15409999999999999</v>
      </c>
      <c r="G45" s="63">
        <v>0</v>
      </c>
      <c r="H45" s="63">
        <v>0</v>
      </c>
      <c r="I45" s="63">
        <v>0</v>
      </c>
      <c r="J45" s="63">
        <v>0</v>
      </c>
      <c r="K45" s="86">
        <f t="shared" si="17"/>
        <v>0.15409999999999999</v>
      </c>
      <c r="L45" s="99"/>
      <c r="M45" s="88"/>
      <c r="N45" s="89"/>
      <c r="O45" s="91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2"/>
    </row>
    <row r="46" spans="1:57" s="82" customFormat="1">
      <c r="A46" s="834"/>
      <c r="B46" s="868"/>
      <c r="C46" s="872"/>
      <c r="D46" s="62">
        <v>2029</v>
      </c>
      <c r="E46" s="63">
        <f t="shared" si="19"/>
        <v>0.15409999999999999</v>
      </c>
      <c r="F46" s="63">
        <v>0.15409999999999999</v>
      </c>
      <c r="G46" s="63">
        <v>0</v>
      </c>
      <c r="H46" s="63">
        <v>0</v>
      </c>
      <c r="I46" s="63">
        <v>0</v>
      </c>
      <c r="J46" s="63">
        <v>0</v>
      </c>
      <c r="K46" s="86">
        <f t="shared" si="17"/>
        <v>0.15409999999999999</v>
      </c>
      <c r="L46" s="99"/>
      <c r="M46" s="88"/>
      <c r="N46" s="89"/>
      <c r="O46" s="91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2"/>
    </row>
    <row r="47" spans="1:57" s="82" customFormat="1">
      <c r="A47" s="835"/>
      <c r="B47" s="869"/>
      <c r="C47" s="873"/>
      <c r="D47" s="62">
        <v>2030</v>
      </c>
      <c r="E47" s="63">
        <f t="shared" si="19"/>
        <v>0.15409999999999999</v>
      </c>
      <c r="F47" s="63">
        <v>0.15409999999999999</v>
      </c>
      <c r="G47" s="63">
        <v>0</v>
      </c>
      <c r="H47" s="63">
        <v>0</v>
      </c>
      <c r="I47" s="63">
        <v>0</v>
      </c>
      <c r="J47" s="63">
        <v>0</v>
      </c>
      <c r="K47" s="86">
        <f t="shared" si="17"/>
        <v>0.15409999999999999</v>
      </c>
      <c r="L47" s="99"/>
      <c r="M47" s="88"/>
      <c r="N47" s="89"/>
      <c r="O47" s="91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2"/>
    </row>
    <row r="48" spans="1:57" s="82" customFormat="1">
      <c r="A48" s="900" t="s">
        <v>355</v>
      </c>
      <c r="B48" s="867" t="s">
        <v>356</v>
      </c>
      <c r="C48" s="94"/>
      <c r="D48" s="84" t="s">
        <v>16</v>
      </c>
      <c r="E48" s="85">
        <f t="shared" ref="E48:J48" si="20">E49+E50+E51+E52+E53+E54+E55+E56+E57+E58+E59+E60</f>
        <v>0.45599999999999991</v>
      </c>
      <c r="F48" s="85">
        <f t="shared" si="20"/>
        <v>0.45599999999999991</v>
      </c>
      <c r="G48" s="85">
        <f t="shared" si="20"/>
        <v>0</v>
      </c>
      <c r="H48" s="85">
        <f t="shared" si="20"/>
        <v>0</v>
      </c>
      <c r="I48" s="85">
        <f t="shared" si="20"/>
        <v>0</v>
      </c>
      <c r="J48" s="85">
        <f t="shared" si="20"/>
        <v>0</v>
      </c>
      <c r="K48" s="86">
        <f t="shared" si="17"/>
        <v>0.45599999999999991</v>
      </c>
      <c r="L48" s="99"/>
      <c r="M48" s="88"/>
      <c r="N48" s="89"/>
      <c r="O48" s="91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2"/>
    </row>
    <row r="49" spans="1:57" s="82" customFormat="1">
      <c r="A49" s="834"/>
      <c r="B49" s="868"/>
      <c r="C49" s="61" t="s">
        <v>351</v>
      </c>
      <c r="D49" s="62">
        <v>2019</v>
      </c>
      <c r="E49" s="63">
        <f t="shared" ref="E49:E60" si="21">F49</f>
        <v>3.7999999999999999E-2</v>
      </c>
      <c r="F49" s="63">
        <v>3.7999999999999999E-2</v>
      </c>
      <c r="G49" s="63">
        <v>0</v>
      </c>
      <c r="H49" s="63">
        <v>0</v>
      </c>
      <c r="I49" s="63">
        <v>0</v>
      </c>
      <c r="J49" s="63">
        <v>0</v>
      </c>
      <c r="K49" s="86">
        <f t="shared" si="17"/>
        <v>3.7999999999999999E-2</v>
      </c>
      <c r="L49" s="99"/>
      <c r="M49" s="88"/>
      <c r="N49" s="89"/>
      <c r="O49" s="91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2"/>
    </row>
    <row r="50" spans="1:57" s="82" customFormat="1">
      <c r="A50" s="834"/>
      <c r="B50" s="868"/>
      <c r="C50" s="870" t="s">
        <v>357</v>
      </c>
      <c r="D50" s="62">
        <v>2020</v>
      </c>
      <c r="E50" s="63">
        <f t="shared" si="21"/>
        <v>3.7999999999999999E-2</v>
      </c>
      <c r="F50" s="63">
        <v>3.7999999999999999E-2</v>
      </c>
      <c r="G50" s="63">
        <v>0</v>
      </c>
      <c r="H50" s="63">
        <v>0</v>
      </c>
      <c r="I50" s="63">
        <v>0</v>
      </c>
      <c r="J50" s="63">
        <v>0</v>
      </c>
      <c r="K50" s="86">
        <f t="shared" si="17"/>
        <v>3.7999999999999999E-2</v>
      </c>
      <c r="L50" s="99"/>
      <c r="M50" s="88"/>
      <c r="N50" s="89"/>
      <c r="O50" s="91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2"/>
    </row>
    <row r="51" spans="1:57" s="82" customFormat="1">
      <c r="A51" s="834"/>
      <c r="B51" s="868"/>
      <c r="C51" s="870"/>
      <c r="D51" s="62">
        <v>2021</v>
      </c>
      <c r="E51" s="63">
        <f t="shared" si="21"/>
        <v>3.7999999999999999E-2</v>
      </c>
      <c r="F51" s="63">
        <v>3.7999999999999999E-2</v>
      </c>
      <c r="G51" s="63">
        <v>0</v>
      </c>
      <c r="H51" s="63">
        <v>0</v>
      </c>
      <c r="I51" s="63">
        <v>0</v>
      </c>
      <c r="J51" s="63">
        <v>0</v>
      </c>
      <c r="K51" s="86">
        <f t="shared" si="17"/>
        <v>3.7999999999999999E-2</v>
      </c>
      <c r="L51" s="99"/>
      <c r="M51" s="88"/>
      <c r="N51" s="89"/>
      <c r="O51" s="91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2"/>
    </row>
    <row r="52" spans="1:57" s="82" customFormat="1" ht="14.25" customHeight="1">
      <c r="A52" s="834"/>
      <c r="B52" s="868"/>
      <c r="C52" s="870"/>
      <c r="D52" s="62">
        <v>2022</v>
      </c>
      <c r="E52" s="63">
        <f t="shared" si="21"/>
        <v>3.7999999999999999E-2</v>
      </c>
      <c r="F52" s="63">
        <v>3.7999999999999999E-2</v>
      </c>
      <c r="G52" s="63">
        <v>0</v>
      </c>
      <c r="H52" s="63">
        <v>0</v>
      </c>
      <c r="I52" s="63">
        <v>0</v>
      </c>
      <c r="J52" s="63">
        <v>0</v>
      </c>
      <c r="K52" s="86">
        <f t="shared" si="17"/>
        <v>3.7999999999999999E-2</v>
      </c>
      <c r="L52" s="99"/>
      <c r="M52" s="88"/>
      <c r="N52" s="89"/>
      <c r="O52" s="91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2"/>
    </row>
    <row r="53" spans="1:57" s="82" customFormat="1" ht="14.25" customHeight="1">
      <c r="A53" s="834"/>
      <c r="B53" s="868"/>
      <c r="C53" s="870"/>
      <c r="D53" s="62">
        <v>2023</v>
      </c>
      <c r="E53" s="63">
        <f t="shared" si="21"/>
        <v>3.7999999999999999E-2</v>
      </c>
      <c r="F53" s="63">
        <v>3.7999999999999999E-2</v>
      </c>
      <c r="G53" s="63">
        <v>0</v>
      </c>
      <c r="H53" s="63">
        <v>0</v>
      </c>
      <c r="I53" s="63">
        <v>0</v>
      </c>
      <c r="J53" s="63">
        <v>0</v>
      </c>
      <c r="K53" s="86">
        <f t="shared" si="17"/>
        <v>3.7999999999999999E-2</v>
      </c>
      <c r="L53" s="99"/>
      <c r="M53" s="88"/>
      <c r="N53" s="89"/>
      <c r="O53" s="91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2"/>
    </row>
    <row r="54" spans="1:57" s="82" customFormat="1" ht="14.25" customHeight="1">
      <c r="A54" s="834"/>
      <c r="B54" s="868"/>
      <c r="C54" s="870"/>
      <c r="D54" s="62">
        <v>2024</v>
      </c>
      <c r="E54" s="63">
        <f t="shared" si="21"/>
        <v>3.7999999999999999E-2</v>
      </c>
      <c r="F54" s="63">
        <v>3.7999999999999999E-2</v>
      </c>
      <c r="G54" s="63">
        <v>0</v>
      </c>
      <c r="H54" s="63">
        <v>0</v>
      </c>
      <c r="I54" s="63">
        <v>0</v>
      </c>
      <c r="J54" s="63">
        <v>0</v>
      </c>
      <c r="K54" s="86">
        <f t="shared" si="17"/>
        <v>3.7999999999999999E-2</v>
      </c>
      <c r="L54" s="99"/>
      <c r="M54" s="88"/>
      <c r="N54" s="89"/>
      <c r="O54" s="91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2"/>
    </row>
    <row r="55" spans="1:57" s="82" customFormat="1" ht="14.25" customHeight="1">
      <c r="A55" s="834"/>
      <c r="B55" s="868"/>
      <c r="C55" s="870"/>
      <c r="D55" s="62">
        <v>2025</v>
      </c>
      <c r="E55" s="63">
        <f t="shared" si="21"/>
        <v>3.7999999999999999E-2</v>
      </c>
      <c r="F55" s="63">
        <v>3.7999999999999999E-2</v>
      </c>
      <c r="G55" s="63">
        <v>0</v>
      </c>
      <c r="H55" s="63">
        <v>0</v>
      </c>
      <c r="I55" s="63">
        <v>0</v>
      </c>
      <c r="J55" s="63">
        <v>0</v>
      </c>
      <c r="K55" s="86">
        <f t="shared" ref="K55:K78" si="22">F55+G55+H55+I55+J55</f>
        <v>3.7999999999999999E-2</v>
      </c>
      <c r="L55" s="99"/>
      <c r="M55" s="88"/>
      <c r="N55" s="89"/>
      <c r="O55" s="91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2"/>
    </row>
    <row r="56" spans="1:57" s="82" customFormat="1" ht="16.5" customHeight="1">
      <c r="A56" s="834"/>
      <c r="B56" s="868"/>
      <c r="C56" s="870" t="s">
        <v>358</v>
      </c>
      <c r="D56" s="62">
        <v>2026</v>
      </c>
      <c r="E56" s="63">
        <f t="shared" si="21"/>
        <v>3.7999999999999999E-2</v>
      </c>
      <c r="F56" s="63">
        <v>3.7999999999999999E-2</v>
      </c>
      <c r="G56" s="63">
        <v>0</v>
      </c>
      <c r="H56" s="63">
        <v>0</v>
      </c>
      <c r="I56" s="63">
        <v>0</v>
      </c>
      <c r="J56" s="63">
        <v>0</v>
      </c>
      <c r="K56" s="86">
        <f t="shared" si="22"/>
        <v>3.7999999999999999E-2</v>
      </c>
      <c r="L56" s="99"/>
      <c r="M56" s="88"/>
      <c r="N56" s="89"/>
      <c r="O56" s="91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2"/>
    </row>
    <row r="57" spans="1:57" s="82" customFormat="1">
      <c r="A57" s="834"/>
      <c r="B57" s="868"/>
      <c r="C57" s="870"/>
      <c r="D57" s="62">
        <v>2027</v>
      </c>
      <c r="E57" s="63">
        <f t="shared" si="21"/>
        <v>3.7999999999999999E-2</v>
      </c>
      <c r="F57" s="63">
        <v>3.7999999999999999E-2</v>
      </c>
      <c r="G57" s="63">
        <v>0</v>
      </c>
      <c r="H57" s="63">
        <v>0</v>
      </c>
      <c r="I57" s="63">
        <v>0</v>
      </c>
      <c r="J57" s="63">
        <v>0</v>
      </c>
      <c r="K57" s="86">
        <f t="shared" si="22"/>
        <v>3.7999999999999999E-2</v>
      </c>
      <c r="L57" s="99"/>
      <c r="M57" s="88"/>
      <c r="N57" s="89"/>
      <c r="O57" s="91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2"/>
    </row>
    <row r="58" spans="1:57" s="82" customFormat="1" ht="16.5" customHeight="1">
      <c r="A58" s="834"/>
      <c r="B58" s="868"/>
      <c r="C58" s="870"/>
      <c r="D58" s="62">
        <v>2028</v>
      </c>
      <c r="E58" s="63">
        <f t="shared" si="21"/>
        <v>3.7999999999999999E-2</v>
      </c>
      <c r="F58" s="63">
        <v>3.7999999999999999E-2</v>
      </c>
      <c r="G58" s="63">
        <v>0</v>
      </c>
      <c r="H58" s="63">
        <v>0</v>
      </c>
      <c r="I58" s="63">
        <v>0</v>
      </c>
      <c r="J58" s="63">
        <v>0</v>
      </c>
      <c r="K58" s="86">
        <f t="shared" si="22"/>
        <v>3.7999999999999999E-2</v>
      </c>
      <c r="L58" s="99"/>
      <c r="M58" s="88"/>
      <c r="N58" s="89"/>
      <c r="O58" s="91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2"/>
    </row>
    <row r="59" spans="1:57" s="82" customFormat="1" ht="16.5" customHeight="1">
      <c r="A59" s="834"/>
      <c r="B59" s="868"/>
      <c r="C59" s="870"/>
      <c r="D59" s="62">
        <v>2029</v>
      </c>
      <c r="E59" s="63">
        <f t="shared" si="21"/>
        <v>3.7999999999999999E-2</v>
      </c>
      <c r="F59" s="63">
        <v>3.7999999999999999E-2</v>
      </c>
      <c r="G59" s="63">
        <v>0</v>
      </c>
      <c r="H59" s="63">
        <v>0</v>
      </c>
      <c r="I59" s="63">
        <v>0</v>
      </c>
      <c r="J59" s="63">
        <v>0</v>
      </c>
      <c r="K59" s="86">
        <f t="shared" si="22"/>
        <v>3.7999999999999999E-2</v>
      </c>
      <c r="L59" s="99"/>
      <c r="M59" s="88"/>
      <c r="N59" s="89"/>
      <c r="O59" s="91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2"/>
    </row>
    <row r="60" spans="1:57" s="107" customFormat="1" ht="16.5" customHeight="1">
      <c r="A60" s="834"/>
      <c r="B60" s="868"/>
      <c r="C60" s="870"/>
      <c r="D60" s="103">
        <v>2030</v>
      </c>
      <c r="E60" s="108">
        <f t="shared" si="21"/>
        <v>3.7999999999999999E-2</v>
      </c>
      <c r="F60" s="108">
        <v>3.7999999999999999E-2</v>
      </c>
      <c r="G60" s="108">
        <v>0</v>
      </c>
      <c r="H60" s="108">
        <v>0</v>
      </c>
      <c r="I60" s="108">
        <v>0</v>
      </c>
      <c r="J60" s="108">
        <v>0</v>
      </c>
      <c r="K60" s="86">
        <f t="shared" si="22"/>
        <v>3.7999999999999999E-2</v>
      </c>
      <c r="L60" s="109"/>
      <c r="M60" s="110"/>
      <c r="N60" s="111"/>
      <c r="O60" s="912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113"/>
    </row>
    <row r="61" spans="1:57" s="107" customFormat="1" ht="16.5" customHeight="1">
      <c r="A61" s="900" t="s">
        <v>359</v>
      </c>
      <c r="C61" s="96"/>
      <c r="D61" s="114" t="s">
        <v>16</v>
      </c>
      <c r="E61" s="115">
        <f t="shared" ref="E61:J61" si="23">SUM(E62:E73)</f>
        <v>33.577100000000002</v>
      </c>
      <c r="F61" s="115">
        <f t="shared" si="23"/>
        <v>33.577100000000002</v>
      </c>
      <c r="G61" s="115">
        <f t="shared" si="23"/>
        <v>0</v>
      </c>
      <c r="H61" s="115">
        <f t="shared" si="23"/>
        <v>0</v>
      </c>
      <c r="I61" s="115">
        <f t="shared" si="23"/>
        <v>0</v>
      </c>
      <c r="J61" s="115">
        <f t="shared" si="23"/>
        <v>0</v>
      </c>
      <c r="K61" s="86">
        <f t="shared" si="22"/>
        <v>33.577100000000002</v>
      </c>
      <c r="L61" s="109"/>
      <c r="M61" s="110"/>
      <c r="N61" s="111"/>
      <c r="O61" s="867" t="s">
        <v>360</v>
      </c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113"/>
    </row>
    <row r="62" spans="1:57" s="116" customFormat="1" ht="51">
      <c r="A62" s="834"/>
      <c r="B62" s="883" t="s">
        <v>361</v>
      </c>
      <c r="C62" s="117" t="s">
        <v>362</v>
      </c>
      <c r="D62" s="118">
        <v>2019</v>
      </c>
      <c r="E62" s="119">
        <f t="shared" ref="E62:E73" si="24">F62+G62+H62+I62+J62</f>
        <v>2.1492</v>
      </c>
      <c r="F62" s="119">
        <v>2.1492</v>
      </c>
      <c r="G62" s="119">
        <v>0</v>
      </c>
      <c r="H62" s="119">
        <v>0</v>
      </c>
      <c r="I62" s="119">
        <v>0</v>
      </c>
      <c r="J62" s="119">
        <v>0</v>
      </c>
      <c r="K62" s="120">
        <f t="shared" si="22"/>
        <v>2.1492</v>
      </c>
      <c r="L62" s="121"/>
      <c r="M62" s="122"/>
      <c r="N62" s="123"/>
      <c r="O62" s="872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5"/>
    </row>
    <row r="63" spans="1:57" s="126" customFormat="1" ht="16.5" customHeight="1">
      <c r="A63" s="834"/>
      <c r="B63" s="884"/>
      <c r="C63" s="870" t="s">
        <v>363</v>
      </c>
      <c r="D63" s="127">
        <v>2020</v>
      </c>
      <c r="E63" s="128">
        <f t="shared" si="24"/>
        <v>1.2977000000000001</v>
      </c>
      <c r="F63" s="128">
        <v>1.2977000000000001</v>
      </c>
      <c r="G63" s="128">
        <v>0</v>
      </c>
      <c r="H63" s="128">
        <v>0</v>
      </c>
      <c r="I63" s="128">
        <v>0</v>
      </c>
      <c r="J63" s="128">
        <v>0</v>
      </c>
      <c r="K63" s="129">
        <f t="shared" si="22"/>
        <v>1.2977000000000001</v>
      </c>
      <c r="L63" s="130"/>
      <c r="M63" s="131"/>
      <c r="N63" s="132"/>
      <c r="O63" s="872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  <c r="BD63" s="133"/>
      <c r="BE63" s="134"/>
    </row>
    <row r="64" spans="1:57" s="126" customFormat="1" ht="16.5" customHeight="1">
      <c r="A64" s="834"/>
      <c r="B64" s="884"/>
      <c r="C64" s="870"/>
      <c r="D64" s="127">
        <v>2021</v>
      </c>
      <c r="E64" s="128">
        <f t="shared" si="24"/>
        <v>2.5042</v>
      </c>
      <c r="F64" s="128">
        <v>2.5042</v>
      </c>
      <c r="G64" s="128">
        <v>0</v>
      </c>
      <c r="H64" s="128">
        <v>0</v>
      </c>
      <c r="I64" s="128">
        <v>0</v>
      </c>
      <c r="J64" s="128">
        <v>0</v>
      </c>
      <c r="K64" s="129">
        <f t="shared" si="22"/>
        <v>2.5042</v>
      </c>
      <c r="L64" s="130"/>
      <c r="M64" s="131"/>
      <c r="N64" s="132"/>
      <c r="O64" s="872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4"/>
    </row>
    <row r="65" spans="1:57" s="126" customFormat="1" ht="16.5" customHeight="1">
      <c r="A65" s="834"/>
      <c r="B65" s="884"/>
      <c r="C65" s="870"/>
      <c r="D65" s="127">
        <v>2022</v>
      </c>
      <c r="E65" s="128">
        <f t="shared" si="24"/>
        <v>2.5043000000000002</v>
      </c>
      <c r="F65" s="128">
        <v>2.5043000000000002</v>
      </c>
      <c r="G65" s="128">
        <v>0</v>
      </c>
      <c r="H65" s="128">
        <v>0</v>
      </c>
      <c r="I65" s="128">
        <v>0</v>
      </c>
      <c r="J65" s="128">
        <v>0</v>
      </c>
      <c r="K65" s="129">
        <f t="shared" si="22"/>
        <v>2.5043000000000002</v>
      </c>
      <c r="L65" s="130"/>
      <c r="M65" s="131"/>
      <c r="N65" s="132"/>
      <c r="O65" s="872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/>
      <c r="BC65" s="133"/>
      <c r="BD65" s="133"/>
      <c r="BE65" s="134"/>
    </row>
    <row r="66" spans="1:57" s="107" customFormat="1" ht="16.5" customHeight="1">
      <c r="A66" s="834"/>
      <c r="B66" s="884"/>
      <c r="C66" s="870"/>
      <c r="D66" s="103">
        <v>2023</v>
      </c>
      <c r="E66" s="108">
        <f t="shared" si="24"/>
        <v>5.4172000000000002</v>
      </c>
      <c r="F66" s="108">
        <v>5.4172000000000002</v>
      </c>
      <c r="G66" s="108">
        <v>0</v>
      </c>
      <c r="H66" s="108">
        <v>0</v>
      </c>
      <c r="I66" s="108">
        <v>0</v>
      </c>
      <c r="J66" s="108">
        <v>0</v>
      </c>
      <c r="K66" s="86">
        <f t="shared" si="22"/>
        <v>5.4172000000000002</v>
      </c>
      <c r="L66" s="109"/>
      <c r="M66" s="110"/>
      <c r="N66" s="111"/>
      <c r="O66" s="872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113"/>
    </row>
    <row r="67" spans="1:57" s="107" customFormat="1" ht="16.5" customHeight="1">
      <c r="A67" s="834"/>
      <c r="B67" s="884"/>
      <c r="C67" s="870"/>
      <c r="D67" s="103">
        <v>2024</v>
      </c>
      <c r="E67" s="108">
        <f t="shared" si="24"/>
        <v>5.6338999999999997</v>
      </c>
      <c r="F67" s="108">
        <v>5.6338999999999997</v>
      </c>
      <c r="G67" s="108">
        <v>0</v>
      </c>
      <c r="H67" s="108">
        <v>0</v>
      </c>
      <c r="I67" s="108">
        <v>0</v>
      </c>
      <c r="J67" s="108">
        <v>0</v>
      </c>
      <c r="K67" s="86">
        <f t="shared" si="22"/>
        <v>5.6338999999999997</v>
      </c>
      <c r="L67" s="109"/>
      <c r="M67" s="110"/>
      <c r="N67" s="111"/>
      <c r="O67" s="872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113"/>
    </row>
    <row r="68" spans="1:57" s="107" customFormat="1" ht="16.5" customHeight="1">
      <c r="A68" s="834"/>
      <c r="B68" s="884"/>
      <c r="C68" s="870"/>
      <c r="D68" s="103">
        <v>2025</v>
      </c>
      <c r="E68" s="108">
        <f t="shared" si="24"/>
        <v>5.6985999999999999</v>
      </c>
      <c r="F68" s="108">
        <v>5.6985999999999999</v>
      </c>
      <c r="G68" s="108">
        <v>0</v>
      </c>
      <c r="H68" s="108">
        <v>0</v>
      </c>
      <c r="I68" s="108">
        <v>0</v>
      </c>
      <c r="J68" s="108">
        <v>0</v>
      </c>
      <c r="K68" s="86">
        <f t="shared" si="22"/>
        <v>5.6985999999999999</v>
      </c>
      <c r="L68" s="109"/>
      <c r="M68" s="110"/>
      <c r="N68" s="111"/>
      <c r="O68" s="872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113"/>
    </row>
    <row r="69" spans="1:57" s="107" customFormat="1" ht="16.5" customHeight="1">
      <c r="A69" s="834"/>
      <c r="B69" s="884"/>
      <c r="C69" s="872" t="s">
        <v>364</v>
      </c>
      <c r="D69" s="103">
        <v>2026</v>
      </c>
      <c r="E69" s="108">
        <f t="shared" si="24"/>
        <v>1.2012</v>
      </c>
      <c r="F69" s="108">
        <v>1.2012</v>
      </c>
      <c r="G69" s="108">
        <v>0</v>
      </c>
      <c r="H69" s="108">
        <v>0</v>
      </c>
      <c r="I69" s="108">
        <v>0</v>
      </c>
      <c r="J69" s="108">
        <v>0</v>
      </c>
      <c r="K69" s="86">
        <f t="shared" si="22"/>
        <v>1.2012</v>
      </c>
      <c r="L69" s="109"/>
      <c r="M69" s="110"/>
      <c r="N69" s="111"/>
      <c r="O69" s="872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113"/>
    </row>
    <row r="70" spans="1:57" s="107" customFormat="1" ht="16.5" customHeight="1">
      <c r="A70" s="834"/>
      <c r="B70" s="884"/>
      <c r="C70" s="872"/>
      <c r="D70" s="103">
        <v>2027</v>
      </c>
      <c r="E70" s="108">
        <f t="shared" si="24"/>
        <v>2.1476000000000002</v>
      </c>
      <c r="F70" s="108">
        <v>2.1476000000000002</v>
      </c>
      <c r="G70" s="108">
        <v>0</v>
      </c>
      <c r="H70" s="108">
        <v>0</v>
      </c>
      <c r="I70" s="108">
        <v>0</v>
      </c>
      <c r="J70" s="108">
        <v>0</v>
      </c>
      <c r="K70" s="86">
        <f t="shared" si="22"/>
        <v>2.1476000000000002</v>
      </c>
      <c r="L70" s="109"/>
      <c r="M70" s="110"/>
      <c r="N70" s="111"/>
      <c r="O70" s="872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113"/>
    </row>
    <row r="71" spans="1:57" s="107" customFormat="1" ht="16.5" customHeight="1">
      <c r="A71" s="834"/>
      <c r="B71" s="884"/>
      <c r="C71" s="872"/>
      <c r="D71" s="103">
        <v>2028</v>
      </c>
      <c r="E71" s="108">
        <f t="shared" si="24"/>
        <v>1.6744000000000001</v>
      </c>
      <c r="F71" s="108">
        <v>1.6744000000000001</v>
      </c>
      <c r="G71" s="108">
        <v>0</v>
      </c>
      <c r="H71" s="108">
        <v>0</v>
      </c>
      <c r="I71" s="108">
        <v>0</v>
      </c>
      <c r="J71" s="108">
        <v>0</v>
      </c>
      <c r="K71" s="86">
        <f t="shared" si="22"/>
        <v>1.6744000000000001</v>
      </c>
      <c r="L71" s="109"/>
      <c r="M71" s="110"/>
      <c r="N71" s="111"/>
      <c r="O71" s="872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113"/>
    </row>
    <row r="72" spans="1:57" s="107" customFormat="1" ht="16.5" customHeight="1">
      <c r="A72" s="834"/>
      <c r="B72" s="884"/>
      <c r="C72" s="872"/>
      <c r="D72" s="103">
        <v>2029</v>
      </c>
      <c r="E72" s="108">
        <f t="shared" si="24"/>
        <v>1.2012</v>
      </c>
      <c r="F72" s="108">
        <v>1.2012</v>
      </c>
      <c r="G72" s="108">
        <v>0</v>
      </c>
      <c r="H72" s="108">
        <v>0</v>
      </c>
      <c r="I72" s="108">
        <v>0</v>
      </c>
      <c r="J72" s="108">
        <v>0</v>
      </c>
      <c r="K72" s="86">
        <f t="shared" si="22"/>
        <v>1.2012</v>
      </c>
      <c r="L72" s="109"/>
      <c r="M72" s="110"/>
      <c r="N72" s="111"/>
      <c r="O72" s="872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113"/>
    </row>
    <row r="73" spans="1:57" s="82" customFormat="1" ht="16.5" customHeight="1">
      <c r="A73" s="834"/>
      <c r="B73" s="885"/>
      <c r="C73" s="873"/>
      <c r="D73" s="62">
        <v>2030</v>
      </c>
      <c r="E73" s="108">
        <f t="shared" si="24"/>
        <v>2.1476000000000002</v>
      </c>
      <c r="F73" s="63">
        <v>2.1476000000000002</v>
      </c>
      <c r="G73" s="63">
        <v>0</v>
      </c>
      <c r="H73" s="63">
        <v>0</v>
      </c>
      <c r="I73" s="63">
        <v>0</v>
      </c>
      <c r="J73" s="63">
        <v>0</v>
      </c>
      <c r="K73" s="86">
        <f t="shared" si="22"/>
        <v>2.1476000000000002</v>
      </c>
      <c r="L73" s="136"/>
      <c r="M73" s="90"/>
      <c r="N73" s="137"/>
      <c r="O73" s="873"/>
    </row>
    <row r="74" spans="1:57" s="138" customFormat="1">
      <c r="A74" s="926" t="s">
        <v>365</v>
      </c>
      <c r="B74" s="929" t="s">
        <v>18</v>
      </c>
      <c r="C74" s="929"/>
      <c r="D74" s="140" t="s">
        <v>16</v>
      </c>
      <c r="E74" s="85">
        <f t="shared" ref="E74:J74" si="25">SUM(E75:E86)</f>
        <v>1992.6625999999999</v>
      </c>
      <c r="F74" s="141">
        <f t="shared" si="25"/>
        <v>216.8749</v>
      </c>
      <c r="G74" s="141">
        <f t="shared" si="25"/>
        <v>187.14249999999998</v>
      </c>
      <c r="H74" s="141">
        <f t="shared" si="25"/>
        <v>1588.6451999999999</v>
      </c>
      <c r="I74" s="141">
        <f t="shared" si="25"/>
        <v>0</v>
      </c>
      <c r="J74" s="141">
        <f t="shared" si="25"/>
        <v>0</v>
      </c>
      <c r="K74" s="86">
        <f t="shared" si="22"/>
        <v>1992.6625999999999</v>
      </c>
      <c r="L74" s="142"/>
      <c r="M74" s="143"/>
      <c r="N74" s="144"/>
      <c r="O74" s="145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146"/>
    </row>
    <row r="75" spans="1:57" s="82" customFormat="1" ht="13.5" customHeight="1">
      <c r="A75" s="927"/>
      <c r="B75" s="868"/>
      <c r="C75" s="868"/>
      <c r="D75" s="84">
        <v>2019</v>
      </c>
      <c r="E75" s="85">
        <f t="shared" ref="E75:J75" si="26">E91+E144+E149+E195+E197+E223+E225+E232+E235</f>
        <v>212.92810000000003</v>
      </c>
      <c r="F75" s="85">
        <f t="shared" si="26"/>
        <v>34.087400000000002</v>
      </c>
      <c r="G75" s="85">
        <f t="shared" si="26"/>
        <v>0</v>
      </c>
      <c r="H75" s="85">
        <f t="shared" si="26"/>
        <v>178.84070000000003</v>
      </c>
      <c r="I75" s="85">
        <f t="shared" si="26"/>
        <v>0</v>
      </c>
      <c r="J75" s="85">
        <f t="shared" si="26"/>
        <v>0</v>
      </c>
      <c r="K75" s="86">
        <f t="shared" si="22"/>
        <v>212.92810000000003</v>
      </c>
      <c r="L75" s="99"/>
      <c r="M75" s="88"/>
      <c r="N75" s="89"/>
      <c r="O75" s="90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2"/>
    </row>
    <row r="76" spans="1:57" s="82" customFormat="1" ht="13.5" customHeight="1">
      <c r="A76" s="927"/>
      <c r="B76" s="868"/>
      <c r="C76" s="868"/>
      <c r="D76" s="84">
        <v>2020</v>
      </c>
      <c r="E76" s="85">
        <f t="shared" ref="E76:J76" si="27">E92+E125+E150+E159+E162+E165+E168+E171+E192+E226+E233+E237+E239+E241+E247+E252</f>
        <v>477.02170000000001</v>
      </c>
      <c r="F76" s="85">
        <f t="shared" si="27"/>
        <v>31.328599999999998</v>
      </c>
      <c r="G76" s="85">
        <f t="shared" si="27"/>
        <v>54.491300000000003</v>
      </c>
      <c r="H76" s="85">
        <f t="shared" si="27"/>
        <v>391.20179999999999</v>
      </c>
      <c r="I76" s="85">
        <f t="shared" si="27"/>
        <v>0</v>
      </c>
      <c r="J76" s="85">
        <f t="shared" si="27"/>
        <v>0</v>
      </c>
      <c r="K76" s="86">
        <f t="shared" si="22"/>
        <v>477.02170000000001</v>
      </c>
      <c r="L76" s="99"/>
      <c r="M76" s="88"/>
      <c r="N76" s="89"/>
      <c r="O76" s="90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2"/>
    </row>
    <row r="77" spans="1:57" s="82" customFormat="1" ht="13.5" customHeight="1">
      <c r="A77" s="927"/>
      <c r="B77" s="868"/>
      <c r="C77" s="868"/>
      <c r="D77" s="84">
        <v>2021</v>
      </c>
      <c r="E77" s="85">
        <f t="shared" ref="E77:J77" si="28">E93+E115+E126+E151+E193+E253</f>
        <v>186.01130000000001</v>
      </c>
      <c r="F77" s="85">
        <f t="shared" si="28"/>
        <v>7.0453000000000001</v>
      </c>
      <c r="G77" s="85">
        <f t="shared" si="28"/>
        <v>132.35929999999999</v>
      </c>
      <c r="H77" s="85">
        <f t="shared" si="28"/>
        <v>46.606700000000004</v>
      </c>
      <c r="I77" s="85">
        <f t="shared" si="28"/>
        <v>0</v>
      </c>
      <c r="J77" s="85">
        <f t="shared" si="28"/>
        <v>0</v>
      </c>
      <c r="K77" s="86">
        <f t="shared" si="22"/>
        <v>186.01130000000001</v>
      </c>
      <c r="L77" s="99"/>
      <c r="M77" s="88"/>
      <c r="N77" s="89"/>
      <c r="O77" s="90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2"/>
    </row>
    <row r="78" spans="1:57" s="82" customFormat="1" ht="13.5" customHeight="1">
      <c r="A78" s="927"/>
      <c r="B78" s="868"/>
      <c r="C78" s="868"/>
      <c r="D78" s="84">
        <v>2022</v>
      </c>
      <c r="E78" s="85">
        <f t="shared" ref="E78:J78" si="29">E94+E110+E127+E250+E254</f>
        <v>7.7050999999999998</v>
      </c>
      <c r="F78" s="85">
        <f t="shared" si="29"/>
        <v>1.0173000000000001</v>
      </c>
      <c r="G78" s="85">
        <f t="shared" si="29"/>
        <v>0.29189999999999999</v>
      </c>
      <c r="H78" s="85">
        <f t="shared" si="29"/>
        <v>6.3959000000000001</v>
      </c>
      <c r="I78" s="85">
        <f t="shared" si="29"/>
        <v>0</v>
      </c>
      <c r="J78" s="85">
        <f t="shared" si="29"/>
        <v>0</v>
      </c>
      <c r="K78" s="86">
        <f t="shared" si="22"/>
        <v>7.7050999999999998</v>
      </c>
      <c r="L78" s="99"/>
      <c r="M78" s="88"/>
      <c r="N78" s="89"/>
      <c r="O78" s="90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2"/>
    </row>
    <row r="79" spans="1:57" s="82" customFormat="1" ht="13.5" customHeight="1">
      <c r="A79" s="927"/>
      <c r="B79" s="868"/>
      <c r="C79" s="868"/>
      <c r="D79" s="84">
        <v>2023</v>
      </c>
      <c r="E79" s="85">
        <f t="shared" ref="E79:K79" si="30">E185</f>
        <v>102.9495</v>
      </c>
      <c r="F79" s="85">
        <f t="shared" si="30"/>
        <v>5.1475</v>
      </c>
      <c r="G79" s="85">
        <f t="shared" si="30"/>
        <v>0</v>
      </c>
      <c r="H79" s="85">
        <f t="shared" si="30"/>
        <v>97.802000000000007</v>
      </c>
      <c r="I79" s="85">
        <f t="shared" si="30"/>
        <v>0</v>
      </c>
      <c r="J79" s="85">
        <f t="shared" si="30"/>
        <v>0</v>
      </c>
      <c r="K79" s="85">
        <f t="shared" si="30"/>
        <v>102.9495</v>
      </c>
      <c r="L79" s="85"/>
      <c r="M79" s="88"/>
      <c r="N79" s="89"/>
      <c r="O79" s="90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2"/>
    </row>
    <row r="80" spans="1:57" s="82" customFormat="1" ht="13.5" customHeight="1">
      <c r="A80" s="927"/>
      <c r="B80" s="868"/>
      <c r="C80" s="868"/>
      <c r="D80" s="84">
        <v>2024</v>
      </c>
      <c r="E80" s="85">
        <f t="shared" ref="E80:J80" si="31">E95+E107+E116+E186</f>
        <v>151.773</v>
      </c>
      <c r="F80" s="85">
        <f t="shared" si="31"/>
        <v>9.2729999999999997</v>
      </c>
      <c r="G80" s="85">
        <f t="shared" si="31"/>
        <v>0</v>
      </c>
      <c r="H80" s="85">
        <f t="shared" si="31"/>
        <v>142.5</v>
      </c>
      <c r="I80" s="85">
        <f t="shared" si="31"/>
        <v>0</v>
      </c>
      <c r="J80" s="85">
        <f t="shared" si="31"/>
        <v>0</v>
      </c>
      <c r="K80" s="86">
        <f>F80+G80+H80+I80+J80</f>
        <v>151.773</v>
      </c>
      <c r="L80" s="85"/>
      <c r="M80" s="88"/>
      <c r="N80" s="89"/>
      <c r="O80" s="90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2"/>
    </row>
    <row r="81" spans="1:57" s="82" customFormat="1" ht="13.5" customHeight="1">
      <c r="A81" s="927"/>
      <c r="B81" s="868"/>
      <c r="C81" s="868"/>
      <c r="D81" s="84">
        <v>2025</v>
      </c>
      <c r="E81" s="85">
        <f t="shared" ref="E81:J81" si="32">E187</f>
        <v>28</v>
      </c>
      <c r="F81" s="85">
        <f t="shared" si="32"/>
        <v>1.4</v>
      </c>
      <c r="G81" s="85">
        <f t="shared" si="32"/>
        <v>0</v>
      </c>
      <c r="H81" s="85">
        <f t="shared" si="32"/>
        <v>26.6</v>
      </c>
      <c r="I81" s="85">
        <f t="shared" si="32"/>
        <v>0</v>
      </c>
      <c r="J81" s="85">
        <f t="shared" si="32"/>
        <v>0</v>
      </c>
      <c r="K81" s="86">
        <f>F81+G81+H81+I81+J81</f>
        <v>28</v>
      </c>
      <c r="L81" s="85"/>
      <c r="M81" s="88"/>
      <c r="N81" s="89"/>
      <c r="O81" s="90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2"/>
    </row>
    <row r="82" spans="1:57" s="82" customFormat="1" ht="13.5" customHeight="1">
      <c r="A82" s="927"/>
      <c r="B82" s="868"/>
      <c r="C82" s="868"/>
      <c r="D82" s="84">
        <v>2026</v>
      </c>
      <c r="E82" s="85">
        <f t="shared" ref="E82:J82" si="33">E88+E96+E100+E103+E117+E128+E153+E156+E182+E189+E199+E202+E205+E208+E211+E214+E217+E220+E228+E245+E243</f>
        <v>185.0292</v>
      </c>
      <c r="F82" s="85">
        <f t="shared" si="33"/>
        <v>96.969200000000001</v>
      </c>
      <c r="G82" s="85">
        <f t="shared" si="33"/>
        <v>0</v>
      </c>
      <c r="H82" s="85">
        <f t="shared" si="33"/>
        <v>88.06</v>
      </c>
      <c r="I82" s="85">
        <f t="shared" si="33"/>
        <v>0</v>
      </c>
      <c r="J82" s="85">
        <f t="shared" si="33"/>
        <v>0</v>
      </c>
      <c r="K82" s="86">
        <f>F82+G82+H82+I82+J82</f>
        <v>185.0292</v>
      </c>
      <c r="L82" s="99"/>
      <c r="M82" s="88"/>
      <c r="N82" s="89"/>
      <c r="O82" s="90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2"/>
    </row>
    <row r="83" spans="1:57" s="82" customFormat="1" ht="13.5" customHeight="1">
      <c r="A83" s="927"/>
      <c r="B83" s="868"/>
      <c r="C83" s="868"/>
      <c r="D83" s="84">
        <v>2027</v>
      </c>
      <c r="E83" s="85">
        <f t="shared" ref="E83:J83" si="34">E118+E129+E137+E141+E154+E157+E183+E190+E200+E203+E206+E209+E212+E215+E218+E221+E229</f>
        <v>526.04070000000013</v>
      </c>
      <c r="F83" s="85">
        <f t="shared" si="34"/>
        <v>22.781600000000001</v>
      </c>
      <c r="G83" s="85">
        <f t="shared" si="34"/>
        <v>0</v>
      </c>
      <c r="H83" s="85">
        <f t="shared" si="34"/>
        <v>503.25909999999993</v>
      </c>
      <c r="I83" s="85">
        <f t="shared" si="34"/>
        <v>0</v>
      </c>
      <c r="J83" s="85">
        <f t="shared" si="34"/>
        <v>0</v>
      </c>
      <c r="K83" s="86">
        <f>F83+G83+H83+I83+J83</f>
        <v>526.0406999999999</v>
      </c>
      <c r="L83" s="85"/>
      <c r="M83" s="88"/>
      <c r="N83" s="89"/>
      <c r="O83" s="90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2"/>
    </row>
    <row r="84" spans="1:57" s="82" customFormat="1" ht="13.5" customHeight="1">
      <c r="A84" s="927"/>
      <c r="B84" s="868"/>
      <c r="C84" s="868"/>
      <c r="D84" s="84">
        <v>2028</v>
      </c>
      <c r="E84" s="85">
        <f t="shared" ref="E84:J84" si="35">E97+E108+E130</f>
        <v>112.79999999999998</v>
      </c>
      <c r="F84" s="85">
        <f t="shared" si="35"/>
        <v>5.4209999999999994</v>
      </c>
      <c r="G84" s="85">
        <f t="shared" si="35"/>
        <v>0</v>
      </c>
      <c r="H84" s="85">
        <f t="shared" si="35"/>
        <v>107.37899999999999</v>
      </c>
      <c r="I84" s="85">
        <f t="shared" si="35"/>
        <v>0</v>
      </c>
      <c r="J84" s="85">
        <f t="shared" si="35"/>
        <v>0</v>
      </c>
      <c r="K84" s="86">
        <f>F84+G84+H84+I84+J84</f>
        <v>112.79999999999998</v>
      </c>
      <c r="L84" s="85"/>
      <c r="M84" s="88"/>
      <c r="N84" s="89"/>
      <c r="O84" s="90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2"/>
    </row>
    <row r="85" spans="1:57" s="82" customFormat="1" ht="13.5" customHeight="1">
      <c r="A85" s="927"/>
      <c r="B85" s="868"/>
      <c r="C85" s="868"/>
      <c r="D85" s="84">
        <v>2029</v>
      </c>
      <c r="E85" s="85">
        <f t="shared" ref="E85:J85" si="36">E180</f>
        <v>0</v>
      </c>
      <c r="F85" s="85">
        <f t="shared" si="36"/>
        <v>0</v>
      </c>
      <c r="G85" s="85">
        <f t="shared" si="36"/>
        <v>0</v>
      </c>
      <c r="H85" s="85">
        <f t="shared" si="36"/>
        <v>0</v>
      </c>
      <c r="I85" s="85">
        <f t="shared" si="36"/>
        <v>0</v>
      </c>
      <c r="J85" s="85">
        <f t="shared" si="36"/>
        <v>0</v>
      </c>
      <c r="K85" s="86"/>
      <c r="L85" s="148"/>
      <c r="M85" s="88"/>
      <c r="N85" s="89"/>
      <c r="O85" s="90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2"/>
    </row>
    <row r="86" spans="1:57" s="82" customFormat="1" ht="13.5" customHeight="1">
      <c r="A86" s="928"/>
      <c r="B86" s="869"/>
      <c r="C86" s="869"/>
      <c r="D86" s="84">
        <v>2030</v>
      </c>
      <c r="E86" s="85">
        <f t="shared" ref="E86:J86" si="37">E89+E98+E101+E104+E109</f>
        <v>2.4039999999999999</v>
      </c>
      <c r="F86" s="85">
        <f t="shared" si="37"/>
        <v>2.4039999999999999</v>
      </c>
      <c r="G86" s="85">
        <f t="shared" si="37"/>
        <v>0</v>
      </c>
      <c r="H86" s="85">
        <f t="shared" si="37"/>
        <v>0</v>
      </c>
      <c r="I86" s="85">
        <f t="shared" si="37"/>
        <v>0</v>
      </c>
      <c r="J86" s="85">
        <f t="shared" si="37"/>
        <v>0</v>
      </c>
      <c r="K86" s="86">
        <f>F86+G86+H86+I86+J86</f>
        <v>2.4039999999999999</v>
      </c>
      <c r="L86" s="99"/>
      <c r="M86" s="88"/>
      <c r="N86" s="89"/>
      <c r="O86" s="90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2"/>
    </row>
    <row r="87" spans="1:57" s="51" customFormat="1" ht="44.25" customHeight="1">
      <c r="A87" s="794" t="s">
        <v>366</v>
      </c>
      <c r="B87" s="838" t="s">
        <v>367</v>
      </c>
      <c r="C87" s="149" t="s">
        <v>368</v>
      </c>
      <c r="D87" s="84" t="s">
        <v>16</v>
      </c>
      <c r="E87" s="85">
        <f t="shared" ref="E87:J87" si="38">E88+E89</f>
        <v>0.2</v>
      </c>
      <c r="F87" s="85">
        <f t="shared" si="38"/>
        <v>0.2</v>
      </c>
      <c r="G87" s="85">
        <f t="shared" si="38"/>
        <v>0</v>
      </c>
      <c r="H87" s="85">
        <f t="shared" si="38"/>
        <v>0</v>
      </c>
      <c r="I87" s="85">
        <f t="shared" si="38"/>
        <v>0</v>
      </c>
      <c r="J87" s="85">
        <f t="shared" si="38"/>
        <v>0</v>
      </c>
      <c r="K87" s="86">
        <f>F87+G87+H87+I87+J87</f>
        <v>0.2</v>
      </c>
      <c r="L87" s="150">
        <v>1</v>
      </c>
      <c r="M87" s="88"/>
      <c r="N87" s="89"/>
      <c r="O87" s="907" t="s">
        <v>369</v>
      </c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68"/>
    </row>
    <row r="88" spans="1:57" s="51" customFormat="1" ht="15" customHeight="1">
      <c r="A88" s="795"/>
      <c r="B88" s="889"/>
      <c r="C88" s="152"/>
      <c r="D88" s="84">
        <v>2026</v>
      </c>
      <c r="E88" s="63">
        <f>F88+G88+H88+I88+J88</f>
        <v>0.1</v>
      </c>
      <c r="F88" s="63">
        <v>0.1</v>
      </c>
      <c r="G88" s="63">
        <v>0</v>
      </c>
      <c r="H88" s="63">
        <v>0</v>
      </c>
      <c r="I88" s="63">
        <v>0</v>
      </c>
      <c r="J88" s="63">
        <v>0</v>
      </c>
      <c r="K88" s="86">
        <f>F88+G88+H88+I88+J88</f>
        <v>0.1</v>
      </c>
      <c r="L88" s="153">
        <v>0.5</v>
      </c>
      <c r="M88" s="88"/>
      <c r="N88" s="89"/>
      <c r="O88" s="908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68"/>
    </row>
    <row r="89" spans="1:57" s="51" customFormat="1">
      <c r="A89" s="796"/>
      <c r="B89" s="890"/>
      <c r="C89" s="156"/>
      <c r="D89" s="84">
        <v>2030</v>
      </c>
      <c r="E89" s="63">
        <f>F89+G89+H89+I89+J89</f>
        <v>0.1</v>
      </c>
      <c r="F89" s="63">
        <v>0.1</v>
      </c>
      <c r="G89" s="63">
        <v>0</v>
      </c>
      <c r="H89" s="63">
        <v>0</v>
      </c>
      <c r="I89" s="63">
        <v>0</v>
      </c>
      <c r="J89" s="63">
        <v>0</v>
      </c>
      <c r="K89" s="86">
        <f>F89+G89+H89+I89+J89</f>
        <v>0.1</v>
      </c>
      <c r="L89" s="153">
        <v>1</v>
      </c>
      <c r="M89" s="88"/>
      <c r="N89" s="89"/>
      <c r="O89" s="90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68"/>
    </row>
    <row r="90" spans="1:57" s="158" customFormat="1" ht="11.25" customHeight="1">
      <c r="A90" s="794" t="s">
        <v>370</v>
      </c>
      <c r="B90" s="838" t="s">
        <v>371</v>
      </c>
      <c r="D90" s="159" t="s">
        <v>16</v>
      </c>
      <c r="E90" s="160">
        <f t="shared" ref="E90:J90" si="39">SUM(E92:E98)</f>
        <v>3.3942000000000005</v>
      </c>
      <c r="F90" s="160">
        <f t="shared" si="39"/>
        <v>0.80519999999999992</v>
      </c>
      <c r="G90" s="160">
        <f t="shared" si="39"/>
        <v>0</v>
      </c>
      <c r="H90" s="160">
        <f t="shared" si="39"/>
        <v>2.589</v>
      </c>
      <c r="I90" s="160">
        <f t="shared" si="39"/>
        <v>0</v>
      </c>
      <c r="J90" s="160">
        <f t="shared" si="39"/>
        <v>0</v>
      </c>
      <c r="K90" s="161">
        <f>F90+G90+H90+I90+J90</f>
        <v>3.3941999999999997</v>
      </c>
      <c r="L90" s="162">
        <v>1</v>
      </c>
      <c r="M90" s="163"/>
      <c r="N90" s="164"/>
      <c r="O90" s="858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7"/>
    </row>
    <row r="91" spans="1:57" s="158" customFormat="1" ht="11.25" customHeight="1">
      <c r="A91" s="795"/>
      <c r="B91" s="839"/>
      <c r="C91" s="169" t="s">
        <v>372</v>
      </c>
      <c r="D91" s="170">
        <v>2019</v>
      </c>
      <c r="E91" s="171">
        <f>F91+G91+H91</f>
        <v>2.7176</v>
      </c>
      <c r="F91" s="171">
        <v>0.3533</v>
      </c>
      <c r="G91" s="171">
        <v>0</v>
      </c>
      <c r="H91" s="171">
        <v>2.3643000000000001</v>
      </c>
      <c r="I91" s="171">
        <v>0</v>
      </c>
      <c r="J91" s="171">
        <v>0</v>
      </c>
      <c r="K91" s="161"/>
      <c r="L91" s="162"/>
      <c r="M91" s="163"/>
      <c r="N91" s="164"/>
      <c r="O91" s="871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7"/>
    </row>
    <row r="92" spans="1:57" s="158" customFormat="1" ht="11.25" customHeight="1">
      <c r="A92" s="795"/>
      <c r="B92" s="839"/>
      <c r="C92" s="878" t="s">
        <v>373</v>
      </c>
      <c r="D92" s="170">
        <v>2020</v>
      </c>
      <c r="E92" s="171">
        <f>F92+G92+H92</f>
        <v>1.8151999999999999</v>
      </c>
      <c r="F92" s="171">
        <v>0.23630000000000001</v>
      </c>
      <c r="G92" s="171">
        <v>0</v>
      </c>
      <c r="H92" s="171">
        <v>1.5789</v>
      </c>
      <c r="I92" s="171">
        <v>0</v>
      </c>
      <c r="J92" s="171">
        <v>0</v>
      </c>
      <c r="K92" s="161"/>
      <c r="L92" s="162"/>
      <c r="M92" s="163"/>
      <c r="N92" s="164"/>
      <c r="O92" s="871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7"/>
    </row>
    <row r="93" spans="1:57" s="158" customFormat="1" ht="12.75" customHeight="1">
      <c r="A93" s="795"/>
      <c r="B93" s="839"/>
      <c r="C93" s="879"/>
      <c r="D93" s="170">
        <v>2021</v>
      </c>
      <c r="E93" s="171">
        <f t="shared" ref="E93:E98" si="40">F93+G93+H93+I93+J93</f>
        <v>0.58950000000000002</v>
      </c>
      <c r="F93" s="171">
        <v>7.6700000000000004E-2</v>
      </c>
      <c r="G93" s="171">
        <v>0</v>
      </c>
      <c r="H93" s="171">
        <v>0.51280000000000003</v>
      </c>
      <c r="I93" s="171">
        <v>0</v>
      </c>
      <c r="J93" s="171">
        <v>0</v>
      </c>
      <c r="K93" s="161">
        <f t="shared" ref="K93:K123" si="41">F93+G93+H93+I93+J93</f>
        <v>0.58950000000000002</v>
      </c>
      <c r="L93" s="173">
        <v>0.25</v>
      </c>
      <c r="M93" s="163"/>
      <c r="N93" s="164"/>
      <c r="O93" s="868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7"/>
    </row>
    <row r="94" spans="1:57" s="158" customFormat="1">
      <c r="A94" s="795"/>
      <c r="B94" s="839"/>
      <c r="C94" s="879"/>
      <c r="D94" s="170">
        <v>2022</v>
      </c>
      <c r="E94" s="171">
        <f t="shared" si="40"/>
        <v>0.58950000000000002</v>
      </c>
      <c r="F94" s="171">
        <v>9.2200000000000004E-2</v>
      </c>
      <c r="G94" s="171">
        <v>0</v>
      </c>
      <c r="H94" s="171">
        <v>0.49730000000000002</v>
      </c>
      <c r="I94" s="171">
        <v>0</v>
      </c>
      <c r="J94" s="171">
        <v>0</v>
      </c>
      <c r="K94" s="161">
        <f t="shared" si="41"/>
        <v>0.58950000000000002</v>
      </c>
      <c r="L94" s="173">
        <v>0.4</v>
      </c>
      <c r="M94" s="163"/>
      <c r="N94" s="164"/>
      <c r="O94" s="868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7"/>
    </row>
    <row r="95" spans="1:57" s="38" customFormat="1">
      <c r="A95" s="795"/>
      <c r="B95" s="839"/>
      <c r="C95" s="880"/>
      <c r="D95" s="12">
        <v>2024</v>
      </c>
      <c r="E95" s="174">
        <f t="shared" si="40"/>
        <v>0.1</v>
      </c>
      <c r="F95" s="174">
        <v>0.1</v>
      </c>
      <c r="G95" s="174">
        <v>0</v>
      </c>
      <c r="H95" s="174">
        <v>0</v>
      </c>
      <c r="I95" s="174">
        <v>0</v>
      </c>
      <c r="J95" s="174">
        <v>0</v>
      </c>
      <c r="K95" s="175">
        <f t="shared" si="41"/>
        <v>0.1</v>
      </c>
      <c r="L95" s="176">
        <v>0.5</v>
      </c>
      <c r="M95" s="177"/>
      <c r="N95" s="178"/>
      <c r="O95" s="868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179"/>
    </row>
    <row r="96" spans="1:57" s="51" customFormat="1" ht="16.5" customHeight="1">
      <c r="A96" s="795"/>
      <c r="B96" s="839"/>
      <c r="C96" s="867" t="s">
        <v>374</v>
      </c>
      <c r="D96" s="62">
        <v>2026</v>
      </c>
      <c r="E96" s="63">
        <f t="shared" si="40"/>
        <v>0.1</v>
      </c>
      <c r="F96" s="63">
        <v>0.1</v>
      </c>
      <c r="G96" s="63">
        <v>0</v>
      </c>
      <c r="H96" s="63">
        <v>0</v>
      </c>
      <c r="I96" s="63">
        <v>0</v>
      </c>
      <c r="J96" s="63">
        <v>0</v>
      </c>
      <c r="K96" s="86">
        <f t="shared" si="41"/>
        <v>0.1</v>
      </c>
      <c r="L96" s="153">
        <v>0.6</v>
      </c>
      <c r="M96" s="88"/>
      <c r="N96" s="89"/>
      <c r="O96" s="86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68"/>
    </row>
    <row r="97" spans="1:57" s="51" customFormat="1">
      <c r="A97" s="795"/>
      <c r="B97" s="839"/>
      <c r="C97" s="872"/>
      <c r="D97" s="62">
        <v>2028</v>
      </c>
      <c r="E97" s="63">
        <f t="shared" si="40"/>
        <v>0.1</v>
      </c>
      <c r="F97" s="63">
        <v>0.1</v>
      </c>
      <c r="G97" s="63">
        <v>0</v>
      </c>
      <c r="H97" s="63">
        <v>0</v>
      </c>
      <c r="I97" s="63">
        <v>0</v>
      </c>
      <c r="J97" s="63">
        <v>0</v>
      </c>
      <c r="K97" s="86">
        <f t="shared" si="41"/>
        <v>0.1</v>
      </c>
      <c r="L97" s="153">
        <v>0.8</v>
      </c>
      <c r="M97" s="88"/>
      <c r="N97" s="89"/>
      <c r="O97" s="868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68"/>
    </row>
    <row r="98" spans="1:57" s="51" customFormat="1">
      <c r="A98" s="796"/>
      <c r="B98" s="854"/>
      <c r="C98" s="873"/>
      <c r="D98" s="62">
        <v>2030</v>
      </c>
      <c r="E98" s="63">
        <f t="shared" si="40"/>
        <v>0.1</v>
      </c>
      <c r="F98" s="63">
        <v>0.1</v>
      </c>
      <c r="G98" s="63">
        <v>0</v>
      </c>
      <c r="H98" s="63">
        <v>0</v>
      </c>
      <c r="I98" s="63">
        <v>0</v>
      </c>
      <c r="J98" s="63">
        <v>0</v>
      </c>
      <c r="K98" s="86">
        <f t="shared" si="41"/>
        <v>0.1</v>
      </c>
      <c r="L98" s="153">
        <v>1</v>
      </c>
      <c r="M98" s="88"/>
      <c r="N98" s="89"/>
      <c r="O98" s="868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68"/>
    </row>
    <row r="99" spans="1:57" s="51" customFormat="1" ht="12.75" customHeight="1">
      <c r="A99" s="794" t="s">
        <v>375</v>
      </c>
      <c r="B99" s="936" t="s">
        <v>376</v>
      </c>
      <c r="D99" s="84" t="s">
        <v>16</v>
      </c>
      <c r="E99" s="85">
        <f t="shared" ref="E99:J99" si="42">E100+E101</f>
        <v>0.216</v>
      </c>
      <c r="F99" s="85">
        <f t="shared" si="42"/>
        <v>0.216</v>
      </c>
      <c r="G99" s="85">
        <f t="shared" si="42"/>
        <v>0</v>
      </c>
      <c r="H99" s="85">
        <f t="shared" si="42"/>
        <v>0</v>
      </c>
      <c r="I99" s="85">
        <f t="shared" si="42"/>
        <v>0</v>
      </c>
      <c r="J99" s="85">
        <f t="shared" si="42"/>
        <v>0</v>
      </c>
      <c r="K99" s="86">
        <f t="shared" si="41"/>
        <v>0.216</v>
      </c>
      <c r="L99" s="150">
        <v>1</v>
      </c>
      <c r="M99" s="88"/>
      <c r="N99" s="89"/>
      <c r="O99" s="868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68"/>
    </row>
    <row r="100" spans="1:57" s="51" customFormat="1">
      <c r="A100" s="795"/>
      <c r="B100" s="937"/>
      <c r="C100" s="867" t="s">
        <v>368</v>
      </c>
      <c r="D100" s="62">
        <v>2026</v>
      </c>
      <c r="E100" s="63">
        <f>F100+G100+H100+I100+J100</f>
        <v>0.108</v>
      </c>
      <c r="F100" s="63">
        <v>0.108</v>
      </c>
      <c r="G100" s="63">
        <v>0</v>
      </c>
      <c r="H100" s="63">
        <v>0</v>
      </c>
      <c r="I100" s="63">
        <v>0</v>
      </c>
      <c r="J100" s="63">
        <v>0</v>
      </c>
      <c r="K100" s="86">
        <f t="shared" si="41"/>
        <v>0.108</v>
      </c>
      <c r="L100" s="153">
        <v>0.5</v>
      </c>
      <c r="M100" s="88"/>
      <c r="N100" s="89"/>
      <c r="O100" s="868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68"/>
    </row>
    <row r="101" spans="1:57" s="51" customFormat="1" ht="30" customHeight="1">
      <c r="A101" s="796"/>
      <c r="B101" s="938"/>
      <c r="C101" s="873"/>
      <c r="D101" s="62">
        <v>2030</v>
      </c>
      <c r="E101" s="63">
        <f>F101+G101+H101+I101+J101</f>
        <v>0.108</v>
      </c>
      <c r="F101" s="63">
        <v>0.108</v>
      </c>
      <c r="G101" s="63">
        <v>0</v>
      </c>
      <c r="H101" s="63">
        <v>0</v>
      </c>
      <c r="I101" s="63">
        <v>0</v>
      </c>
      <c r="J101" s="63">
        <v>0</v>
      </c>
      <c r="K101" s="86">
        <f t="shared" si="41"/>
        <v>0.108</v>
      </c>
      <c r="L101" s="153">
        <v>1</v>
      </c>
      <c r="M101" s="88"/>
      <c r="N101" s="89"/>
      <c r="O101" s="868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68"/>
    </row>
    <row r="102" spans="1:57" s="51" customFormat="1">
      <c r="A102" s="794" t="s">
        <v>377</v>
      </c>
      <c r="B102" s="931" t="s">
        <v>378</v>
      </c>
      <c r="C102" s="867" t="s">
        <v>379</v>
      </c>
      <c r="D102" s="84" t="s">
        <v>16</v>
      </c>
      <c r="E102" s="85">
        <f t="shared" ref="E102:J102" si="43">E103+E104</f>
        <v>0.20400000000000001</v>
      </c>
      <c r="F102" s="85">
        <f t="shared" si="43"/>
        <v>0.20400000000000001</v>
      </c>
      <c r="G102" s="85">
        <f t="shared" si="43"/>
        <v>0</v>
      </c>
      <c r="H102" s="85">
        <f t="shared" si="43"/>
        <v>0</v>
      </c>
      <c r="I102" s="85">
        <f t="shared" si="43"/>
        <v>0</v>
      </c>
      <c r="J102" s="85">
        <f t="shared" si="43"/>
        <v>0</v>
      </c>
      <c r="K102" s="86">
        <f t="shared" si="41"/>
        <v>0.20400000000000001</v>
      </c>
      <c r="L102" s="150">
        <v>1</v>
      </c>
      <c r="M102" s="88"/>
      <c r="N102" s="89"/>
      <c r="O102" s="868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68"/>
    </row>
    <row r="103" spans="1:57" s="51" customFormat="1">
      <c r="A103" s="795"/>
      <c r="B103" s="932"/>
      <c r="C103" s="872"/>
      <c r="D103" s="62">
        <v>2026</v>
      </c>
      <c r="E103" s="63">
        <f>F103+G103+H103+I103+J103</f>
        <v>0.108</v>
      </c>
      <c r="F103" s="63">
        <v>0.108</v>
      </c>
      <c r="G103" s="63">
        <v>0</v>
      </c>
      <c r="H103" s="63">
        <v>0</v>
      </c>
      <c r="I103" s="63">
        <v>0</v>
      </c>
      <c r="J103" s="63">
        <v>0</v>
      </c>
      <c r="K103" s="86">
        <f t="shared" si="41"/>
        <v>0.108</v>
      </c>
      <c r="L103" s="153">
        <v>0.5</v>
      </c>
      <c r="M103" s="88"/>
      <c r="N103" s="89"/>
      <c r="O103" s="868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68"/>
    </row>
    <row r="104" spans="1:57" s="51" customFormat="1" ht="54.75" customHeight="1">
      <c r="A104" s="796"/>
      <c r="B104" s="933"/>
      <c r="C104" s="873"/>
      <c r="D104" s="62">
        <v>2030</v>
      </c>
      <c r="E104" s="63">
        <f>F104+G104+H104+I104+J104</f>
        <v>9.6000000000000002E-2</v>
      </c>
      <c r="F104" s="63">
        <v>9.6000000000000002E-2</v>
      </c>
      <c r="G104" s="63">
        <v>0</v>
      </c>
      <c r="H104" s="63">
        <v>0</v>
      </c>
      <c r="I104" s="63">
        <v>0</v>
      </c>
      <c r="J104" s="63">
        <v>0</v>
      </c>
      <c r="K104" s="86">
        <f t="shared" si="41"/>
        <v>9.6000000000000002E-2</v>
      </c>
      <c r="L104" s="153">
        <v>1</v>
      </c>
      <c r="M104" s="88"/>
      <c r="N104" s="89"/>
      <c r="O104" s="868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68"/>
    </row>
    <row r="105" spans="1:57" s="51" customFormat="1" ht="12.75" customHeight="1">
      <c r="A105" s="921" t="s">
        <v>380</v>
      </c>
      <c r="B105" s="934" t="s">
        <v>381</v>
      </c>
      <c r="C105" s="915" t="s">
        <v>382</v>
      </c>
      <c r="D105" s="84" t="s">
        <v>16</v>
      </c>
      <c r="E105" s="85">
        <f t="shared" ref="E105:J105" si="44">E106+E107+E108+E113</f>
        <v>5.5</v>
      </c>
      <c r="F105" s="85">
        <f t="shared" si="44"/>
        <v>5.5</v>
      </c>
      <c r="G105" s="85">
        <f t="shared" si="44"/>
        <v>0</v>
      </c>
      <c r="H105" s="85">
        <f t="shared" si="44"/>
        <v>0</v>
      </c>
      <c r="I105" s="85">
        <f t="shared" si="44"/>
        <v>0</v>
      </c>
      <c r="J105" s="85">
        <f t="shared" si="44"/>
        <v>0</v>
      </c>
      <c r="K105" s="86">
        <f t="shared" si="41"/>
        <v>5.5</v>
      </c>
      <c r="L105" s="99"/>
      <c r="M105" s="88"/>
      <c r="N105" s="89"/>
      <c r="O105" s="868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68"/>
    </row>
    <row r="106" spans="1:57" s="51" customFormat="1" ht="12.75" customHeight="1">
      <c r="A106" s="922"/>
      <c r="B106" s="935"/>
      <c r="C106" s="916"/>
      <c r="D106" s="84">
        <v>2022</v>
      </c>
      <c r="E106" s="63">
        <f t="shared" ref="E106:E113" si="45">F106+G106+H106+I106+J106</f>
        <v>0</v>
      </c>
      <c r="F106" s="63">
        <f>F110</f>
        <v>0</v>
      </c>
      <c r="G106" s="63">
        <v>0</v>
      </c>
      <c r="H106" s="63">
        <v>0</v>
      </c>
      <c r="I106" s="63">
        <v>0</v>
      </c>
      <c r="J106" s="63">
        <v>0</v>
      </c>
      <c r="K106" s="86">
        <f t="shared" si="41"/>
        <v>0</v>
      </c>
      <c r="L106" s="185"/>
      <c r="M106" s="88"/>
      <c r="N106" s="89"/>
      <c r="O106" s="868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68"/>
    </row>
    <row r="107" spans="1:57" s="51" customFormat="1" ht="18.75" customHeight="1">
      <c r="A107" s="922"/>
      <c r="B107" s="935"/>
      <c r="C107" s="916"/>
      <c r="D107" s="84">
        <v>2024</v>
      </c>
      <c r="E107" s="63">
        <f t="shared" si="45"/>
        <v>1.5</v>
      </c>
      <c r="F107" s="63">
        <v>1.5</v>
      </c>
      <c r="G107" s="63">
        <v>0</v>
      </c>
      <c r="H107" s="63">
        <v>0</v>
      </c>
      <c r="I107" s="63">
        <v>0</v>
      </c>
      <c r="J107" s="63">
        <v>0</v>
      </c>
      <c r="K107" s="86">
        <f t="shared" si="41"/>
        <v>1.5</v>
      </c>
      <c r="L107" s="185"/>
      <c r="M107" s="88"/>
      <c r="N107" s="89"/>
      <c r="O107" s="868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68"/>
    </row>
    <row r="108" spans="1:57" s="51" customFormat="1" ht="15" customHeight="1">
      <c r="A108" s="922"/>
      <c r="B108" s="935"/>
      <c r="C108" s="152"/>
      <c r="D108" s="84">
        <v>2028</v>
      </c>
      <c r="E108" s="63">
        <f t="shared" si="45"/>
        <v>2</v>
      </c>
      <c r="F108" s="63">
        <v>2</v>
      </c>
      <c r="G108" s="63">
        <v>0</v>
      </c>
      <c r="H108" s="63">
        <v>0</v>
      </c>
      <c r="I108" s="63">
        <v>0</v>
      </c>
      <c r="J108" s="63">
        <v>0</v>
      </c>
      <c r="K108" s="86">
        <f t="shared" si="41"/>
        <v>2</v>
      </c>
      <c r="L108" s="185"/>
      <c r="M108" s="88"/>
      <c r="N108" s="89"/>
      <c r="O108" s="868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68"/>
    </row>
    <row r="109" spans="1:57" s="51" customFormat="1">
      <c r="A109" s="922"/>
      <c r="B109" s="935"/>
      <c r="C109" s="152"/>
      <c r="D109" s="84">
        <v>2030</v>
      </c>
      <c r="E109" s="63">
        <f t="shared" si="45"/>
        <v>2</v>
      </c>
      <c r="F109" s="63">
        <v>2</v>
      </c>
      <c r="G109" s="63">
        <v>0</v>
      </c>
      <c r="H109" s="63">
        <v>0</v>
      </c>
      <c r="I109" s="63">
        <v>0</v>
      </c>
      <c r="J109" s="63">
        <v>0</v>
      </c>
      <c r="K109" s="86">
        <f t="shared" si="41"/>
        <v>2</v>
      </c>
      <c r="L109" s="185"/>
      <c r="M109" s="88"/>
      <c r="N109" s="89"/>
      <c r="O109" s="86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68"/>
    </row>
    <row r="110" spans="1:57" s="51" customFormat="1" ht="27" customHeight="1">
      <c r="A110" s="59" t="s">
        <v>383</v>
      </c>
      <c r="B110" s="186" t="s">
        <v>384</v>
      </c>
      <c r="C110" s="152"/>
      <c r="D110" s="62">
        <v>2022</v>
      </c>
      <c r="E110" s="63">
        <f t="shared" si="45"/>
        <v>0</v>
      </c>
      <c r="F110" s="63">
        <v>0</v>
      </c>
      <c r="G110" s="63">
        <v>0</v>
      </c>
      <c r="H110" s="63">
        <v>0</v>
      </c>
      <c r="I110" s="63">
        <v>0</v>
      </c>
      <c r="J110" s="63">
        <v>0</v>
      </c>
      <c r="K110" s="86">
        <f t="shared" si="41"/>
        <v>0</v>
      </c>
      <c r="L110" s="185" t="s">
        <v>385</v>
      </c>
      <c r="M110" s="88"/>
      <c r="N110" s="89"/>
      <c r="O110" s="868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68"/>
    </row>
    <row r="111" spans="1:57" s="51" customFormat="1" ht="27.75" customHeight="1">
      <c r="A111" s="155" t="s">
        <v>386</v>
      </c>
      <c r="B111" s="181" t="s">
        <v>387</v>
      </c>
      <c r="C111" s="152"/>
      <c r="D111" s="62">
        <v>2024</v>
      </c>
      <c r="E111" s="63">
        <f t="shared" si="45"/>
        <v>1.5</v>
      </c>
      <c r="F111" s="63">
        <v>1.5</v>
      </c>
      <c r="G111" s="63">
        <v>0</v>
      </c>
      <c r="H111" s="63">
        <v>0</v>
      </c>
      <c r="I111" s="63">
        <v>0</v>
      </c>
      <c r="J111" s="63">
        <v>0</v>
      </c>
      <c r="K111" s="86">
        <f t="shared" si="41"/>
        <v>1.5</v>
      </c>
      <c r="L111" s="185" t="s">
        <v>385</v>
      </c>
      <c r="M111" s="88"/>
      <c r="N111" s="89"/>
      <c r="O111" s="868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68"/>
    </row>
    <row r="112" spans="1:57" s="51" customFormat="1" ht="25.5">
      <c r="A112" s="155" t="s">
        <v>388</v>
      </c>
      <c r="B112" s="181" t="s">
        <v>389</v>
      </c>
      <c r="C112" s="152"/>
      <c r="D112" s="62">
        <v>2028</v>
      </c>
      <c r="E112" s="63">
        <f t="shared" si="45"/>
        <v>2</v>
      </c>
      <c r="F112" s="63">
        <v>2</v>
      </c>
      <c r="G112" s="63">
        <v>0</v>
      </c>
      <c r="H112" s="63">
        <v>0</v>
      </c>
      <c r="I112" s="63">
        <v>0</v>
      </c>
      <c r="J112" s="63">
        <v>0</v>
      </c>
      <c r="K112" s="86">
        <f t="shared" si="41"/>
        <v>2</v>
      </c>
      <c r="L112" s="185" t="s">
        <v>385</v>
      </c>
      <c r="M112" s="88"/>
      <c r="N112" s="89"/>
      <c r="O112" s="868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68"/>
    </row>
    <row r="113" spans="1:57" s="51" customFormat="1" ht="27" customHeight="1">
      <c r="A113" s="155" t="s">
        <v>390</v>
      </c>
      <c r="B113" s="181" t="s">
        <v>391</v>
      </c>
      <c r="C113" s="156"/>
      <c r="D113" s="62">
        <v>2030</v>
      </c>
      <c r="E113" s="63">
        <f t="shared" si="45"/>
        <v>2</v>
      </c>
      <c r="F113" s="63">
        <v>2</v>
      </c>
      <c r="G113" s="63">
        <v>0</v>
      </c>
      <c r="H113" s="63">
        <v>0</v>
      </c>
      <c r="I113" s="63">
        <v>0</v>
      </c>
      <c r="J113" s="63">
        <v>0</v>
      </c>
      <c r="K113" s="86">
        <f t="shared" si="41"/>
        <v>2</v>
      </c>
      <c r="L113" s="185" t="s">
        <v>385</v>
      </c>
      <c r="M113" s="88"/>
      <c r="N113" s="89"/>
      <c r="O113" s="868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68"/>
    </row>
    <row r="114" spans="1:57" s="51" customFormat="1">
      <c r="A114" s="795" t="s">
        <v>392</v>
      </c>
      <c r="B114" s="872" t="s">
        <v>393</v>
      </c>
      <c r="C114" s="838" t="s">
        <v>394</v>
      </c>
      <c r="D114" s="84" t="s">
        <v>16</v>
      </c>
      <c r="E114" s="85">
        <f t="shared" ref="E114:J114" si="46">E115+E116+E117+E118</f>
        <v>1.2239</v>
      </c>
      <c r="F114" s="85">
        <f t="shared" si="46"/>
        <v>1.2239</v>
      </c>
      <c r="G114" s="85">
        <f t="shared" si="46"/>
        <v>0</v>
      </c>
      <c r="H114" s="85">
        <f t="shared" si="46"/>
        <v>0</v>
      </c>
      <c r="I114" s="85">
        <f t="shared" si="46"/>
        <v>0</v>
      </c>
      <c r="J114" s="85">
        <f t="shared" si="46"/>
        <v>0</v>
      </c>
      <c r="K114" s="86">
        <f t="shared" si="41"/>
        <v>1.2239</v>
      </c>
      <c r="L114" s="99"/>
      <c r="M114" s="88"/>
      <c r="N114" s="89"/>
      <c r="O114" s="868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68"/>
    </row>
    <row r="115" spans="1:57" s="51" customFormat="1">
      <c r="A115" s="795"/>
      <c r="B115" s="872"/>
      <c r="C115" s="839"/>
      <c r="D115" s="84">
        <v>2021</v>
      </c>
      <c r="E115" s="63">
        <f t="shared" ref="E115:E122" si="47">F115+G115+H115+I115+J115</f>
        <v>8.09E-2</v>
      </c>
      <c r="F115" s="63">
        <f>F119</f>
        <v>8.09E-2</v>
      </c>
      <c r="G115" s="63">
        <v>0</v>
      </c>
      <c r="H115" s="63">
        <v>0</v>
      </c>
      <c r="I115" s="63">
        <v>0</v>
      </c>
      <c r="J115" s="63">
        <v>0</v>
      </c>
      <c r="K115" s="86">
        <f t="shared" si="41"/>
        <v>8.09E-2</v>
      </c>
      <c r="L115" s="99"/>
      <c r="M115" s="88"/>
      <c r="N115" s="89"/>
      <c r="O115" s="868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68"/>
    </row>
    <row r="116" spans="1:57" s="51" customFormat="1">
      <c r="A116" s="795"/>
      <c r="B116" s="872"/>
      <c r="C116" s="839"/>
      <c r="D116" s="84">
        <v>2024</v>
      </c>
      <c r="E116" s="63">
        <f t="shared" si="47"/>
        <v>0.17299999999999999</v>
      </c>
      <c r="F116" s="63">
        <f>F120</f>
        <v>0.17299999999999999</v>
      </c>
      <c r="G116" s="63">
        <v>0</v>
      </c>
      <c r="H116" s="63">
        <v>0</v>
      </c>
      <c r="I116" s="63">
        <v>0</v>
      </c>
      <c r="J116" s="63">
        <v>0</v>
      </c>
      <c r="K116" s="86">
        <f t="shared" si="41"/>
        <v>0.17299999999999999</v>
      </c>
      <c r="L116" s="99"/>
      <c r="M116" s="88"/>
      <c r="N116" s="89"/>
      <c r="O116" s="868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68"/>
    </row>
    <row r="117" spans="1:57" s="51" customFormat="1">
      <c r="A117" s="795"/>
      <c r="B117" s="872"/>
      <c r="C117" s="839"/>
      <c r="D117" s="84">
        <v>2026</v>
      </c>
      <c r="E117" s="63">
        <f t="shared" si="47"/>
        <v>0.45</v>
      </c>
      <c r="F117" s="63">
        <f>F121</f>
        <v>0.45</v>
      </c>
      <c r="G117" s="63">
        <v>0</v>
      </c>
      <c r="H117" s="63">
        <v>0</v>
      </c>
      <c r="I117" s="63">
        <v>0</v>
      </c>
      <c r="J117" s="63">
        <v>0</v>
      </c>
      <c r="K117" s="86">
        <f t="shared" si="41"/>
        <v>0.45</v>
      </c>
      <c r="L117" s="99"/>
      <c r="M117" s="88"/>
      <c r="N117" s="89"/>
      <c r="O117" s="868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68"/>
    </row>
    <row r="118" spans="1:57" s="51" customFormat="1">
      <c r="A118" s="795"/>
      <c r="B118" s="872"/>
      <c r="C118" s="839"/>
      <c r="D118" s="84">
        <v>2027</v>
      </c>
      <c r="E118" s="63">
        <f t="shared" si="47"/>
        <v>0.52</v>
      </c>
      <c r="F118" s="63">
        <v>0.52</v>
      </c>
      <c r="G118" s="63">
        <v>0</v>
      </c>
      <c r="H118" s="63">
        <v>0</v>
      </c>
      <c r="I118" s="63">
        <v>0</v>
      </c>
      <c r="J118" s="63">
        <v>0</v>
      </c>
      <c r="K118" s="86">
        <f t="shared" si="41"/>
        <v>0.52</v>
      </c>
      <c r="L118" s="99"/>
      <c r="M118" s="88"/>
      <c r="N118" s="89"/>
      <c r="O118" s="868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68"/>
    </row>
    <row r="119" spans="1:57" s="51" customFormat="1" ht="15.75" customHeight="1">
      <c r="A119" s="59" t="s">
        <v>395</v>
      </c>
      <c r="B119" s="60" t="s">
        <v>396</v>
      </c>
      <c r="C119" s="889"/>
      <c r="D119" s="62">
        <v>2021</v>
      </c>
      <c r="E119" s="63">
        <f t="shared" si="47"/>
        <v>8.09E-2</v>
      </c>
      <c r="F119" s="63">
        <v>8.09E-2</v>
      </c>
      <c r="G119" s="63">
        <v>0</v>
      </c>
      <c r="H119" s="63">
        <v>0</v>
      </c>
      <c r="I119" s="63">
        <v>0</v>
      </c>
      <c r="J119" s="63">
        <v>0</v>
      </c>
      <c r="K119" s="86">
        <f t="shared" si="41"/>
        <v>8.09E-2</v>
      </c>
      <c r="L119" s="99"/>
      <c r="M119" s="88"/>
      <c r="N119" s="89"/>
      <c r="O119" s="868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68"/>
    </row>
    <row r="120" spans="1:57" s="51" customFormat="1" ht="15.75" customHeight="1">
      <c r="A120" s="59" t="s">
        <v>397</v>
      </c>
      <c r="B120" s="51" t="s">
        <v>398</v>
      </c>
      <c r="C120" s="889"/>
      <c r="D120" s="62">
        <v>2024</v>
      </c>
      <c r="E120" s="63">
        <f t="shared" si="47"/>
        <v>0.17299999999999999</v>
      </c>
      <c r="F120" s="63">
        <v>0.17299999999999999</v>
      </c>
      <c r="G120" s="63">
        <v>0</v>
      </c>
      <c r="H120" s="63">
        <v>0</v>
      </c>
      <c r="I120" s="63">
        <v>0</v>
      </c>
      <c r="J120" s="63">
        <v>0</v>
      </c>
      <c r="K120" s="86">
        <f t="shared" si="41"/>
        <v>0.17299999999999999</v>
      </c>
      <c r="L120" s="99"/>
      <c r="M120" s="88"/>
      <c r="N120" s="89"/>
      <c r="O120" s="868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68"/>
    </row>
    <row r="121" spans="1:57" s="51" customFormat="1" ht="15.75" customHeight="1">
      <c r="A121" s="59" t="s">
        <v>399</v>
      </c>
      <c r="B121" s="51" t="s">
        <v>400</v>
      </c>
      <c r="C121" s="889"/>
      <c r="D121" s="62">
        <v>2026</v>
      </c>
      <c r="E121" s="63">
        <f t="shared" si="47"/>
        <v>0.45</v>
      </c>
      <c r="F121" s="63">
        <v>0.45</v>
      </c>
      <c r="G121" s="63">
        <v>0</v>
      </c>
      <c r="H121" s="63">
        <v>0</v>
      </c>
      <c r="I121" s="63">
        <v>0</v>
      </c>
      <c r="J121" s="63">
        <v>0</v>
      </c>
      <c r="K121" s="86">
        <f t="shared" si="41"/>
        <v>0.45</v>
      </c>
      <c r="L121" s="99"/>
      <c r="M121" s="88"/>
      <c r="N121" s="89"/>
      <c r="O121" s="868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68"/>
    </row>
    <row r="122" spans="1:57" s="51" customFormat="1" ht="14.25" customHeight="1">
      <c r="A122" s="59" t="s">
        <v>401</v>
      </c>
      <c r="B122" s="51" t="s">
        <v>402</v>
      </c>
      <c r="C122" s="890"/>
      <c r="D122" s="62">
        <v>2027</v>
      </c>
      <c r="E122" s="63">
        <f t="shared" si="47"/>
        <v>0.52</v>
      </c>
      <c r="F122" s="63">
        <v>0.52</v>
      </c>
      <c r="G122" s="63">
        <v>0</v>
      </c>
      <c r="H122" s="63">
        <v>0</v>
      </c>
      <c r="I122" s="63">
        <v>0</v>
      </c>
      <c r="J122" s="63">
        <v>0</v>
      </c>
      <c r="K122" s="86">
        <f t="shared" si="41"/>
        <v>0.52</v>
      </c>
      <c r="L122" s="99"/>
      <c r="M122" s="88"/>
      <c r="N122" s="89"/>
      <c r="O122" s="86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68"/>
    </row>
    <row r="123" spans="1:57" s="51" customFormat="1" ht="12.75" customHeight="1">
      <c r="A123" s="794" t="s">
        <v>403</v>
      </c>
      <c r="B123" s="867" t="s">
        <v>404</v>
      </c>
      <c r="D123" s="84" t="s">
        <v>16</v>
      </c>
      <c r="E123" s="85">
        <f t="shared" ref="E123:J123" si="48">E125+E126+E127+E128+E129+E130+E124</f>
        <v>261.48500000000001</v>
      </c>
      <c r="F123" s="85">
        <f t="shared" si="48"/>
        <v>46.726999999999997</v>
      </c>
      <c r="G123" s="85">
        <f t="shared" si="48"/>
        <v>0</v>
      </c>
      <c r="H123" s="85">
        <f t="shared" si="48"/>
        <v>214.75799999999998</v>
      </c>
      <c r="I123" s="85">
        <f t="shared" si="48"/>
        <v>0</v>
      </c>
      <c r="J123" s="85">
        <f t="shared" si="48"/>
        <v>0</v>
      </c>
      <c r="K123" s="86">
        <f t="shared" si="41"/>
        <v>261.48499999999996</v>
      </c>
      <c r="L123" s="99"/>
      <c r="M123" s="88"/>
      <c r="N123" s="89"/>
      <c r="O123" s="858" t="s">
        <v>405</v>
      </c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68"/>
    </row>
    <row r="124" spans="1:57" s="51" customFormat="1" ht="12.75" customHeight="1">
      <c r="A124" s="795"/>
      <c r="B124" s="872"/>
      <c r="C124" s="187"/>
      <c r="D124" s="62">
        <v>2019</v>
      </c>
      <c r="E124" s="63">
        <f t="shared" ref="E124:J127" si="49">E144</f>
        <v>12.5</v>
      </c>
      <c r="F124" s="63">
        <f t="shared" si="49"/>
        <v>12.5</v>
      </c>
      <c r="G124" s="63">
        <f t="shared" si="49"/>
        <v>0</v>
      </c>
      <c r="H124" s="63">
        <f t="shared" si="49"/>
        <v>0</v>
      </c>
      <c r="I124" s="63">
        <f t="shared" si="49"/>
        <v>0</v>
      </c>
      <c r="J124" s="63">
        <f t="shared" si="49"/>
        <v>0</v>
      </c>
      <c r="K124" s="86"/>
      <c r="L124" s="99"/>
      <c r="M124" s="88"/>
      <c r="N124" s="89"/>
      <c r="O124" s="871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68"/>
    </row>
    <row r="125" spans="1:57" s="51" customFormat="1" ht="12.75" customHeight="1">
      <c r="A125" s="795"/>
      <c r="B125" s="872"/>
      <c r="C125" s="881" t="s">
        <v>406</v>
      </c>
      <c r="D125" s="62">
        <v>2020</v>
      </c>
      <c r="E125" s="63">
        <f t="shared" si="49"/>
        <v>2.9849999999999999</v>
      </c>
      <c r="F125" s="63">
        <f t="shared" si="49"/>
        <v>2.9849999999999999</v>
      </c>
      <c r="G125" s="63">
        <f t="shared" si="49"/>
        <v>0</v>
      </c>
      <c r="H125" s="63">
        <f t="shared" si="49"/>
        <v>0</v>
      </c>
      <c r="I125" s="63">
        <f t="shared" si="49"/>
        <v>0</v>
      </c>
      <c r="J125" s="63">
        <f t="shared" si="49"/>
        <v>0</v>
      </c>
      <c r="K125" s="86">
        <f>F125+G125+H125+I125+J125</f>
        <v>2.9849999999999999</v>
      </c>
      <c r="L125" s="99"/>
      <c r="M125" s="88"/>
      <c r="N125" s="89"/>
      <c r="O125" s="871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68"/>
    </row>
    <row r="126" spans="1:57" s="51" customFormat="1">
      <c r="A126" s="930"/>
      <c r="B126" s="868"/>
      <c r="C126" s="882"/>
      <c r="D126" s="62">
        <v>2021</v>
      </c>
      <c r="E126" s="63">
        <f t="shared" si="49"/>
        <v>0</v>
      </c>
      <c r="F126" s="63">
        <f t="shared" si="49"/>
        <v>0</v>
      </c>
      <c r="G126" s="63">
        <f t="shared" si="49"/>
        <v>0</v>
      </c>
      <c r="H126" s="63">
        <f t="shared" si="49"/>
        <v>0</v>
      </c>
      <c r="I126" s="63">
        <f t="shared" si="49"/>
        <v>0</v>
      </c>
      <c r="J126" s="63">
        <f t="shared" si="49"/>
        <v>0</v>
      </c>
      <c r="K126" s="86">
        <f>F126+G126+H126+I126+J126</f>
        <v>0</v>
      </c>
      <c r="L126" s="185"/>
      <c r="M126" s="88"/>
      <c r="N126" s="89"/>
      <c r="O126" s="871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68"/>
    </row>
    <row r="127" spans="1:57" s="51" customFormat="1">
      <c r="A127" s="930"/>
      <c r="B127" s="868"/>
      <c r="C127" s="882"/>
      <c r="D127" s="62">
        <v>2022</v>
      </c>
      <c r="E127" s="63">
        <f t="shared" si="49"/>
        <v>0</v>
      </c>
      <c r="F127" s="63">
        <f t="shared" si="49"/>
        <v>0</v>
      </c>
      <c r="G127" s="63">
        <f t="shared" si="49"/>
        <v>0</v>
      </c>
      <c r="H127" s="63">
        <f t="shared" si="49"/>
        <v>0</v>
      </c>
      <c r="I127" s="63">
        <f t="shared" si="49"/>
        <v>0</v>
      </c>
      <c r="J127" s="63">
        <f t="shared" si="49"/>
        <v>0</v>
      </c>
      <c r="K127" s="86">
        <f>F127+G127+H127+I127+J127</f>
        <v>0</v>
      </c>
      <c r="L127" s="185"/>
      <c r="M127" s="88"/>
      <c r="N127" s="89"/>
      <c r="O127" s="871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68"/>
    </row>
    <row r="128" spans="1:57" s="51" customFormat="1">
      <c r="A128" s="930"/>
      <c r="B128" s="868"/>
      <c r="C128" s="881" t="s">
        <v>407</v>
      </c>
      <c r="D128" s="62">
        <v>2026</v>
      </c>
      <c r="E128" s="63">
        <f t="shared" ref="E128:I130" si="50">E132+E136+E140</f>
        <v>24.599999999999998</v>
      </c>
      <c r="F128" s="63">
        <f t="shared" si="50"/>
        <v>24.599999999999998</v>
      </c>
      <c r="G128" s="63">
        <f t="shared" si="50"/>
        <v>0</v>
      </c>
      <c r="H128" s="63">
        <f t="shared" si="50"/>
        <v>0</v>
      </c>
      <c r="I128" s="63">
        <f t="shared" si="50"/>
        <v>0</v>
      </c>
      <c r="J128" s="63">
        <f>J138</f>
        <v>0</v>
      </c>
      <c r="K128" s="86">
        <f>F128+G128+H128+I128+J128</f>
        <v>24.599999999999998</v>
      </c>
      <c r="L128" s="185"/>
      <c r="M128" s="88"/>
      <c r="N128" s="89"/>
      <c r="O128" s="871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68"/>
    </row>
    <row r="129" spans="1:57" s="51" customFormat="1">
      <c r="A129" s="189"/>
      <c r="B129" s="94"/>
      <c r="C129" s="882"/>
      <c r="D129" s="62">
        <v>2027</v>
      </c>
      <c r="E129" s="63">
        <f t="shared" si="50"/>
        <v>110.69999999999999</v>
      </c>
      <c r="F129" s="63">
        <f t="shared" si="50"/>
        <v>3.3209999999999997</v>
      </c>
      <c r="G129" s="63">
        <f t="shared" si="50"/>
        <v>0</v>
      </c>
      <c r="H129" s="63">
        <f t="shared" si="50"/>
        <v>107.37899999999999</v>
      </c>
      <c r="I129" s="63">
        <f t="shared" si="50"/>
        <v>0</v>
      </c>
      <c r="J129" s="63">
        <f>J133+J137+J141</f>
        <v>0</v>
      </c>
      <c r="K129" s="86"/>
      <c r="L129" s="191"/>
      <c r="M129" s="88"/>
      <c r="N129" s="111"/>
      <c r="O129" s="871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68"/>
    </row>
    <row r="130" spans="1:57" s="51" customFormat="1">
      <c r="A130" s="189"/>
      <c r="B130" s="94"/>
      <c r="C130" s="964"/>
      <c r="D130" s="62">
        <v>2028</v>
      </c>
      <c r="E130" s="63">
        <f t="shared" si="50"/>
        <v>110.69999999999999</v>
      </c>
      <c r="F130" s="63">
        <f t="shared" si="50"/>
        <v>3.3209999999999997</v>
      </c>
      <c r="G130" s="63">
        <f t="shared" si="50"/>
        <v>0</v>
      </c>
      <c r="H130" s="63">
        <f t="shared" si="50"/>
        <v>107.37899999999999</v>
      </c>
      <c r="I130" s="63">
        <f t="shared" si="50"/>
        <v>0</v>
      </c>
      <c r="J130" s="63">
        <f>J134+J138+J142</f>
        <v>0</v>
      </c>
      <c r="K130" s="86"/>
      <c r="L130" s="191"/>
      <c r="M130" s="88"/>
      <c r="N130" s="111"/>
      <c r="O130" s="871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68"/>
    </row>
    <row r="131" spans="1:57" s="51" customFormat="1">
      <c r="A131" s="794" t="s">
        <v>408</v>
      </c>
      <c r="B131" s="797" t="s">
        <v>409</v>
      </c>
      <c r="C131" s="891" t="s">
        <v>406</v>
      </c>
      <c r="D131" s="193" t="s">
        <v>16</v>
      </c>
      <c r="E131" s="194">
        <f t="shared" ref="E131:J131" si="51">E132+E133+E134</f>
        <v>82</v>
      </c>
      <c r="F131" s="85">
        <f t="shared" si="51"/>
        <v>10.413999999999998</v>
      </c>
      <c r="G131" s="85">
        <f t="shared" si="51"/>
        <v>0</v>
      </c>
      <c r="H131" s="85">
        <f t="shared" si="51"/>
        <v>71.585999999999999</v>
      </c>
      <c r="I131" s="85">
        <f t="shared" si="51"/>
        <v>0</v>
      </c>
      <c r="J131" s="85">
        <f t="shared" si="51"/>
        <v>0</v>
      </c>
      <c r="K131" s="86">
        <f>F131+G131+H131+I131+J131</f>
        <v>82</v>
      </c>
      <c r="L131" s="892" t="s">
        <v>410</v>
      </c>
      <c r="M131" s="195"/>
      <c r="N131" s="875">
        <v>10</v>
      </c>
      <c r="O131" s="871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68"/>
    </row>
    <row r="132" spans="1:57" s="51" customFormat="1">
      <c r="A132" s="795"/>
      <c r="B132" s="828"/>
      <c r="C132" s="891"/>
      <c r="D132" s="197">
        <v>2026</v>
      </c>
      <c r="E132" s="198">
        <f>F132+G132+H132+I132+J132+L132</f>
        <v>8.1999999999999993</v>
      </c>
      <c r="F132" s="63">
        <v>8.1999999999999993</v>
      </c>
      <c r="G132" s="63">
        <v>0</v>
      </c>
      <c r="H132" s="63">
        <v>0</v>
      </c>
      <c r="I132" s="63">
        <v>0</v>
      </c>
      <c r="J132" s="63">
        <v>0</v>
      </c>
      <c r="K132" s="86">
        <f>F132+G132+H132+I132+J132</f>
        <v>8.1999999999999993</v>
      </c>
      <c r="L132" s="893"/>
      <c r="M132" s="195"/>
      <c r="N132" s="876"/>
      <c r="O132" s="871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68"/>
    </row>
    <row r="133" spans="1:57" s="51" customFormat="1">
      <c r="A133" s="795"/>
      <c r="B133" s="828"/>
      <c r="C133" s="891"/>
      <c r="D133" s="197">
        <v>2027</v>
      </c>
      <c r="E133" s="198">
        <f>F133+G133+H133+I133+J133+L133</f>
        <v>36.9</v>
      </c>
      <c r="F133" s="63">
        <v>1.107</v>
      </c>
      <c r="G133" s="63">
        <v>0</v>
      </c>
      <c r="H133" s="63">
        <v>35.792999999999999</v>
      </c>
      <c r="I133" s="63">
        <v>0</v>
      </c>
      <c r="J133" s="63"/>
      <c r="K133" s="86"/>
      <c r="L133" s="199"/>
      <c r="M133" s="195"/>
      <c r="N133" s="200"/>
      <c r="O133" s="871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68"/>
    </row>
    <row r="134" spans="1:57" s="51" customFormat="1">
      <c r="A134" s="835"/>
      <c r="B134" s="829"/>
      <c r="C134" s="891"/>
      <c r="D134" s="197">
        <v>2028</v>
      </c>
      <c r="E134" s="198">
        <f>F134+G134+H134+I134+J134+L134</f>
        <v>36.9</v>
      </c>
      <c r="F134" s="63">
        <v>1.107</v>
      </c>
      <c r="G134" s="63">
        <v>0</v>
      </c>
      <c r="H134" s="63">
        <v>35.792999999999999</v>
      </c>
      <c r="I134" s="63">
        <v>0</v>
      </c>
      <c r="J134" s="63">
        <v>0</v>
      </c>
      <c r="K134" s="86">
        <f t="shared" ref="K134:K143" si="52">F134+G134+H134+I134+J134</f>
        <v>36.9</v>
      </c>
      <c r="L134" s="199"/>
      <c r="M134" s="195"/>
      <c r="N134" s="200"/>
      <c r="O134" s="871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68"/>
    </row>
    <row r="135" spans="1:57" s="51" customFormat="1">
      <c r="A135" s="794" t="s">
        <v>411</v>
      </c>
      <c r="B135" s="797" t="s">
        <v>412</v>
      </c>
      <c r="C135" s="883" t="s">
        <v>407</v>
      </c>
      <c r="D135" s="193" t="s">
        <v>16</v>
      </c>
      <c r="E135" s="194">
        <f t="shared" ref="E135:J135" si="53">E136+E137+E138</f>
        <v>82</v>
      </c>
      <c r="F135" s="85">
        <f t="shared" si="53"/>
        <v>10.413999999999998</v>
      </c>
      <c r="G135" s="85">
        <f t="shared" si="53"/>
        <v>0</v>
      </c>
      <c r="H135" s="85">
        <f t="shared" si="53"/>
        <v>71.585999999999999</v>
      </c>
      <c r="I135" s="85">
        <f t="shared" si="53"/>
        <v>0</v>
      </c>
      <c r="J135" s="85">
        <f t="shared" si="53"/>
        <v>0</v>
      </c>
      <c r="K135" s="86">
        <f t="shared" si="52"/>
        <v>82</v>
      </c>
      <c r="L135" s="892" t="s">
        <v>410</v>
      </c>
      <c r="M135" s="90"/>
      <c r="N135" s="875"/>
      <c r="O135" s="871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68"/>
    </row>
    <row r="136" spans="1:57" s="51" customFormat="1">
      <c r="A136" s="795"/>
      <c r="B136" s="798"/>
      <c r="C136" s="884"/>
      <c r="D136" s="197">
        <v>2026</v>
      </c>
      <c r="E136" s="198">
        <f>F136+G136+H136+I136+J136+L136</f>
        <v>8.1999999999999993</v>
      </c>
      <c r="F136" s="63">
        <v>8.1999999999999993</v>
      </c>
      <c r="G136" s="63">
        <v>0</v>
      </c>
      <c r="H136" s="63">
        <v>0</v>
      </c>
      <c r="I136" s="63">
        <v>0</v>
      </c>
      <c r="J136" s="63">
        <v>0</v>
      </c>
      <c r="K136" s="86">
        <f t="shared" si="52"/>
        <v>8.1999999999999993</v>
      </c>
      <c r="L136" s="894"/>
      <c r="M136" s="90"/>
      <c r="N136" s="877"/>
      <c r="O136" s="871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68"/>
    </row>
    <row r="137" spans="1:57" s="51" customFormat="1">
      <c r="A137" s="795"/>
      <c r="B137" s="798"/>
      <c r="C137" s="884"/>
      <c r="D137" s="197">
        <v>2027</v>
      </c>
      <c r="E137" s="198">
        <f>F137+G137+H137+I137+J137+L137</f>
        <v>36.9</v>
      </c>
      <c r="F137" s="63">
        <v>1.107</v>
      </c>
      <c r="G137" s="63">
        <v>0</v>
      </c>
      <c r="H137" s="63">
        <v>35.792999999999999</v>
      </c>
      <c r="I137" s="63">
        <v>0</v>
      </c>
      <c r="J137" s="63">
        <v>0</v>
      </c>
      <c r="K137" s="86">
        <f t="shared" si="52"/>
        <v>36.9</v>
      </c>
      <c r="L137" s="894"/>
      <c r="M137" s="90"/>
      <c r="N137" s="877"/>
      <c r="O137" s="871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68"/>
    </row>
    <row r="138" spans="1:57" s="51" customFormat="1" ht="21.75" customHeight="1">
      <c r="A138" s="796"/>
      <c r="B138" s="799"/>
      <c r="C138" s="885"/>
      <c r="D138" s="197">
        <v>2028</v>
      </c>
      <c r="E138" s="198">
        <f>F138+G138+H138+I138+J138+L138</f>
        <v>36.9</v>
      </c>
      <c r="F138" s="63">
        <v>1.107</v>
      </c>
      <c r="G138" s="63">
        <v>0</v>
      </c>
      <c r="H138" s="63">
        <v>35.792999999999999</v>
      </c>
      <c r="I138" s="63">
        <v>0</v>
      </c>
      <c r="J138" s="63">
        <v>0</v>
      </c>
      <c r="K138" s="86">
        <f t="shared" si="52"/>
        <v>36.9</v>
      </c>
      <c r="L138" s="893"/>
      <c r="M138" s="90"/>
      <c r="N138" s="876"/>
      <c r="O138" s="871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68"/>
    </row>
    <row r="139" spans="1:57" s="51" customFormat="1">
      <c r="A139" s="794" t="s">
        <v>413</v>
      </c>
      <c r="B139" s="797" t="s">
        <v>414</v>
      </c>
      <c r="C139" s="883" t="s">
        <v>407</v>
      </c>
      <c r="D139" s="193" t="s">
        <v>16</v>
      </c>
      <c r="E139" s="194">
        <f t="shared" ref="E139:J139" si="54">E140+E141+E142</f>
        <v>82</v>
      </c>
      <c r="F139" s="85">
        <f t="shared" si="54"/>
        <v>10.413999999999998</v>
      </c>
      <c r="G139" s="85">
        <f t="shared" si="54"/>
        <v>0</v>
      </c>
      <c r="H139" s="85">
        <f t="shared" si="54"/>
        <v>71.585999999999999</v>
      </c>
      <c r="I139" s="85">
        <f t="shared" si="54"/>
        <v>0</v>
      </c>
      <c r="J139" s="85">
        <f t="shared" si="54"/>
        <v>0</v>
      </c>
      <c r="K139" s="86">
        <f t="shared" si="52"/>
        <v>82</v>
      </c>
      <c r="L139" s="892" t="s">
        <v>410</v>
      </c>
      <c r="M139" s="90"/>
      <c r="N139" s="89"/>
      <c r="O139" s="871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68"/>
    </row>
    <row r="140" spans="1:57" s="51" customFormat="1">
      <c r="A140" s="795"/>
      <c r="B140" s="798"/>
      <c r="C140" s="884"/>
      <c r="D140" s="197">
        <v>2026</v>
      </c>
      <c r="E140" s="198">
        <f>F140+G140+H140+I140+J140+L140</f>
        <v>8.1999999999999993</v>
      </c>
      <c r="F140" s="63">
        <v>8.1999999999999993</v>
      </c>
      <c r="G140" s="63">
        <v>0</v>
      </c>
      <c r="H140" s="63">
        <v>0</v>
      </c>
      <c r="I140" s="63">
        <v>0</v>
      </c>
      <c r="J140" s="63">
        <v>0</v>
      </c>
      <c r="K140" s="86">
        <f t="shared" si="52"/>
        <v>8.1999999999999993</v>
      </c>
      <c r="L140" s="894"/>
      <c r="M140" s="90"/>
      <c r="N140" s="89"/>
      <c r="O140" s="871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68"/>
    </row>
    <row r="141" spans="1:57" s="51" customFormat="1">
      <c r="A141" s="795"/>
      <c r="B141" s="798"/>
      <c r="C141" s="884"/>
      <c r="D141" s="197">
        <v>2027</v>
      </c>
      <c r="E141" s="198">
        <f>F141+G141+H141+I141+J141+L141</f>
        <v>36.9</v>
      </c>
      <c r="F141" s="63">
        <v>1.107</v>
      </c>
      <c r="G141" s="63">
        <v>0</v>
      </c>
      <c r="H141" s="63">
        <v>35.792999999999999</v>
      </c>
      <c r="I141" s="63">
        <v>0</v>
      </c>
      <c r="J141" s="63">
        <v>0</v>
      </c>
      <c r="K141" s="86">
        <f t="shared" si="52"/>
        <v>36.9</v>
      </c>
      <c r="L141" s="894"/>
      <c r="M141" s="90"/>
      <c r="N141" s="89"/>
      <c r="O141" s="871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68"/>
    </row>
    <row r="142" spans="1:57" s="51" customFormat="1">
      <c r="A142" s="795"/>
      <c r="B142" s="798"/>
      <c r="C142" s="885"/>
      <c r="D142" s="197">
        <v>2028</v>
      </c>
      <c r="E142" s="198">
        <f>F142+G142+H142+I142+J142+L142</f>
        <v>36.9</v>
      </c>
      <c r="F142" s="63">
        <v>1.107</v>
      </c>
      <c r="G142" s="63">
        <v>0</v>
      </c>
      <c r="H142" s="63">
        <v>35.792999999999999</v>
      </c>
      <c r="I142" s="63">
        <v>0</v>
      </c>
      <c r="J142" s="63">
        <v>0</v>
      </c>
      <c r="K142" s="86">
        <f t="shared" si="52"/>
        <v>36.9</v>
      </c>
      <c r="L142" s="894"/>
      <c r="M142" s="90"/>
      <c r="N142" s="89"/>
      <c r="O142" s="871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68"/>
    </row>
    <row r="143" spans="1:57" s="202" customFormat="1">
      <c r="A143" s="802" t="s">
        <v>415</v>
      </c>
      <c r="B143" s="830" t="s">
        <v>416</v>
      </c>
      <c r="C143" s="203"/>
      <c r="D143" s="204" t="s">
        <v>16</v>
      </c>
      <c r="E143" s="205">
        <f>E145+E146+E147+E144</f>
        <v>15.484999999999999</v>
      </c>
      <c r="F143" s="205">
        <f>F145+F146+F147+F144</f>
        <v>15.484999999999999</v>
      </c>
      <c r="G143" s="205">
        <f>G145+G146+G147+G144</f>
        <v>0</v>
      </c>
      <c r="H143" s="205">
        <f>H145+H146+H147+H144</f>
        <v>0</v>
      </c>
      <c r="I143" s="205">
        <f>I145+I146+I147</f>
        <v>0</v>
      </c>
      <c r="J143" s="205">
        <f>J145+J146+J147</f>
        <v>0</v>
      </c>
      <c r="K143" s="120">
        <f t="shared" si="52"/>
        <v>15.484999999999999</v>
      </c>
      <c r="L143" s="851" t="s">
        <v>410</v>
      </c>
      <c r="M143" s="206"/>
      <c r="N143" s="939">
        <v>10</v>
      </c>
      <c r="O143" s="871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8"/>
    </row>
    <row r="144" spans="1:57" s="202" customFormat="1">
      <c r="A144" s="803"/>
      <c r="B144" s="831"/>
      <c r="C144" s="203"/>
      <c r="D144" s="211">
        <v>2019</v>
      </c>
      <c r="E144" s="212">
        <f>F144</f>
        <v>12.5</v>
      </c>
      <c r="F144" s="212">
        <v>12.5</v>
      </c>
      <c r="G144" s="212">
        <v>0</v>
      </c>
      <c r="H144" s="212">
        <v>0</v>
      </c>
      <c r="I144" s="212">
        <v>0</v>
      </c>
      <c r="J144" s="212">
        <v>0</v>
      </c>
      <c r="K144" s="120"/>
      <c r="L144" s="899"/>
      <c r="M144" s="206"/>
      <c r="N144" s="940"/>
      <c r="O144" s="871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  <c r="AU144" s="207"/>
      <c r="AV144" s="207"/>
      <c r="AW144" s="207"/>
      <c r="AX144" s="207"/>
      <c r="AY144" s="207"/>
      <c r="AZ144" s="207"/>
      <c r="BA144" s="207"/>
      <c r="BB144" s="207"/>
      <c r="BC144" s="207"/>
      <c r="BD144" s="207"/>
      <c r="BE144" s="208"/>
    </row>
    <row r="145" spans="1:57" s="202" customFormat="1">
      <c r="A145" s="803"/>
      <c r="B145" s="831"/>
      <c r="C145" s="865" t="s">
        <v>373</v>
      </c>
      <c r="D145" s="211">
        <v>2020</v>
      </c>
      <c r="E145" s="212">
        <f>F145+G145+H145+I145+J145</f>
        <v>2.9849999999999999</v>
      </c>
      <c r="F145" s="212">
        <v>2.9849999999999999</v>
      </c>
      <c r="G145" s="212">
        <v>0</v>
      </c>
      <c r="H145" s="212">
        <v>0</v>
      </c>
      <c r="I145" s="212">
        <v>0</v>
      </c>
      <c r="J145" s="212">
        <v>0</v>
      </c>
      <c r="K145" s="120">
        <f t="shared" ref="K145:K157" si="55">F145+G145+H145+I145+J145</f>
        <v>2.9849999999999999</v>
      </c>
      <c r="L145" s="899"/>
      <c r="M145" s="206"/>
      <c r="N145" s="940"/>
      <c r="O145" s="871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  <c r="AU145" s="207"/>
      <c r="AV145" s="207"/>
      <c r="AW145" s="207"/>
      <c r="AX145" s="207"/>
      <c r="AY145" s="207"/>
      <c r="AZ145" s="207"/>
      <c r="BA145" s="207"/>
      <c r="BB145" s="207"/>
      <c r="BC145" s="207"/>
      <c r="BD145" s="207"/>
      <c r="BE145" s="208"/>
    </row>
    <row r="146" spans="1:57" s="202" customFormat="1">
      <c r="A146" s="803"/>
      <c r="B146" s="831"/>
      <c r="C146" s="886"/>
      <c r="D146" s="214">
        <v>2021</v>
      </c>
      <c r="E146" s="215">
        <f>F146+G146+H146+I146+J146</f>
        <v>0</v>
      </c>
      <c r="F146" s="215">
        <v>0</v>
      </c>
      <c r="G146" s="215">
        <v>0</v>
      </c>
      <c r="H146" s="215">
        <v>0</v>
      </c>
      <c r="I146" s="212">
        <v>0</v>
      </c>
      <c r="J146" s="212">
        <v>0</v>
      </c>
      <c r="K146" s="120">
        <f t="shared" si="55"/>
        <v>0</v>
      </c>
      <c r="L146" s="899"/>
      <c r="M146" s="206"/>
      <c r="N146" s="940"/>
      <c r="O146" s="871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  <c r="AZ146" s="207"/>
      <c r="BA146" s="207"/>
      <c r="BB146" s="207"/>
      <c r="BC146" s="207"/>
      <c r="BD146" s="207"/>
      <c r="BE146" s="208"/>
    </row>
    <row r="147" spans="1:57" s="202" customFormat="1">
      <c r="A147" s="803"/>
      <c r="B147" s="831"/>
      <c r="C147" s="886"/>
      <c r="D147" s="214">
        <v>2022</v>
      </c>
      <c r="E147" s="215">
        <f>F147+G147+H147+I147+J147</f>
        <v>0</v>
      </c>
      <c r="F147" s="215">
        <v>0</v>
      </c>
      <c r="G147" s="215">
        <v>0</v>
      </c>
      <c r="H147" s="215">
        <v>0</v>
      </c>
      <c r="I147" s="212">
        <v>0</v>
      </c>
      <c r="J147" s="212">
        <v>0</v>
      </c>
      <c r="K147" s="120">
        <f t="shared" si="55"/>
        <v>0</v>
      </c>
      <c r="L147" s="852"/>
      <c r="M147" s="206"/>
      <c r="N147" s="940"/>
      <c r="O147" s="871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  <c r="AZ147" s="207"/>
      <c r="BA147" s="207"/>
      <c r="BB147" s="207"/>
      <c r="BC147" s="207"/>
      <c r="BD147" s="207"/>
      <c r="BE147" s="208"/>
    </row>
    <row r="148" spans="1:57" s="51" customFormat="1">
      <c r="A148" s="794" t="s">
        <v>417</v>
      </c>
      <c r="B148" s="830" t="s">
        <v>418</v>
      </c>
      <c r="C148" s="78"/>
      <c r="D148" s="84" t="s">
        <v>16</v>
      </c>
      <c r="E148" s="85">
        <f t="shared" ref="E148:J148" si="56">E149+E151</f>
        <v>141.1328</v>
      </c>
      <c r="F148" s="85">
        <f t="shared" si="56"/>
        <v>3.9755000000000003</v>
      </c>
      <c r="G148" s="85">
        <f t="shared" si="56"/>
        <v>132.35929999999999</v>
      </c>
      <c r="H148" s="85">
        <f t="shared" si="56"/>
        <v>4.798</v>
      </c>
      <c r="I148" s="85">
        <f t="shared" si="56"/>
        <v>0</v>
      </c>
      <c r="J148" s="85">
        <f t="shared" si="56"/>
        <v>0</v>
      </c>
      <c r="K148" s="86">
        <f t="shared" si="55"/>
        <v>141.1328</v>
      </c>
      <c r="L148" s="895" t="s">
        <v>419</v>
      </c>
      <c r="M148" s="88"/>
      <c r="N148" s="875">
        <v>20</v>
      </c>
      <c r="O148" s="871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68"/>
    </row>
    <row r="149" spans="1:57" s="51" customFormat="1" ht="24" customHeight="1">
      <c r="A149" s="795"/>
      <c r="B149" s="831"/>
      <c r="C149" s="60" t="s">
        <v>372</v>
      </c>
      <c r="D149" s="62">
        <v>2019</v>
      </c>
      <c r="E149" s="63">
        <f>F149+G149+H149+I149+J149</f>
        <v>3.2585000000000002</v>
      </c>
      <c r="F149" s="63">
        <v>3.2585000000000002</v>
      </c>
      <c r="G149" s="63">
        <v>0</v>
      </c>
      <c r="H149" s="63">
        <v>0</v>
      </c>
      <c r="I149" s="63">
        <v>0</v>
      </c>
      <c r="J149" s="63">
        <v>0</v>
      </c>
      <c r="K149" s="86">
        <f t="shared" si="55"/>
        <v>3.2585000000000002</v>
      </c>
      <c r="L149" s="896"/>
      <c r="M149" s="88"/>
      <c r="N149" s="877"/>
      <c r="O149" s="871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68"/>
    </row>
    <row r="150" spans="1:57" s="51" customFormat="1">
      <c r="A150" s="795"/>
      <c r="B150" s="831"/>
      <c r="C150" s="218"/>
      <c r="D150" s="211">
        <v>2020</v>
      </c>
      <c r="E150" s="212">
        <f>F150+G150+H150</f>
        <v>56.761800000000001</v>
      </c>
      <c r="F150" s="212">
        <v>0.29520000000000002</v>
      </c>
      <c r="G150" s="212">
        <v>54.491300000000003</v>
      </c>
      <c r="H150" s="212">
        <v>1.9753000000000001</v>
      </c>
      <c r="I150" s="212">
        <v>0</v>
      </c>
      <c r="J150" s="212">
        <v>0</v>
      </c>
      <c r="K150" s="86">
        <f t="shared" si="55"/>
        <v>56.761800000000001</v>
      </c>
      <c r="L150" s="896"/>
      <c r="M150" s="88"/>
      <c r="N150" s="877"/>
      <c r="O150" s="871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68"/>
    </row>
    <row r="151" spans="1:57" s="51" customFormat="1">
      <c r="A151" s="795"/>
      <c r="B151" s="831"/>
      <c r="C151" s="218" t="s">
        <v>420</v>
      </c>
      <c r="D151" s="211">
        <v>2021</v>
      </c>
      <c r="E151" s="212">
        <f>F151+G151+H151+I151+J151</f>
        <v>137.87430000000001</v>
      </c>
      <c r="F151" s="212">
        <v>0.71699999999999997</v>
      </c>
      <c r="G151" s="212">
        <v>132.35929999999999</v>
      </c>
      <c r="H151" s="212">
        <v>4.798</v>
      </c>
      <c r="I151" s="212">
        <v>0</v>
      </c>
      <c r="J151" s="212">
        <v>0</v>
      </c>
      <c r="K151" s="86">
        <f t="shared" si="55"/>
        <v>137.87430000000001</v>
      </c>
      <c r="L151" s="896"/>
      <c r="M151" s="88"/>
      <c r="N151" s="877"/>
      <c r="O151" s="871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68"/>
    </row>
    <row r="152" spans="1:57" s="51" customFormat="1">
      <c r="A152" s="794" t="s">
        <v>421</v>
      </c>
      <c r="B152" s="797" t="s">
        <v>422</v>
      </c>
      <c r="C152" s="867" t="s">
        <v>407</v>
      </c>
      <c r="D152" s="84" t="s">
        <v>16</v>
      </c>
      <c r="E152" s="85">
        <f t="shared" ref="E152:J152" si="57">E153+E154</f>
        <v>88</v>
      </c>
      <c r="F152" s="85">
        <f t="shared" si="57"/>
        <v>8.39</v>
      </c>
      <c r="G152" s="85">
        <f t="shared" si="57"/>
        <v>0</v>
      </c>
      <c r="H152" s="85">
        <f t="shared" si="57"/>
        <v>79.61</v>
      </c>
      <c r="I152" s="85">
        <f t="shared" si="57"/>
        <v>0</v>
      </c>
      <c r="J152" s="85">
        <f t="shared" si="57"/>
        <v>0</v>
      </c>
      <c r="K152" s="86">
        <f t="shared" si="55"/>
        <v>88</v>
      </c>
      <c r="L152" s="895" t="s">
        <v>419</v>
      </c>
      <c r="M152" s="88"/>
      <c r="N152" s="875">
        <v>35</v>
      </c>
      <c r="O152" s="871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68"/>
    </row>
    <row r="153" spans="1:57" s="219" customFormat="1">
      <c r="A153" s="795"/>
      <c r="B153" s="798"/>
      <c r="C153" s="868"/>
      <c r="D153" s="197">
        <v>2026</v>
      </c>
      <c r="E153" s="198">
        <f>F153+G153+H153+I153+J153</f>
        <v>4.2</v>
      </c>
      <c r="F153" s="198">
        <v>4.2</v>
      </c>
      <c r="G153" s="198">
        <v>0</v>
      </c>
      <c r="H153" s="198">
        <v>0</v>
      </c>
      <c r="I153" s="198">
        <v>0</v>
      </c>
      <c r="J153" s="198">
        <v>0</v>
      </c>
      <c r="K153" s="129">
        <f t="shared" si="55"/>
        <v>4.2</v>
      </c>
      <c r="L153" s="896"/>
      <c r="M153" s="220"/>
      <c r="N153" s="877"/>
      <c r="O153" s="871"/>
      <c r="P153" s="221"/>
      <c r="Q153" s="221"/>
      <c r="R153" s="221"/>
      <c r="S153" s="221"/>
      <c r="T153" s="221"/>
      <c r="U153" s="221"/>
      <c r="V153" s="221"/>
      <c r="W153" s="221"/>
      <c r="X153" s="221"/>
      <c r="Y153" s="221"/>
      <c r="Z153" s="221"/>
      <c r="AA153" s="221"/>
      <c r="AB153" s="221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1"/>
      <c r="AW153" s="221"/>
      <c r="AX153" s="221"/>
      <c r="AY153" s="221"/>
      <c r="AZ153" s="221"/>
      <c r="BA153" s="221"/>
      <c r="BB153" s="221"/>
      <c r="BC153" s="221"/>
      <c r="BD153" s="221"/>
      <c r="BE153" s="222"/>
    </row>
    <row r="154" spans="1:57" s="219" customFormat="1">
      <c r="A154" s="796"/>
      <c r="B154" s="799"/>
      <c r="C154" s="869"/>
      <c r="D154" s="197">
        <v>2027</v>
      </c>
      <c r="E154" s="198">
        <f>F154+G154+H154+I154+J154</f>
        <v>83.8</v>
      </c>
      <c r="F154" s="198">
        <v>4.1900000000000004</v>
      </c>
      <c r="G154" s="198">
        <v>0</v>
      </c>
      <c r="H154" s="198">
        <v>79.61</v>
      </c>
      <c r="I154" s="198">
        <v>0</v>
      </c>
      <c r="J154" s="198">
        <v>0</v>
      </c>
      <c r="K154" s="129">
        <f t="shared" si="55"/>
        <v>83.8</v>
      </c>
      <c r="L154" s="897"/>
      <c r="M154" s="220"/>
      <c r="N154" s="876"/>
      <c r="O154" s="871"/>
      <c r="P154" s="221"/>
      <c r="Q154" s="221"/>
      <c r="R154" s="221"/>
      <c r="S154" s="221"/>
      <c r="T154" s="221"/>
      <c r="U154" s="221"/>
      <c r="V154" s="221"/>
      <c r="W154" s="221"/>
      <c r="X154" s="221"/>
      <c r="Y154" s="221"/>
      <c r="Z154" s="221"/>
      <c r="AA154" s="221"/>
      <c r="AB154" s="221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221"/>
      <c r="AZ154" s="221"/>
      <c r="BA154" s="221"/>
      <c r="BB154" s="221"/>
      <c r="BC154" s="221"/>
      <c r="BD154" s="221"/>
      <c r="BE154" s="222"/>
    </row>
    <row r="155" spans="1:57" s="51" customFormat="1" ht="16.5" customHeight="1">
      <c r="A155" s="794" t="s">
        <v>423</v>
      </c>
      <c r="B155" s="797" t="s">
        <v>424</v>
      </c>
      <c r="C155" s="838" t="s">
        <v>407</v>
      </c>
      <c r="D155" s="84" t="s">
        <v>16</v>
      </c>
      <c r="E155" s="85">
        <f t="shared" ref="E155:J155" si="58">E156+E157</f>
        <v>3.8</v>
      </c>
      <c r="F155" s="85">
        <f t="shared" si="58"/>
        <v>0.55000000000000004</v>
      </c>
      <c r="G155" s="85">
        <f t="shared" si="58"/>
        <v>0</v>
      </c>
      <c r="H155" s="85">
        <f t="shared" si="58"/>
        <v>3.25</v>
      </c>
      <c r="I155" s="85">
        <f t="shared" si="58"/>
        <v>0</v>
      </c>
      <c r="J155" s="85">
        <f t="shared" si="58"/>
        <v>0</v>
      </c>
      <c r="K155" s="86">
        <f t="shared" si="55"/>
        <v>3.8</v>
      </c>
      <c r="L155" s="892" t="s">
        <v>425</v>
      </c>
      <c r="M155" s="88"/>
      <c r="N155" s="89"/>
      <c r="O155" s="871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68"/>
    </row>
    <row r="156" spans="1:57" s="219" customFormat="1">
      <c r="A156" s="795"/>
      <c r="B156" s="798"/>
      <c r="C156" s="839"/>
      <c r="D156" s="197">
        <v>2026</v>
      </c>
      <c r="E156" s="198">
        <f>F156+G156+H156+I156+J156</f>
        <v>0.38</v>
      </c>
      <c r="F156" s="198">
        <v>0.38</v>
      </c>
      <c r="G156" s="198">
        <v>0</v>
      </c>
      <c r="H156" s="198">
        <v>0</v>
      </c>
      <c r="I156" s="198">
        <v>0</v>
      </c>
      <c r="J156" s="198">
        <v>0</v>
      </c>
      <c r="K156" s="129">
        <f t="shared" si="55"/>
        <v>0.38</v>
      </c>
      <c r="L156" s="941"/>
      <c r="M156" s="220"/>
      <c r="N156" s="225"/>
      <c r="O156" s="871"/>
      <c r="P156" s="221"/>
      <c r="Q156" s="221"/>
      <c r="R156" s="221"/>
      <c r="S156" s="221"/>
      <c r="T156" s="221"/>
      <c r="U156" s="221"/>
      <c r="V156" s="221"/>
      <c r="W156" s="221"/>
      <c r="X156" s="221"/>
      <c r="Y156" s="221"/>
      <c r="Z156" s="221"/>
      <c r="AA156" s="221"/>
      <c r="AB156" s="221"/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221"/>
      <c r="AY156" s="221"/>
      <c r="AZ156" s="221"/>
      <c r="BA156" s="221"/>
      <c r="BB156" s="221"/>
      <c r="BC156" s="221"/>
      <c r="BD156" s="221"/>
      <c r="BE156" s="222"/>
    </row>
    <row r="157" spans="1:57" s="219" customFormat="1">
      <c r="A157" s="835"/>
      <c r="B157" s="799"/>
      <c r="C157" s="201"/>
      <c r="D157" s="197">
        <v>2027</v>
      </c>
      <c r="E157" s="198">
        <f>F157+G157+H157+I157+J157</f>
        <v>3.42</v>
      </c>
      <c r="F157" s="198">
        <v>0.17</v>
      </c>
      <c r="G157" s="198">
        <v>0</v>
      </c>
      <c r="H157" s="198">
        <f>3.42-F157</f>
        <v>3.25</v>
      </c>
      <c r="I157" s="198">
        <v>0</v>
      </c>
      <c r="J157" s="198">
        <v>0</v>
      </c>
      <c r="K157" s="129">
        <f t="shared" si="55"/>
        <v>3.42</v>
      </c>
      <c r="L157" s="942"/>
      <c r="M157" s="220"/>
      <c r="N157" s="225"/>
      <c r="O157" s="871"/>
      <c r="P157" s="221"/>
      <c r="Q157" s="221"/>
      <c r="R157" s="221"/>
      <c r="S157" s="221"/>
      <c r="T157" s="221"/>
      <c r="U157" s="221"/>
      <c r="V157" s="221"/>
      <c r="W157" s="221"/>
      <c r="X157" s="221"/>
      <c r="Y157" s="221"/>
      <c r="Z157" s="221"/>
      <c r="AA157" s="221"/>
      <c r="AB157" s="221"/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1"/>
      <c r="AW157" s="221"/>
      <c r="AX157" s="221"/>
      <c r="AY157" s="221"/>
      <c r="AZ157" s="221"/>
      <c r="BA157" s="221"/>
      <c r="BB157" s="221"/>
      <c r="BC157" s="221"/>
      <c r="BD157" s="221"/>
      <c r="BE157" s="222"/>
    </row>
    <row r="158" spans="1:57" s="219" customFormat="1" ht="25.5" customHeight="1">
      <c r="A158" s="794" t="s">
        <v>426</v>
      </c>
      <c r="B158" s="805" t="s">
        <v>427</v>
      </c>
      <c r="C158" s="816" t="s">
        <v>428</v>
      </c>
      <c r="D158" s="193" t="s">
        <v>429</v>
      </c>
      <c r="E158" s="198">
        <f>F158+G158+H158+I158+J158</f>
        <v>0</v>
      </c>
      <c r="F158" s="198">
        <v>0</v>
      </c>
      <c r="G158" s="198">
        <v>0</v>
      </c>
      <c r="H158" s="198">
        <v>0</v>
      </c>
      <c r="I158" s="198">
        <v>0</v>
      </c>
      <c r="J158" s="198">
        <v>0</v>
      </c>
      <c r="K158" s="129"/>
      <c r="L158" s="93"/>
      <c r="M158" s="220"/>
      <c r="N158" s="225"/>
      <c r="O158" s="871"/>
      <c r="P158" s="221"/>
      <c r="Q158" s="221"/>
      <c r="R158" s="221"/>
      <c r="S158" s="221"/>
      <c r="T158" s="221"/>
      <c r="U158" s="221"/>
      <c r="V158" s="221"/>
      <c r="W158" s="221"/>
      <c r="X158" s="221"/>
      <c r="Y158" s="221"/>
      <c r="Z158" s="221"/>
      <c r="AA158" s="221"/>
      <c r="AB158" s="221"/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1"/>
      <c r="AW158" s="221"/>
      <c r="AX158" s="221"/>
      <c r="AY158" s="221"/>
      <c r="AZ158" s="221"/>
      <c r="BA158" s="221"/>
      <c r="BB158" s="221"/>
      <c r="BC158" s="221"/>
      <c r="BD158" s="221"/>
      <c r="BE158" s="222"/>
    </row>
    <row r="159" spans="1:57" s="219" customFormat="1">
      <c r="A159" s="795"/>
      <c r="B159" s="806"/>
      <c r="C159" s="821"/>
      <c r="D159" s="197">
        <v>2020</v>
      </c>
      <c r="E159" s="198">
        <f>F159+G159+H159+I159+J159</f>
        <v>0</v>
      </c>
      <c r="F159" s="226">
        <v>0</v>
      </c>
      <c r="G159" s="226">
        <v>0</v>
      </c>
      <c r="H159" s="226">
        <v>0</v>
      </c>
      <c r="I159" s="198">
        <v>0</v>
      </c>
      <c r="J159" s="198">
        <v>0</v>
      </c>
      <c r="K159" s="129"/>
      <c r="L159" s="227" t="s">
        <v>430</v>
      </c>
      <c r="M159" s="220"/>
      <c r="N159" s="225"/>
      <c r="O159" s="871"/>
      <c r="P159" s="221"/>
      <c r="Q159" s="221"/>
      <c r="R159" s="221"/>
      <c r="S159" s="221"/>
      <c r="T159" s="221"/>
      <c r="U159" s="221"/>
      <c r="V159" s="221"/>
      <c r="W159" s="221"/>
      <c r="X159" s="221"/>
      <c r="Y159" s="221"/>
      <c r="Z159" s="221"/>
      <c r="AA159" s="221"/>
      <c r="AB159" s="221"/>
      <c r="AC159" s="221"/>
      <c r="AD159" s="221"/>
      <c r="AE159" s="221"/>
      <c r="AF159" s="221"/>
      <c r="AG159" s="221"/>
      <c r="AH159" s="221"/>
      <c r="AI159" s="221"/>
      <c r="AJ159" s="221"/>
      <c r="AK159" s="221"/>
      <c r="AL159" s="221"/>
      <c r="AM159" s="221"/>
      <c r="AN159" s="221"/>
      <c r="AO159" s="221"/>
      <c r="AP159" s="221"/>
      <c r="AQ159" s="221"/>
      <c r="AR159" s="221"/>
      <c r="AS159" s="221"/>
      <c r="AT159" s="221"/>
      <c r="AU159" s="221"/>
      <c r="AV159" s="221"/>
      <c r="AW159" s="221"/>
      <c r="AX159" s="221"/>
      <c r="AY159" s="221"/>
      <c r="AZ159" s="221"/>
      <c r="BA159" s="221"/>
      <c r="BB159" s="221"/>
      <c r="BC159" s="221"/>
      <c r="BD159" s="221"/>
      <c r="BE159" s="222"/>
    </row>
    <row r="160" spans="1:57" s="219" customFormat="1">
      <c r="A160" s="835"/>
      <c r="B160" s="807"/>
      <c r="C160" s="821"/>
      <c r="D160" s="197">
        <v>2021</v>
      </c>
      <c r="E160" s="198">
        <f>F160+G160+H160+I160+J160</f>
        <v>0</v>
      </c>
      <c r="F160" s="228">
        <v>0</v>
      </c>
      <c r="G160" s="228">
        <v>0</v>
      </c>
      <c r="H160" s="229">
        <v>0</v>
      </c>
      <c r="I160" s="198">
        <v>0</v>
      </c>
      <c r="J160" s="198">
        <v>0</v>
      </c>
      <c r="K160" s="129"/>
      <c r="L160" s="227"/>
      <c r="M160" s="220"/>
      <c r="N160" s="225"/>
      <c r="O160" s="871"/>
      <c r="P160" s="221"/>
      <c r="Q160" s="221"/>
      <c r="R160" s="221"/>
      <c r="S160" s="221"/>
      <c r="T160" s="221"/>
      <c r="U160" s="221"/>
      <c r="V160" s="221"/>
      <c r="W160" s="221"/>
      <c r="X160" s="221"/>
      <c r="Y160" s="221"/>
      <c r="Z160" s="221"/>
      <c r="AA160" s="221"/>
      <c r="AB160" s="221"/>
      <c r="AC160" s="221"/>
      <c r="AD160" s="221"/>
      <c r="AE160" s="221"/>
      <c r="AF160" s="221"/>
      <c r="AG160" s="221"/>
      <c r="AH160" s="221"/>
      <c r="AI160" s="221"/>
      <c r="AJ160" s="221"/>
      <c r="AK160" s="221"/>
      <c r="AL160" s="221"/>
      <c r="AM160" s="221"/>
      <c r="AN160" s="221"/>
      <c r="AO160" s="221"/>
      <c r="AP160" s="221"/>
      <c r="AQ160" s="221"/>
      <c r="AR160" s="221"/>
      <c r="AS160" s="221"/>
      <c r="AT160" s="221"/>
      <c r="AU160" s="221"/>
      <c r="AV160" s="221"/>
      <c r="AW160" s="221"/>
      <c r="AX160" s="221"/>
      <c r="AY160" s="221"/>
      <c r="AZ160" s="221"/>
      <c r="BA160" s="221"/>
      <c r="BB160" s="221"/>
      <c r="BC160" s="221"/>
      <c r="BD160" s="221"/>
      <c r="BE160" s="222"/>
    </row>
    <row r="161" spans="1:57" s="219" customFormat="1">
      <c r="A161" s="794" t="s">
        <v>431</v>
      </c>
      <c r="B161" s="808" t="s">
        <v>432</v>
      </c>
      <c r="C161" s="821"/>
      <c r="D161" s="193" t="s">
        <v>429</v>
      </c>
      <c r="E161" s="198">
        <v>0</v>
      </c>
      <c r="F161" s="228">
        <v>0</v>
      </c>
      <c r="G161" s="228">
        <v>0</v>
      </c>
      <c r="H161" s="229">
        <v>0</v>
      </c>
      <c r="I161" s="198">
        <v>0</v>
      </c>
      <c r="J161" s="198">
        <v>0</v>
      </c>
      <c r="K161" s="129"/>
      <c r="L161" s="227"/>
      <c r="M161" s="220"/>
      <c r="N161" s="225"/>
      <c r="O161" s="871"/>
      <c r="P161" s="221"/>
      <c r="Q161" s="221"/>
      <c r="R161" s="221"/>
      <c r="S161" s="221"/>
      <c r="T161" s="221"/>
      <c r="U161" s="221"/>
      <c r="V161" s="221"/>
      <c r="W161" s="221"/>
      <c r="X161" s="221"/>
      <c r="Y161" s="221"/>
      <c r="Z161" s="221"/>
      <c r="AA161" s="221"/>
      <c r="AB161" s="221"/>
      <c r="AC161" s="221"/>
      <c r="AD161" s="221"/>
      <c r="AE161" s="221"/>
      <c r="AF161" s="221"/>
      <c r="AG161" s="221"/>
      <c r="AH161" s="221"/>
      <c r="AI161" s="221"/>
      <c r="AJ161" s="221"/>
      <c r="AK161" s="221"/>
      <c r="AL161" s="221"/>
      <c r="AM161" s="221"/>
      <c r="AN161" s="221"/>
      <c r="AO161" s="221"/>
      <c r="AP161" s="221"/>
      <c r="AQ161" s="221"/>
      <c r="AR161" s="221"/>
      <c r="AS161" s="221"/>
      <c r="AT161" s="221"/>
      <c r="AU161" s="221"/>
      <c r="AV161" s="221"/>
      <c r="AW161" s="221"/>
      <c r="AX161" s="221"/>
      <c r="AY161" s="221"/>
      <c r="AZ161" s="221"/>
      <c r="BA161" s="221"/>
      <c r="BB161" s="221"/>
      <c r="BC161" s="221"/>
      <c r="BD161" s="221"/>
      <c r="BE161" s="222"/>
    </row>
    <row r="162" spans="1:57" s="219" customFormat="1">
      <c r="A162" s="795"/>
      <c r="B162" s="809"/>
      <c r="C162" s="821"/>
      <c r="D162" s="197">
        <v>2020</v>
      </c>
      <c r="E162" s="198">
        <v>0</v>
      </c>
      <c r="F162" s="228">
        <v>0</v>
      </c>
      <c r="G162" s="228">
        <v>0</v>
      </c>
      <c r="H162" s="229">
        <v>0</v>
      </c>
      <c r="I162" s="198">
        <v>0</v>
      </c>
      <c r="J162" s="198">
        <v>0</v>
      </c>
      <c r="K162" s="129"/>
      <c r="L162" s="227" t="s">
        <v>433</v>
      </c>
      <c r="M162" s="220"/>
      <c r="N162" s="225"/>
      <c r="O162" s="871"/>
      <c r="P162" s="221"/>
      <c r="Q162" s="221"/>
      <c r="R162" s="221"/>
      <c r="S162" s="221"/>
      <c r="T162" s="221"/>
      <c r="U162" s="221"/>
      <c r="V162" s="221"/>
      <c r="W162" s="221"/>
      <c r="X162" s="221"/>
      <c r="Y162" s="221"/>
      <c r="Z162" s="221"/>
      <c r="AA162" s="221"/>
      <c r="AB162" s="221"/>
      <c r="AC162" s="221"/>
      <c r="AD162" s="221"/>
      <c r="AE162" s="221"/>
      <c r="AF162" s="221"/>
      <c r="AG162" s="221"/>
      <c r="AH162" s="221"/>
      <c r="AI162" s="221"/>
      <c r="AJ162" s="221"/>
      <c r="AK162" s="221"/>
      <c r="AL162" s="221"/>
      <c r="AM162" s="221"/>
      <c r="AN162" s="221"/>
      <c r="AO162" s="221"/>
      <c r="AP162" s="221"/>
      <c r="AQ162" s="221"/>
      <c r="AR162" s="221"/>
      <c r="AS162" s="221"/>
      <c r="AT162" s="221"/>
      <c r="AU162" s="221"/>
      <c r="AV162" s="221"/>
      <c r="AW162" s="221"/>
      <c r="AX162" s="221"/>
      <c r="AY162" s="221"/>
      <c r="AZ162" s="221"/>
      <c r="BA162" s="221"/>
      <c r="BB162" s="221"/>
      <c r="BC162" s="221"/>
      <c r="BD162" s="221"/>
      <c r="BE162" s="222"/>
    </row>
    <row r="163" spans="1:57" s="219" customFormat="1">
      <c r="A163" s="835"/>
      <c r="B163" s="810"/>
      <c r="C163" s="821"/>
      <c r="D163" s="197">
        <v>2021</v>
      </c>
      <c r="E163" s="198">
        <v>0</v>
      </c>
      <c r="F163" s="228">
        <v>0</v>
      </c>
      <c r="G163" s="228">
        <v>0</v>
      </c>
      <c r="H163" s="229">
        <v>0</v>
      </c>
      <c r="I163" s="198">
        <v>0</v>
      </c>
      <c r="J163" s="198">
        <v>0</v>
      </c>
      <c r="K163" s="129"/>
      <c r="L163" s="227"/>
      <c r="M163" s="220"/>
      <c r="N163" s="225"/>
      <c r="O163" s="871"/>
      <c r="P163" s="221"/>
      <c r="Q163" s="221"/>
      <c r="R163" s="221"/>
      <c r="S163" s="221"/>
      <c r="T163" s="221"/>
      <c r="U163" s="221"/>
      <c r="V163" s="221"/>
      <c r="W163" s="221"/>
      <c r="X163" s="221"/>
      <c r="Y163" s="221"/>
      <c r="Z163" s="221"/>
      <c r="AA163" s="221"/>
      <c r="AB163" s="221"/>
      <c r="AC163" s="221"/>
      <c r="AD163" s="221"/>
      <c r="AE163" s="221"/>
      <c r="AF163" s="221"/>
      <c r="AG163" s="221"/>
      <c r="AH163" s="221"/>
      <c r="AI163" s="221"/>
      <c r="AJ163" s="221"/>
      <c r="AK163" s="221"/>
      <c r="AL163" s="221"/>
      <c r="AM163" s="221"/>
      <c r="AN163" s="221"/>
      <c r="AO163" s="221"/>
      <c r="AP163" s="221"/>
      <c r="AQ163" s="221"/>
      <c r="AR163" s="221"/>
      <c r="AS163" s="221"/>
      <c r="AT163" s="221"/>
      <c r="AU163" s="221"/>
      <c r="AV163" s="221"/>
      <c r="AW163" s="221"/>
      <c r="AX163" s="221"/>
      <c r="AY163" s="221"/>
      <c r="AZ163" s="221"/>
      <c r="BA163" s="221"/>
      <c r="BB163" s="221"/>
      <c r="BC163" s="221"/>
      <c r="BD163" s="221"/>
      <c r="BE163" s="222"/>
    </row>
    <row r="164" spans="1:57" s="219" customFormat="1" ht="12.75" customHeight="1">
      <c r="A164" s="946" t="s">
        <v>434</v>
      </c>
      <c r="B164" s="805" t="s">
        <v>435</v>
      </c>
      <c r="C164" s="821"/>
      <c r="D164" s="193" t="s">
        <v>429</v>
      </c>
      <c r="E164" s="198">
        <v>0</v>
      </c>
      <c r="F164" s="228">
        <v>0</v>
      </c>
      <c r="G164" s="228">
        <v>0</v>
      </c>
      <c r="H164" s="229">
        <v>0</v>
      </c>
      <c r="I164" s="198">
        <v>0</v>
      </c>
      <c r="J164" s="198">
        <v>0</v>
      </c>
      <c r="K164" s="129"/>
      <c r="L164" s="227"/>
      <c r="M164" s="220"/>
      <c r="N164" s="225"/>
      <c r="O164" s="871"/>
      <c r="P164" s="221"/>
      <c r="Q164" s="221"/>
      <c r="R164" s="221"/>
      <c r="S164" s="221"/>
      <c r="T164" s="221"/>
      <c r="U164" s="221"/>
      <c r="V164" s="221"/>
      <c r="W164" s="221"/>
      <c r="X164" s="221"/>
      <c r="Y164" s="221"/>
      <c r="Z164" s="221"/>
      <c r="AA164" s="221"/>
      <c r="AB164" s="221"/>
      <c r="AC164" s="221"/>
      <c r="AD164" s="221"/>
      <c r="AE164" s="221"/>
      <c r="AF164" s="221"/>
      <c r="AG164" s="221"/>
      <c r="AH164" s="221"/>
      <c r="AI164" s="221"/>
      <c r="AJ164" s="221"/>
      <c r="AK164" s="221"/>
      <c r="AL164" s="221"/>
      <c r="AM164" s="221"/>
      <c r="AN164" s="221"/>
      <c r="AO164" s="221"/>
      <c r="AP164" s="221"/>
      <c r="AQ164" s="221"/>
      <c r="AR164" s="221"/>
      <c r="AS164" s="221"/>
      <c r="AT164" s="221"/>
      <c r="AU164" s="221"/>
      <c r="AV164" s="221"/>
      <c r="AW164" s="221"/>
      <c r="AX164" s="221"/>
      <c r="AY164" s="221"/>
      <c r="AZ164" s="221"/>
      <c r="BA164" s="221"/>
      <c r="BB164" s="221"/>
      <c r="BC164" s="221"/>
      <c r="BD164" s="221"/>
      <c r="BE164" s="222"/>
    </row>
    <row r="165" spans="1:57" s="219" customFormat="1">
      <c r="A165" s="946"/>
      <c r="B165" s="806"/>
      <c r="C165" s="821"/>
      <c r="D165" s="197">
        <v>2020</v>
      </c>
      <c r="E165" s="198">
        <v>0</v>
      </c>
      <c r="F165" s="198">
        <v>0</v>
      </c>
      <c r="G165" s="198">
        <v>0</v>
      </c>
      <c r="H165" s="198">
        <v>0</v>
      </c>
      <c r="I165" s="198">
        <v>0</v>
      </c>
      <c r="J165" s="198">
        <v>0</v>
      </c>
      <c r="K165" s="129"/>
      <c r="L165" s="227" t="s">
        <v>436</v>
      </c>
      <c r="M165" s="220"/>
      <c r="N165" s="225"/>
      <c r="O165" s="871"/>
      <c r="P165" s="221"/>
      <c r="Q165" s="221"/>
      <c r="R165" s="221"/>
      <c r="S165" s="221"/>
      <c r="T165" s="221"/>
      <c r="U165" s="221"/>
      <c r="V165" s="221"/>
      <c r="W165" s="221"/>
      <c r="X165" s="221"/>
      <c r="Y165" s="221"/>
      <c r="Z165" s="221"/>
      <c r="AA165" s="221"/>
      <c r="AB165" s="221"/>
      <c r="AC165" s="221"/>
      <c r="AD165" s="221"/>
      <c r="AE165" s="221"/>
      <c r="AF165" s="221"/>
      <c r="AG165" s="221"/>
      <c r="AH165" s="221"/>
      <c r="AI165" s="221"/>
      <c r="AJ165" s="221"/>
      <c r="AK165" s="221"/>
      <c r="AL165" s="221"/>
      <c r="AM165" s="221"/>
      <c r="AN165" s="221"/>
      <c r="AO165" s="221"/>
      <c r="AP165" s="221"/>
      <c r="AQ165" s="221"/>
      <c r="AR165" s="221"/>
      <c r="AS165" s="221"/>
      <c r="AT165" s="221"/>
      <c r="AU165" s="221"/>
      <c r="AV165" s="221"/>
      <c r="AW165" s="221"/>
      <c r="AX165" s="221"/>
      <c r="AY165" s="221"/>
      <c r="AZ165" s="221"/>
      <c r="BA165" s="221"/>
      <c r="BB165" s="221"/>
      <c r="BC165" s="221"/>
      <c r="BD165" s="221"/>
      <c r="BE165" s="222"/>
    </row>
    <row r="166" spans="1:57" s="219" customFormat="1">
      <c r="A166" s="946"/>
      <c r="B166" s="807"/>
      <c r="C166" s="821"/>
      <c r="D166" s="197">
        <v>2021</v>
      </c>
      <c r="E166" s="198">
        <v>0</v>
      </c>
      <c r="F166" s="198">
        <v>0</v>
      </c>
      <c r="G166" s="198">
        <v>0</v>
      </c>
      <c r="H166" s="198">
        <v>0</v>
      </c>
      <c r="I166" s="198">
        <v>0</v>
      </c>
      <c r="J166" s="198">
        <v>0</v>
      </c>
      <c r="K166" s="129"/>
      <c r="L166" s="227"/>
      <c r="M166" s="220"/>
      <c r="N166" s="225"/>
      <c r="O166" s="871"/>
      <c r="P166" s="221"/>
      <c r="Q166" s="221"/>
      <c r="R166" s="221"/>
      <c r="S166" s="221"/>
      <c r="T166" s="221"/>
      <c r="U166" s="221"/>
      <c r="V166" s="221"/>
      <c r="W166" s="221"/>
      <c r="X166" s="221"/>
      <c r="Y166" s="221"/>
      <c r="Z166" s="221"/>
      <c r="AA166" s="221"/>
      <c r="AB166" s="221"/>
      <c r="AC166" s="221"/>
      <c r="AD166" s="221"/>
      <c r="AE166" s="221"/>
      <c r="AF166" s="221"/>
      <c r="AG166" s="221"/>
      <c r="AH166" s="221"/>
      <c r="AI166" s="221"/>
      <c r="AJ166" s="221"/>
      <c r="AK166" s="221"/>
      <c r="AL166" s="221"/>
      <c r="AM166" s="221"/>
      <c r="AN166" s="221"/>
      <c r="AO166" s="221"/>
      <c r="AP166" s="221"/>
      <c r="AQ166" s="221"/>
      <c r="AR166" s="221"/>
      <c r="AS166" s="221"/>
      <c r="AT166" s="221"/>
      <c r="AU166" s="221"/>
      <c r="AV166" s="221"/>
      <c r="AW166" s="221"/>
      <c r="AX166" s="221"/>
      <c r="AY166" s="221"/>
      <c r="AZ166" s="221"/>
      <c r="BA166" s="221"/>
      <c r="BB166" s="221"/>
      <c r="BC166" s="221"/>
      <c r="BD166" s="221"/>
      <c r="BE166" s="222"/>
    </row>
    <row r="167" spans="1:57" s="219" customFormat="1">
      <c r="A167" s="794" t="s">
        <v>437</v>
      </c>
      <c r="B167" s="230" t="s">
        <v>438</v>
      </c>
      <c r="C167" s="821"/>
      <c r="D167" s="193" t="s">
        <v>429</v>
      </c>
      <c r="E167" s="198">
        <v>0</v>
      </c>
      <c r="F167" s="198">
        <v>0</v>
      </c>
      <c r="G167" s="198">
        <v>0</v>
      </c>
      <c r="H167" s="198">
        <v>0</v>
      </c>
      <c r="I167" s="198">
        <v>0</v>
      </c>
      <c r="J167" s="198">
        <v>0</v>
      </c>
      <c r="K167" s="129"/>
      <c r="L167" s="227"/>
      <c r="M167" s="220"/>
      <c r="N167" s="225"/>
      <c r="O167" s="871"/>
      <c r="P167" s="221"/>
      <c r="Q167" s="221"/>
      <c r="R167" s="221"/>
      <c r="S167" s="221"/>
      <c r="T167" s="221"/>
      <c r="U167" s="221"/>
      <c r="V167" s="221"/>
      <c r="W167" s="221"/>
      <c r="X167" s="221"/>
      <c r="Y167" s="221"/>
      <c r="Z167" s="221"/>
      <c r="AA167" s="221"/>
      <c r="AB167" s="221"/>
      <c r="AC167" s="221"/>
      <c r="AD167" s="221"/>
      <c r="AE167" s="221"/>
      <c r="AF167" s="221"/>
      <c r="AG167" s="221"/>
      <c r="AH167" s="221"/>
      <c r="AI167" s="221"/>
      <c r="AJ167" s="221"/>
      <c r="AK167" s="221"/>
      <c r="AL167" s="221"/>
      <c r="AM167" s="221"/>
      <c r="AN167" s="221"/>
      <c r="AO167" s="221"/>
      <c r="AP167" s="221"/>
      <c r="AQ167" s="221"/>
      <c r="AR167" s="221"/>
      <c r="AS167" s="221"/>
      <c r="AT167" s="221"/>
      <c r="AU167" s="221"/>
      <c r="AV167" s="221"/>
      <c r="AW167" s="221"/>
      <c r="AX167" s="221"/>
      <c r="AY167" s="221"/>
      <c r="AZ167" s="221"/>
      <c r="BA167" s="221"/>
      <c r="BB167" s="221"/>
      <c r="BC167" s="221"/>
      <c r="BD167" s="221"/>
      <c r="BE167" s="222"/>
    </row>
    <row r="168" spans="1:57" s="219" customFormat="1">
      <c r="A168" s="795"/>
      <c r="B168" s="231"/>
      <c r="C168" s="821"/>
      <c r="D168" s="197">
        <v>2020</v>
      </c>
      <c r="E168" s="198">
        <v>0</v>
      </c>
      <c r="F168" s="198">
        <v>0</v>
      </c>
      <c r="G168" s="198">
        <v>0</v>
      </c>
      <c r="H168" s="198">
        <v>0</v>
      </c>
      <c r="I168" s="198">
        <v>0</v>
      </c>
      <c r="J168" s="198">
        <v>0</v>
      </c>
      <c r="K168" s="129"/>
      <c r="L168" s="227" t="s">
        <v>439</v>
      </c>
      <c r="M168" s="220"/>
      <c r="N168" s="225"/>
      <c r="O168" s="871"/>
      <c r="P168" s="221"/>
      <c r="Q168" s="221"/>
      <c r="R168" s="221"/>
      <c r="S168" s="221"/>
      <c r="T168" s="221"/>
      <c r="U168" s="221"/>
      <c r="V168" s="221"/>
      <c r="W168" s="221"/>
      <c r="X168" s="221"/>
      <c r="Y168" s="221"/>
      <c r="Z168" s="221"/>
      <c r="AA168" s="221"/>
      <c r="AB168" s="221"/>
      <c r="AC168" s="221"/>
      <c r="AD168" s="221"/>
      <c r="AE168" s="221"/>
      <c r="AF168" s="221"/>
      <c r="AG168" s="221"/>
      <c r="AH168" s="221"/>
      <c r="AI168" s="221"/>
      <c r="AJ168" s="221"/>
      <c r="AK168" s="221"/>
      <c r="AL168" s="221"/>
      <c r="AM168" s="221"/>
      <c r="AN168" s="221"/>
      <c r="AO168" s="221"/>
      <c r="AP168" s="221"/>
      <c r="AQ168" s="221"/>
      <c r="AR168" s="221"/>
      <c r="AS168" s="221"/>
      <c r="AT168" s="221"/>
      <c r="AU168" s="221"/>
      <c r="AV168" s="221"/>
      <c r="AW168" s="221"/>
      <c r="AX168" s="221"/>
      <c r="AY168" s="221"/>
      <c r="AZ168" s="221"/>
      <c r="BA168" s="221"/>
      <c r="BB168" s="221"/>
      <c r="BC168" s="221"/>
      <c r="BD168" s="221"/>
      <c r="BE168" s="222"/>
    </row>
    <row r="169" spans="1:57" s="219" customFormat="1">
      <c r="A169" s="835"/>
      <c r="B169" s="232"/>
      <c r="C169" s="821"/>
      <c r="D169" s="197">
        <v>2021</v>
      </c>
      <c r="E169" s="198">
        <v>0</v>
      </c>
      <c r="F169" s="198">
        <v>0</v>
      </c>
      <c r="G169" s="198">
        <v>0</v>
      </c>
      <c r="H169" s="198">
        <v>0</v>
      </c>
      <c r="I169" s="198">
        <v>0</v>
      </c>
      <c r="J169" s="198">
        <v>0</v>
      </c>
      <c r="K169" s="129"/>
      <c r="L169" s="227"/>
      <c r="M169" s="220"/>
      <c r="N169" s="225"/>
      <c r="O169" s="87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AJ169" s="221"/>
      <c r="AK169" s="221"/>
      <c r="AL169" s="221"/>
      <c r="AM169" s="221"/>
      <c r="AN169" s="221"/>
      <c r="AO169" s="221"/>
      <c r="AP169" s="221"/>
      <c r="AQ169" s="221"/>
      <c r="AR169" s="221"/>
      <c r="AS169" s="221"/>
      <c r="AT169" s="221"/>
      <c r="AU169" s="221"/>
      <c r="AV169" s="221"/>
      <c r="AW169" s="221"/>
      <c r="AX169" s="221"/>
      <c r="AY169" s="221"/>
      <c r="AZ169" s="221"/>
      <c r="BA169" s="221"/>
      <c r="BB169" s="221"/>
      <c r="BC169" s="221"/>
      <c r="BD169" s="221"/>
      <c r="BE169" s="222"/>
    </row>
    <row r="170" spans="1:57" s="219" customFormat="1" ht="25.5" customHeight="1">
      <c r="A170" s="794" t="s">
        <v>440</v>
      </c>
      <c r="B170" s="818" t="s">
        <v>441</v>
      </c>
      <c r="C170" s="821"/>
      <c r="D170" s="193" t="s">
        <v>429</v>
      </c>
      <c r="E170" s="198">
        <v>0</v>
      </c>
      <c r="F170" s="198">
        <v>0</v>
      </c>
      <c r="G170" s="198">
        <v>0</v>
      </c>
      <c r="H170" s="198">
        <v>0</v>
      </c>
      <c r="I170" s="198">
        <v>0</v>
      </c>
      <c r="J170" s="198">
        <v>0</v>
      </c>
      <c r="K170" s="129"/>
      <c r="L170" s="227" t="s">
        <v>442</v>
      </c>
      <c r="M170" s="220"/>
      <c r="N170" s="225"/>
      <c r="O170" s="871"/>
      <c r="P170" s="221"/>
      <c r="Q170" s="221"/>
      <c r="R170" s="221"/>
      <c r="S170" s="221"/>
      <c r="T170" s="221"/>
      <c r="U170" s="221"/>
      <c r="V170" s="221"/>
      <c r="W170" s="221"/>
      <c r="X170" s="221"/>
      <c r="Y170" s="221"/>
      <c r="Z170" s="221"/>
      <c r="AA170" s="221"/>
      <c r="AB170" s="221"/>
      <c r="AC170" s="221"/>
      <c r="AD170" s="221"/>
      <c r="AE170" s="221"/>
      <c r="AF170" s="221"/>
      <c r="AG170" s="221"/>
      <c r="AH170" s="221"/>
      <c r="AI170" s="221"/>
      <c r="AJ170" s="221"/>
      <c r="AK170" s="221"/>
      <c r="AL170" s="221"/>
      <c r="AM170" s="221"/>
      <c r="AN170" s="221"/>
      <c r="AO170" s="221"/>
      <c r="AP170" s="221"/>
      <c r="AQ170" s="221"/>
      <c r="AR170" s="221"/>
      <c r="AS170" s="221"/>
      <c r="AT170" s="221"/>
      <c r="AU170" s="221"/>
      <c r="AV170" s="221"/>
      <c r="AW170" s="221"/>
      <c r="AX170" s="221"/>
      <c r="AY170" s="221"/>
      <c r="AZ170" s="221"/>
      <c r="BA170" s="221"/>
      <c r="BB170" s="221"/>
      <c r="BC170" s="221"/>
      <c r="BD170" s="221"/>
      <c r="BE170" s="222"/>
    </row>
    <row r="171" spans="1:57" s="219" customFormat="1">
      <c r="A171" s="795"/>
      <c r="B171" s="819"/>
      <c r="C171" s="821"/>
      <c r="D171" s="197">
        <v>2020</v>
      </c>
      <c r="E171" s="198">
        <v>0</v>
      </c>
      <c r="F171" s="198">
        <v>0</v>
      </c>
      <c r="G171" s="198">
        <v>0</v>
      </c>
      <c r="H171" s="198">
        <v>0</v>
      </c>
      <c r="I171" s="198">
        <v>0</v>
      </c>
      <c r="J171" s="198">
        <v>0</v>
      </c>
      <c r="K171" s="129"/>
      <c r="L171" s="227"/>
      <c r="M171" s="220"/>
      <c r="N171" s="225"/>
      <c r="O171" s="871"/>
      <c r="P171" s="221"/>
      <c r="Q171" s="221"/>
      <c r="R171" s="221"/>
      <c r="S171" s="221"/>
      <c r="T171" s="221"/>
      <c r="U171" s="221"/>
      <c r="V171" s="221"/>
      <c r="W171" s="221"/>
      <c r="X171" s="221"/>
      <c r="Y171" s="221"/>
      <c r="Z171" s="221"/>
      <c r="AA171" s="221"/>
      <c r="AB171" s="221"/>
      <c r="AC171" s="221"/>
      <c r="AD171" s="221"/>
      <c r="AE171" s="221"/>
      <c r="AF171" s="221"/>
      <c r="AG171" s="221"/>
      <c r="AH171" s="221"/>
      <c r="AI171" s="221"/>
      <c r="AJ171" s="221"/>
      <c r="AK171" s="221"/>
      <c r="AL171" s="221"/>
      <c r="AM171" s="221"/>
      <c r="AN171" s="221"/>
      <c r="AO171" s="221"/>
      <c r="AP171" s="221"/>
      <c r="AQ171" s="221"/>
      <c r="AR171" s="221"/>
      <c r="AS171" s="221"/>
      <c r="AT171" s="221"/>
      <c r="AU171" s="221"/>
      <c r="AV171" s="221"/>
      <c r="AW171" s="221"/>
      <c r="AX171" s="221"/>
      <c r="AY171" s="221"/>
      <c r="AZ171" s="221"/>
      <c r="BA171" s="221"/>
      <c r="BB171" s="221"/>
      <c r="BC171" s="221"/>
      <c r="BD171" s="221"/>
      <c r="BE171" s="222"/>
    </row>
    <row r="172" spans="1:57" s="219" customFormat="1">
      <c r="A172" s="835"/>
      <c r="B172" s="820"/>
      <c r="C172" s="817"/>
      <c r="D172" s="197">
        <v>2021</v>
      </c>
      <c r="E172" s="198">
        <v>0</v>
      </c>
      <c r="F172" s="198">
        <v>0</v>
      </c>
      <c r="G172" s="198">
        <v>0</v>
      </c>
      <c r="H172" s="198">
        <v>0</v>
      </c>
      <c r="I172" s="198">
        <v>0</v>
      </c>
      <c r="J172" s="198">
        <v>0</v>
      </c>
      <c r="K172" s="129"/>
      <c r="L172" s="227"/>
      <c r="M172" s="220"/>
      <c r="N172" s="225"/>
      <c r="O172" s="87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  <c r="BB172" s="221"/>
      <c r="BC172" s="221"/>
      <c r="BD172" s="221"/>
      <c r="BE172" s="222"/>
    </row>
    <row r="173" spans="1:57" s="219" customFormat="1">
      <c r="A173" s="794" t="s">
        <v>443</v>
      </c>
      <c r="B173" s="815" t="s">
        <v>444</v>
      </c>
      <c r="C173" s="816" t="s">
        <v>445</v>
      </c>
      <c r="D173" s="193" t="s">
        <v>429</v>
      </c>
      <c r="E173" s="198">
        <v>0</v>
      </c>
      <c r="F173" s="198">
        <v>0</v>
      </c>
      <c r="G173" s="198">
        <v>0</v>
      </c>
      <c r="H173" s="198">
        <v>0</v>
      </c>
      <c r="I173" s="198">
        <v>0</v>
      </c>
      <c r="J173" s="198">
        <v>0</v>
      </c>
      <c r="K173" s="129"/>
      <c r="L173" s="227"/>
      <c r="M173" s="220"/>
      <c r="N173" s="225"/>
      <c r="O173" s="87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2"/>
    </row>
    <row r="174" spans="1:57" s="219" customFormat="1">
      <c r="A174" s="795"/>
      <c r="B174" s="815"/>
      <c r="C174" s="817"/>
      <c r="D174" s="197">
        <v>2023</v>
      </c>
      <c r="E174" s="198">
        <v>0</v>
      </c>
      <c r="F174" s="198">
        <v>0</v>
      </c>
      <c r="G174" s="198">
        <v>0</v>
      </c>
      <c r="H174" s="198">
        <v>0</v>
      </c>
      <c r="I174" s="198">
        <v>0</v>
      </c>
      <c r="J174" s="198">
        <v>0</v>
      </c>
      <c r="K174" s="129"/>
      <c r="L174" s="227" t="s">
        <v>446</v>
      </c>
      <c r="M174" s="220"/>
      <c r="N174" s="225"/>
      <c r="O174" s="87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  <c r="AA174" s="221"/>
      <c r="AB174" s="221"/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  <c r="BB174" s="221"/>
      <c r="BC174" s="221"/>
      <c r="BD174" s="221"/>
      <c r="BE174" s="222"/>
    </row>
    <row r="175" spans="1:57" s="219" customFormat="1">
      <c r="A175" s="946" t="s">
        <v>447</v>
      </c>
      <c r="B175" s="815" t="s">
        <v>448</v>
      </c>
      <c r="C175" s="816" t="s">
        <v>445</v>
      </c>
      <c r="D175" s="193" t="s">
        <v>429</v>
      </c>
      <c r="E175" s="198">
        <v>0</v>
      </c>
      <c r="F175" s="198">
        <v>0</v>
      </c>
      <c r="G175" s="198">
        <v>0</v>
      </c>
      <c r="H175" s="198">
        <v>0</v>
      </c>
      <c r="I175" s="198">
        <v>0</v>
      </c>
      <c r="J175" s="198">
        <v>0</v>
      </c>
      <c r="K175" s="129"/>
      <c r="L175" s="227"/>
      <c r="M175" s="220"/>
      <c r="N175" s="225"/>
      <c r="O175" s="87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  <c r="AA175" s="221"/>
      <c r="AB175" s="221"/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  <c r="BB175" s="221"/>
      <c r="BC175" s="221"/>
      <c r="BD175" s="221"/>
      <c r="BE175" s="222"/>
    </row>
    <row r="176" spans="1:57" s="219" customFormat="1">
      <c r="A176" s="946"/>
      <c r="B176" s="815"/>
      <c r="C176" s="817"/>
      <c r="D176" s="197">
        <v>2024</v>
      </c>
      <c r="E176" s="198">
        <v>0</v>
      </c>
      <c r="F176" s="198">
        <v>0</v>
      </c>
      <c r="G176" s="198">
        <v>0</v>
      </c>
      <c r="H176" s="198">
        <v>0</v>
      </c>
      <c r="I176" s="198">
        <v>0</v>
      </c>
      <c r="J176" s="198">
        <v>0</v>
      </c>
      <c r="K176" s="129"/>
      <c r="L176" s="227" t="s">
        <v>449</v>
      </c>
      <c r="M176" s="220"/>
      <c r="N176" s="225"/>
      <c r="O176" s="87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  <c r="AA176" s="221"/>
      <c r="AB176" s="221"/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  <c r="BB176" s="221"/>
      <c r="BC176" s="221"/>
      <c r="BD176" s="221"/>
      <c r="BE176" s="222"/>
    </row>
    <row r="177" spans="1:57" s="219" customFormat="1">
      <c r="A177" s="151" t="s">
        <v>450</v>
      </c>
      <c r="B177" s="815" t="s">
        <v>444</v>
      </c>
      <c r="C177" s="816" t="s">
        <v>407</v>
      </c>
      <c r="D177" s="193" t="s">
        <v>429</v>
      </c>
      <c r="E177" s="198">
        <f t="shared" ref="E177:J177" si="59">E178</f>
        <v>0</v>
      </c>
      <c r="F177" s="198">
        <f t="shared" si="59"/>
        <v>0</v>
      </c>
      <c r="G177" s="198">
        <f t="shared" si="59"/>
        <v>0</v>
      </c>
      <c r="H177" s="198">
        <f t="shared" si="59"/>
        <v>0</v>
      </c>
      <c r="I177" s="198">
        <f t="shared" si="59"/>
        <v>0</v>
      </c>
      <c r="J177" s="198">
        <f t="shared" si="59"/>
        <v>0</v>
      </c>
      <c r="K177" s="129"/>
      <c r="L177" s="227"/>
      <c r="M177" s="220"/>
      <c r="N177" s="225"/>
      <c r="O177" s="87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  <c r="AA177" s="221"/>
      <c r="AB177" s="221"/>
      <c r="AC177" s="221"/>
      <c r="AD177" s="221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  <c r="BB177" s="221"/>
      <c r="BC177" s="221"/>
      <c r="BD177" s="221"/>
      <c r="BE177" s="222"/>
    </row>
    <row r="178" spans="1:57" s="219" customFormat="1">
      <c r="A178" s="96"/>
      <c r="B178" s="815"/>
      <c r="C178" s="817"/>
      <c r="D178" s="197">
        <v>2028</v>
      </c>
      <c r="E178" s="198">
        <v>0</v>
      </c>
      <c r="F178" s="198">
        <v>0</v>
      </c>
      <c r="G178" s="198">
        <v>0</v>
      </c>
      <c r="H178" s="198">
        <v>0</v>
      </c>
      <c r="I178" s="198">
        <v>0</v>
      </c>
      <c r="J178" s="198">
        <v>0</v>
      </c>
      <c r="K178" s="129"/>
      <c r="L178" s="227" t="s">
        <v>419</v>
      </c>
      <c r="M178" s="220"/>
      <c r="N178" s="225"/>
      <c r="O178" s="87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  <c r="AA178" s="221"/>
      <c r="AB178" s="221"/>
      <c r="AC178" s="221"/>
      <c r="AD178" s="221"/>
      <c r="AE178" s="221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  <c r="AT178" s="221"/>
      <c r="AU178" s="221"/>
      <c r="AV178" s="221"/>
      <c r="AW178" s="221"/>
      <c r="AX178" s="221"/>
      <c r="AY178" s="221"/>
      <c r="AZ178" s="221"/>
      <c r="BA178" s="221"/>
      <c r="BB178" s="221"/>
      <c r="BC178" s="221"/>
      <c r="BD178" s="221"/>
      <c r="BE178" s="222"/>
    </row>
    <row r="179" spans="1:57" s="219" customFormat="1">
      <c r="A179" s="151" t="s">
        <v>451</v>
      </c>
      <c r="B179" s="815" t="s">
        <v>444</v>
      </c>
      <c r="C179" s="816" t="s">
        <v>407</v>
      </c>
      <c r="D179" s="193" t="s">
        <v>429</v>
      </c>
      <c r="E179" s="198">
        <f t="shared" ref="E179:J179" si="60">E180</f>
        <v>0</v>
      </c>
      <c r="F179" s="198">
        <f t="shared" si="60"/>
        <v>0</v>
      </c>
      <c r="G179" s="198">
        <f t="shared" si="60"/>
        <v>0</v>
      </c>
      <c r="H179" s="198">
        <f t="shared" si="60"/>
        <v>0</v>
      </c>
      <c r="I179" s="198">
        <f t="shared" si="60"/>
        <v>0</v>
      </c>
      <c r="J179" s="198">
        <f t="shared" si="60"/>
        <v>0</v>
      </c>
      <c r="K179" s="129"/>
      <c r="L179" s="93"/>
      <c r="M179" s="220"/>
      <c r="N179" s="225"/>
      <c r="O179" s="87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  <c r="AA179" s="221"/>
      <c r="AB179" s="221"/>
      <c r="AC179" s="221"/>
      <c r="AD179" s="221"/>
      <c r="AE179" s="221"/>
      <c r="AF179" s="221"/>
      <c r="AG179" s="221"/>
      <c r="AH179" s="221"/>
      <c r="AI179" s="221"/>
      <c r="AJ179" s="221"/>
      <c r="AK179" s="221"/>
      <c r="AL179" s="221"/>
      <c r="AM179" s="221"/>
      <c r="AN179" s="221"/>
      <c r="AO179" s="221"/>
      <c r="AP179" s="221"/>
      <c r="AQ179" s="221"/>
      <c r="AR179" s="221"/>
      <c r="AS179" s="221"/>
      <c r="AT179" s="221"/>
      <c r="AU179" s="221"/>
      <c r="AV179" s="221"/>
      <c r="AW179" s="221"/>
      <c r="AX179" s="221"/>
      <c r="AY179" s="221"/>
      <c r="AZ179" s="221"/>
      <c r="BA179" s="221"/>
      <c r="BB179" s="221"/>
      <c r="BC179" s="221"/>
      <c r="BD179" s="221"/>
      <c r="BE179" s="222"/>
    </row>
    <row r="180" spans="1:57" s="219" customFormat="1">
      <c r="A180" s="151"/>
      <c r="B180" s="815"/>
      <c r="C180" s="817"/>
      <c r="D180" s="197">
        <v>2029</v>
      </c>
      <c r="E180" s="198">
        <v>0</v>
      </c>
      <c r="F180" s="198">
        <v>0</v>
      </c>
      <c r="G180" s="198">
        <v>0</v>
      </c>
      <c r="H180" s="198">
        <v>0</v>
      </c>
      <c r="I180" s="198">
        <v>0</v>
      </c>
      <c r="J180" s="198">
        <v>0</v>
      </c>
      <c r="K180" s="129"/>
      <c r="L180" s="93"/>
      <c r="M180" s="220"/>
      <c r="N180" s="225"/>
      <c r="O180" s="87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  <c r="AA180" s="221"/>
      <c r="AB180" s="221"/>
      <c r="AC180" s="221"/>
      <c r="AD180" s="221"/>
      <c r="AE180" s="221"/>
      <c r="AF180" s="221"/>
      <c r="AG180" s="221"/>
      <c r="AH180" s="221"/>
      <c r="AI180" s="221"/>
      <c r="AJ180" s="221"/>
      <c r="AK180" s="221"/>
      <c r="AL180" s="221"/>
      <c r="AM180" s="221"/>
      <c r="AN180" s="221"/>
      <c r="AO180" s="221"/>
      <c r="AP180" s="221"/>
      <c r="AQ180" s="221"/>
      <c r="AR180" s="221"/>
      <c r="AS180" s="221"/>
      <c r="AT180" s="221"/>
      <c r="AU180" s="221"/>
      <c r="AV180" s="221"/>
      <c r="AW180" s="221"/>
      <c r="AX180" s="221"/>
      <c r="AY180" s="221"/>
      <c r="AZ180" s="221"/>
      <c r="BA180" s="221"/>
      <c r="BB180" s="221"/>
      <c r="BC180" s="221"/>
      <c r="BD180" s="221"/>
      <c r="BE180" s="222"/>
    </row>
    <row r="181" spans="1:57" s="219" customFormat="1">
      <c r="A181" s="834" t="s">
        <v>452</v>
      </c>
      <c r="B181" s="797" t="s">
        <v>453</v>
      </c>
      <c r="C181" s="797" t="s">
        <v>407</v>
      </c>
      <c r="D181" s="193" t="s">
        <v>16</v>
      </c>
      <c r="E181" s="194">
        <f t="shared" ref="E181:J181" si="61">E182+E183</f>
        <v>15.75</v>
      </c>
      <c r="F181" s="194">
        <f t="shared" si="61"/>
        <v>1.5</v>
      </c>
      <c r="G181" s="194">
        <f t="shared" si="61"/>
        <v>0</v>
      </c>
      <c r="H181" s="194">
        <f t="shared" si="61"/>
        <v>14.25</v>
      </c>
      <c r="I181" s="194">
        <f t="shared" si="61"/>
        <v>0</v>
      </c>
      <c r="J181" s="194">
        <f t="shared" si="61"/>
        <v>0</v>
      </c>
      <c r="K181" s="129">
        <f t="shared" ref="K181:K192" si="62">F181+G181+H181+I181+J181</f>
        <v>15.75</v>
      </c>
      <c r="L181" s="947" t="s">
        <v>454</v>
      </c>
      <c r="M181" s="220"/>
      <c r="N181" s="233"/>
      <c r="O181" s="874"/>
      <c r="P181" s="221"/>
      <c r="Q181" s="221"/>
      <c r="R181" s="221"/>
      <c r="S181" s="221"/>
      <c r="T181" s="221"/>
      <c r="U181" s="221"/>
      <c r="V181" s="221"/>
      <c r="W181" s="221"/>
      <c r="X181" s="221"/>
      <c r="Y181" s="221"/>
      <c r="Z181" s="221"/>
      <c r="AA181" s="221"/>
      <c r="AB181" s="221"/>
      <c r="AC181" s="221"/>
      <c r="AD181" s="221"/>
      <c r="AE181" s="221"/>
      <c r="AF181" s="221"/>
      <c r="AG181" s="221"/>
      <c r="AH181" s="221"/>
      <c r="AI181" s="221"/>
      <c r="AJ181" s="221"/>
      <c r="AK181" s="221"/>
      <c r="AL181" s="221"/>
      <c r="AM181" s="221"/>
      <c r="AN181" s="221"/>
      <c r="AO181" s="221"/>
      <c r="AP181" s="221"/>
      <c r="AQ181" s="221"/>
      <c r="AR181" s="221"/>
      <c r="AS181" s="221"/>
      <c r="AT181" s="221"/>
      <c r="AU181" s="221"/>
      <c r="AV181" s="221"/>
      <c r="AW181" s="221"/>
      <c r="AX181" s="221"/>
      <c r="AY181" s="221"/>
      <c r="AZ181" s="221"/>
      <c r="BA181" s="221"/>
      <c r="BB181" s="221"/>
      <c r="BC181" s="221"/>
      <c r="BD181" s="221"/>
      <c r="BE181" s="222"/>
    </row>
    <row r="182" spans="1:57" s="219" customFormat="1" ht="13.5" customHeight="1">
      <c r="A182" s="834"/>
      <c r="B182" s="798"/>
      <c r="C182" s="798"/>
      <c r="D182" s="197">
        <v>2026</v>
      </c>
      <c r="E182" s="198">
        <f>F182+G182+H182+I182+J182</f>
        <v>0.75</v>
      </c>
      <c r="F182" s="198">
        <v>0.75</v>
      </c>
      <c r="G182" s="198">
        <v>0</v>
      </c>
      <c r="H182" s="198">
        <v>0</v>
      </c>
      <c r="I182" s="198">
        <v>0</v>
      </c>
      <c r="J182" s="198">
        <v>0</v>
      </c>
      <c r="K182" s="129">
        <f t="shared" si="62"/>
        <v>0.75</v>
      </c>
      <c r="L182" s="948"/>
      <c r="M182" s="220"/>
      <c r="N182" s="233"/>
      <c r="O182" s="874"/>
      <c r="P182" s="221"/>
      <c r="Q182" s="221"/>
      <c r="R182" s="221"/>
      <c r="S182" s="221"/>
      <c r="T182" s="221"/>
      <c r="U182" s="221"/>
      <c r="V182" s="221"/>
      <c r="W182" s="221"/>
      <c r="X182" s="221"/>
      <c r="Y182" s="221"/>
      <c r="Z182" s="221"/>
      <c r="AA182" s="221"/>
      <c r="AB182" s="221"/>
      <c r="AC182" s="221"/>
      <c r="AD182" s="221"/>
      <c r="AE182" s="221"/>
      <c r="AF182" s="221"/>
      <c r="AG182" s="221"/>
      <c r="AH182" s="221"/>
      <c r="AI182" s="221"/>
      <c r="AJ182" s="221"/>
      <c r="AK182" s="221"/>
      <c r="AL182" s="221"/>
      <c r="AM182" s="221"/>
      <c r="AN182" s="221"/>
      <c r="AO182" s="221"/>
      <c r="AP182" s="221"/>
      <c r="AQ182" s="221"/>
      <c r="AR182" s="221"/>
      <c r="AS182" s="221"/>
      <c r="AT182" s="221"/>
      <c r="AU182" s="221"/>
      <c r="AV182" s="221"/>
      <c r="AW182" s="221"/>
      <c r="AX182" s="221"/>
      <c r="AY182" s="221"/>
      <c r="AZ182" s="221"/>
      <c r="BA182" s="221"/>
      <c r="BB182" s="221"/>
      <c r="BC182" s="221"/>
      <c r="BD182" s="221"/>
      <c r="BE182" s="222"/>
    </row>
    <row r="183" spans="1:57" s="219" customFormat="1">
      <c r="A183" s="835"/>
      <c r="B183" s="799"/>
      <c r="C183" s="828"/>
      <c r="D183" s="197">
        <v>2027</v>
      </c>
      <c r="E183" s="198">
        <f>F183+G183+H183+I183+J183</f>
        <v>15</v>
      </c>
      <c r="F183" s="198">
        <v>0.75</v>
      </c>
      <c r="G183" s="198">
        <v>0</v>
      </c>
      <c r="H183" s="198">
        <v>14.25</v>
      </c>
      <c r="I183" s="198">
        <v>0</v>
      </c>
      <c r="J183" s="198">
        <v>0</v>
      </c>
      <c r="K183" s="129">
        <f t="shared" si="62"/>
        <v>15</v>
      </c>
      <c r="L183" s="949"/>
      <c r="M183" s="220"/>
      <c r="N183" s="233"/>
      <c r="O183" s="874"/>
      <c r="P183" s="221"/>
      <c r="Q183" s="221"/>
      <c r="R183" s="221"/>
      <c r="S183" s="221"/>
      <c r="T183" s="221"/>
      <c r="U183" s="221"/>
      <c r="V183" s="221"/>
      <c r="W183" s="221"/>
      <c r="X183" s="221"/>
      <c r="Y183" s="221"/>
      <c r="Z183" s="221"/>
      <c r="AA183" s="221"/>
      <c r="AB183" s="221"/>
      <c r="AC183" s="221"/>
      <c r="AD183" s="221"/>
      <c r="AE183" s="221"/>
      <c r="AF183" s="221"/>
      <c r="AG183" s="221"/>
      <c r="AH183" s="221"/>
      <c r="AI183" s="221"/>
      <c r="AJ183" s="221"/>
      <c r="AK183" s="221"/>
      <c r="AL183" s="221"/>
      <c r="AM183" s="221"/>
      <c r="AN183" s="221"/>
      <c r="AO183" s="221"/>
      <c r="AP183" s="221"/>
      <c r="AQ183" s="221"/>
      <c r="AR183" s="221"/>
      <c r="AS183" s="221"/>
      <c r="AT183" s="221"/>
      <c r="AU183" s="221"/>
      <c r="AV183" s="221"/>
      <c r="AW183" s="221"/>
      <c r="AX183" s="221"/>
      <c r="AY183" s="221"/>
      <c r="AZ183" s="221"/>
      <c r="BA183" s="221"/>
      <c r="BB183" s="221"/>
      <c r="BC183" s="221"/>
      <c r="BD183" s="221"/>
      <c r="BE183" s="222"/>
    </row>
    <row r="184" spans="1:57" s="51" customFormat="1" ht="19.5" customHeight="1">
      <c r="A184" s="794" t="s">
        <v>455</v>
      </c>
      <c r="B184" s="797" t="s">
        <v>456</v>
      </c>
      <c r="D184" s="84" t="s">
        <v>16</v>
      </c>
      <c r="E184" s="85">
        <f t="shared" ref="E184:J184" si="63">E185+E186+E187</f>
        <v>280.9495</v>
      </c>
      <c r="F184" s="85">
        <f t="shared" si="63"/>
        <v>14.047500000000001</v>
      </c>
      <c r="G184" s="85">
        <f t="shared" si="63"/>
        <v>0</v>
      </c>
      <c r="H184" s="85">
        <f t="shared" si="63"/>
        <v>266.90200000000004</v>
      </c>
      <c r="I184" s="85">
        <f t="shared" si="63"/>
        <v>0</v>
      </c>
      <c r="J184" s="85">
        <f t="shared" si="63"/>
        <v>0</v>
      </c>
      <c r="K184" s="86">
        <f t="shared" si="62"/>
        <v>280.94950000000006</v>
      </c>
      <c r="L184" s="943" t="s">
        <v>457</v>
      </c>
      <c r="M184" s="88"/>
      <c r="N184" s="844">
        <v>90</v>
      </c>
      <c r="O184" s="874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68"/>
    </row>
    <row r="185" spans="1:57" s="51" customFormat="1">
      <c r="A185" s="795"/>
      <c r="B185" s="798"/>
      <c r="C185" s="149" t="s">
        <v>458</v>
      </c>
      <c r="D185" s="197">
        <v>2023</v>
      </c>
      <c r="E185" s="198">
        <f>F185+G185+H185+I185+J185</f>
        <v>102.9495</v>
      </c>
      <c r="F185" s="63">
        <v>5.1475</v>
      </c>
      <c r="G185" s="63">
        <v>0</v>
      </c>
      <c r="H185" s="63">
        <v>97.802000000000007</v>
      </c>
      <c r="I185" s="63">
        <v>0</v>
      </c>
      <c r="J185" s="63">
        <v>0</v>
      </c>
      <c r="K185" s="86">
        <f t="shared" si="62"/>
        <v>102.9495</v>
      </c>
      <c r="L185" s="944"/>
      <c r="M185" s="88"/>
      <c r="N185" s="845"/>
      <c r="O185" s="874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68"/>
    </row>
    <row r="186" spans="1:57" s="51" customFormat="1">
      <c r="A186" s="795"/>
      <c r="B186" s="798"/>
      <c r="C186" s="168"/>
      <c r="D186" s="197">
        <v>2024</v>
      </c>
      <c r="E186" s="198">
        <f>F186+G186+H186+I186+J186</f>
        <v>150</v>
      </c>
      <c r="F186" s="63">
        <v>7.5</v>
      </c>
      <c r="G186" s="63">
        <v>0</v>
      </c>
      <c r="H186" s="63">
        <v>142.5</v>
      </c>
      <c r="I186" s="63">
        <v>0</v>
      </c>
      <c r="J186" s="63">
        <v>0</v>
      </c>
      <c r="K186" s="86">
        <f t="shared" si="62"/>
        <v>150</v>
      </c>
      <c r="L186" s="944"/>
      <c r="M186" s="88"/>
      <c r="N186" s="845"/>
      <c r="O186" s="874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68"/>
    </row>
    <row r="187" spans="1:57" s="51" customFormat="1" ht="21.75" customHeight="1">
      <c r="A187" s="795"/>
      <c r="B187" s="798"/>
      <c r="C187" s="156"/>
      <c r="D187" s="197">
        <v>2025</v>
      </c>
      <c r="E187" s="198">
        <f>F187+G187+H187+I187+J187</f>
        <v>28</v>
      </c>
      <c r="F187" s="63">
        <v>1.4</v>
      </c>
      <c r="G187" s="63">
        <v>0</v>
      </c>
      <c r="H187" s="63">
        <v>26.6</v>
      </c>
      <c r="I187" s="63">
        <v>0</v>
      </c>
      <c r="J187" s="63">
        <v>0</v>
      </c>
      <c r="K187" s="86">
        <f t="shared" si="62"/>
        <v>28</v>
      </c>
      <c r="L187" s="945"/>
      <c r="M187" s="88"/>
      <c r="N187" s="846"/>
      <c r="O187" s="874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68"/>
    </row>
    <row r="188" spans="1:57" s="219" customFormat="1" ht="17.25" customHeight="1">
      <c r="A188" s="800" t="s">
        <v>459</v>
      </c>
      <c r="B188" s="797" t="s">
        <v>460</v>
      </c>
      <c r="D188" s="193" t="s">
        <v>16</v>
      </c>
      <c r="E188" s="194">
        <f t="shared" ref="E188:J188" si="64">E189+E190</f>
        <v>78</v>
      </c>
      <c r="F188" s="194">
        <f t="shared" si="64"/>
        <v>6.2750000000000004</v>
      </c>
      <c r="G188" s="194">
        <f t="shared" si="64"/>
        <v>0</v>
      </c>
      <c r="H188" s="194">
        <f t="shared" si="64"/>
        <v>71.724999999999994</v>
      </c>
      <c r="I188" s="194">
        <f t="shared" si="64"/>
        <v>0</v>
      </c>
      <c r="J188" s="194">
        <f t="shared" si="64"/>
        <v>0</v>
      </c>
      <c r="K188" s="129">
        <f t="shared" si="62"/>
        <v>78</v>
      </c>
      <c r="L188" s="849" t="s">
        <v>461</v>
      </c>
      <c r="M188" s="220"/>
      <c r="N188" s="233"/>
      <c r="O188" s="874"/>
      <c r="P188" s="221"/>
      <c r="Q188" s="221"/>
      <c r="R188" s="221"/>
      <c r="S188" s="221"/>
      <c r="T188" s="221"/>
      <c r="U188" s="221"/>
      <c r="V188" s="221"/>
      <c r="W188" s="221"/>
      <c r="X188" s="221"/>
      <c r="Y188" s="221"/>
      <c r="Z188" s="221"/>
      <c r="AA188" s="221"/>
      <c r="AB188" s="221"/>
      <c r="AC188" s="221"/>
      <c r="AD188" s="221"/>
      <c r="AE188" s="221"/>
      <c r="AF188" s="221"/>
      <c r="AG188" s="221"/>
      <c r="AH188" s="221"/>
      <c r="AI188" s="221"/>
      <c r="AJ188" s="221"/>
      <c r="AK188" s="221"/>
      <c r="AL188" s="221"/>
      <c r="AM188" s="221"/>
      <c r="AN188" s="221"/>
      <c r="AO188" s="221"/>
      <c r="AP188" s="221"/>
      <c r="AQ188" s="221"/>
      <c r="AR188" s="221"/>
      <c r="AS188" s="221"/>
      <c r="AT188" s="221"/>
      <c r="AU188" s="221"/>
      <c r="AV188" s="221"/>
      <c r="AW188" s="221"/>
      <c r="AX188" s="221"/>
      <c r="AY188" s="221"/>
      <c r="AZ188" s="221"/>
      <c r="BA188" s="221"/>
      <c r="BB188" s="221"/>
      <c r="BC188" s="221"/>
      <c r="BD188" s="221"/>
      <c r="BE188" s="222"/>
    </row>
    <row r="189" spans="1:57" s="219" customFormat="1" ht="28.5" customHeight="1">
      <c r="A189" s="801"/>
      <c r="B189" s="798"/>
      <c r="C189" s="816" t="s">
        <v>407</v>
      </c>
      <c r="D189" s="197">
        <v>2026</v>
      </c>
      <c r="E189" s="198">
        <f>F189+G189+H189+I189+J189</f>
        <v>2.5</v>
      </c>
      <c r="F189" s="198">
        <v>2.5</v>
      </c>
      <c r="G189" s="198">
        <v>0</v>
      </c>
      <c r="H189" s="198">
        <v>0</v>
      </c>
      <c r="I189" s="198">
        <v>0</v>
      </c>
      <c r="J189" s="198">
        <v>0</v>
      </c>
      <c r="K189" s="129">
        <f t="shared" si="62"/>
        <v>2.5</v>
      </c>
      <c r="L189" s="898"/>
      <c r="M189" s="220"/>
      <c r="N189" s="233"/>
      <c r="O189" s="874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  <c r="Z189" s="221"/>
      <c r="AA189" s="221"/>
      <c r="AB189" s="221"/>
      <c r="AC189" s="221"/>
      <c r="AD189" s="221"/>
      <c r="AE189" s="221"/>
      <c r="AF189" s="221"/>
      <c r="AG189" s="221"/>
      <c r="AH189" s="221"/>
      <c r="AI189" s="221"/>
      <c r="AJ189" s="221"/>
      <c r="AK189" s="221"/>
      <c r="AL189" s="221"/>
      <c r="AM189" s="221"/>
      <c r="AN189" s="221"/>
      <c r="AO189" s="221"/>
      <c r="AP189" s="221"/>
      <c r="AQ189" s="221"/>
      <c r="AR189" s="221"/>
      <c r="AS189" s="221"/>
      <c r="AT189" s="221"/>
      <c r="AU189" s="221"/>
      <c r="AV189" s="221"/>
      <c r="AW189" s="221"/>
      <c r="AX189" s="221"/>
      <c r="AY189" s="221"/>
      <c r="AZ189" s="221"/>
      <c r="BA189" s="221"/>
      <c r="BB189" s="221"/>
      <c r="BC189" s="221"/>
      <c r="BD189" s="221"/>
      <c r="BE189" s="222"/>
    </row>
    <row r="190" spans="1:57" s="219" customFormat="1" ht="17.25" customHeight="1">
      <c r="A190" s="242"/>
      <c r="B190" s="201"/>
      <c r="C190" s="817"/>
      <c r="D190" s="197">
        <v>2027</v>
      </c>
      <c r="E190" s="198">
        <f>F190+G190+H190+I190+J190</f>
        <v>75.5</v>
      </c>
      <c r="F190" s="198">
        <v>3.7749999999999999</v>
      </c>
      <c r="G190" s="198">
        <v>0</v>
      </c>
      <c r="H190" s="198">
        <v>71.724999999999994</v>
      </c>
      <c r="I190" s="198">
        <v>0</v>
      </c>
      <c r="J190" s="198">
        <v>0</v>
      </c>
      <c r="K190" s="129">
        <f t="shared" si="62"/>
        <v>75.5</v>
      </c>
      <c r="L190" s="243"/>
      <c r="M190" s="220"/>
      <c r="N190" s="244"/>
      <c r="O190" s="874"/>
      <c r="P190" s="221"/>
      <c r="Q190" s="221"/>
      <c r="R190" s="221"/>
      <c r="S190" s="221"/>
      <c r="T190" s="221"/>
      <c r="U190" s="221"/>
      <c r="V190" s="221"/>
      <c r="W190" s="221"/>
      <c r="X190" s="221"/>
      <c r="Y190" s="221"/>
      <c r="Z190" s="221"/>
      <c r="AA190" s="221"/>
      <c r="AB190" s="221"/>
      <c r="AC190" s="221"/>
      <c r="AD190" s="221"/>
      <c r="AE190" s="221"/>
      <c r="AF190" s="221"/>
      <c r="AG190" s="221"/>
      <c r="AH190" s="221"/>
      <c r="AI190" s="221"/>
      <c r="AJ190" s="221"/>
      <c r="AK190" s="221"/>
      <c r="AL190" s="221"/>
      <c r="AM190" s="221"/>
      <c r="AN190" s="221"/>
      <c r="AO190" s="221"/>
      <c r="AP190" s="221"/>
      <c r="AQ190" s="221"/>
      <c r="AR190" s="221"/>
      <c r="AS190" s="221"/>
      <c r="AT190" s="221"/>
      <c r="AU190" s="221"/>
      <c r="AV190" s="221"/>
      <c r="AW190" s="221"/>
      <c r="AX190" s="221"/>
      <c r="AY190" s="221"/>
      <c r="AZ190" s="221"/>
      <c r="BA190" s="221"/>
      <c r="BB190" s="221"/>
      <c r="BC190" s="221"/>
      <c r="BD190" s="221"/>
      <c r="BE190" s="222"/>
    </row>
    <row r="191" spans="1:57" s="202" customFormat="1" ht="12.75" customHeight="1">
      <c r="A191" s="802" t="s">
        <v>462</v>
      </c>
      <c r="B191" s="822" t="s">
        <v>463</v>
      </c>
      <c r="C191" s="149" t="s">
        <v>458</v>
      </c>
      <c r="D191" s="204" t="s">
        <v>16</v>
      </c>
      <c r="E191" s="205">
        <f>E192+E193</f>
        <v>90.933199999999999</v>
      </c>
      <c r="F191" s="205">
        <f>F192</f>
        <v>5.9107000000000003</v>
      </c>
      <c r="G191" s="205">
        <f>G192</f>
        <v>0</v>
      </c>
      <c r="H191" s="205">
        <f>H192</f>
        <v>39.555900000000001</v>
      </c>
      <c r="I191" s="205">
        <f>I192</f>
        <v>0</v>
      </c>
      <c r="J191" s="205">
        <f>J192</f>
        <v>0</v>
      </c>
      <c r="K191" s="120">
        <f t="shared" si="62"/>
        <v>45.4666</v>
      </c>
      <c r="L191" s="851"/>
      <c r="M191" s="206"/>
      <c r="N191" s="847"/>
      <c r="O191" s="874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8"/>
    </row>
    <row r="192" spans="1:57" s="202" customFormat="1" ht="12.75" customHeight="1">
      <c r="A192" s="803"/>
      <c r="B192" s="825"/>
      <c r="C192" s="246"/>
      <c r="D192" s="211">
        <v>2020</v>
      </c>
      <c r="E192" s="212">
        <f>F192+G192+H192+I192+J192</f>
        <v>45.4666</v>
      </c>
      <c r="F192" s="212">
        <v>5.9107000000000003</v>
      </c>
      <c r="G192" s="212">
        <v>0</v>
      </c>
      <c r="H192" s="212">
        <v>39.555900000000001</v>
      </c>
      <c r="I192" s="212">
        <v>0</v>
      </c>
      <c r="J192" s="212">
        <v>0</v>
      </c>
      <c r="K192" s="120">
        <f t="shared" si="62"/>
        <v>45.4666</v>
      </c>
      <c r="L192" s="899"/>
      <c r="M192" s="206"/>
      <c r="N192" s="848"/>
      <c r="O192" s="874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8"/>
    </row>
    <row r="193" spans="1:57" s="202" customFormat="1" ht="12.75" customHeight="1">
      <c r="A193" s="804"/>
      <c r="B193" s="823"/>
      <c r="C193" s="246"/>
      <c r="D193" s="211">
        <v>2021</v>
      </c>
      <c r="E193" s="212">
        <f>F193+G193+H193+I193+J193</f>
        <v>45.4666</v>
      </c>
      <c r="F193" s="212">
        <v>5.9107000000000003</v>
      </c>
      <c r="G193" s="212">
        <v>0</v>
      </c>
      <c r="H193" s="212">
        <v>39.555900000000001</v>
      </c>
      <c r="I193" s="212">
        <v>0</v>
      </c>
      <c r="J193" s="212">
        <v>0</v>
      </c>
      <c r="K193" s="120"/>
      <c r="L193" s="213"/>
      <c r="M193" s="206"/>
      <c r="N193" s="247"/>
      <c r="O193" s="874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8"/>
    </row>
    <row r="194" spans="1:57" s="248" customFormat="1" ht="12.75" customHeight="1">
      <c r="A194" s="811" t="s">
        <v>464</v>
      </c>
      <c r="B194" s="813" t="s">
        <v>465</v>
      </c>
      <c r="C194" s="249"/>
      <c r="D194" s="250" t="s">
        <v>16</v>
      </c>
      <c r="E194" s="251">
        <f t="shared" ref="E194:J194" si="65">E195</f>
        <v>2.4E-2</v>
      </c>
      <c r="F194" s="251">
        <f t="shared" si="65"/>
        <v>2.4E-2</v>
      </c>
      <c r="G194" s="251">
        <f t="shared" si="65"/>
        <v>0</v>
      </c>
      <c r="H194" s="251">
        <f t="shared" si="65"/>
        <v>0</v>
      </c>
      <c r="I194" s="251">
        <f t="shared" si="65"/>
        <v>0</v>
      </c>
      <c r="J194" s="251">
        <f t="shared" si="65"/>
        <v>0</v>
      </c>
      <c r="K194" s="252">
        <f t="shared" ref="K194:K208" si="66">F194+G194+H194+I194+J194</f>
        <v>2.4E-2</v>
      </c>
      <c r="L194" s="887"/>
      <c r="M194" s="253"/>
      <c r="N194" s="254"/>
      <c r="O194" s="874"/>
      <c r="P194" s="255"/>
      <c r="Q194" s="255"/>
      <c r="R194" s="255"/>
      <c r="S194" s="255"/>
      <c r="T194" s="255"/>
      <c r="U194" s="255"/>
      <c r="V194" s="255"/>
      <c r="W194" s="255"/>
      <c r="X194" s="255"/>
      <c r="Y194" s="255"/>
      <c r="Z194" s="255"/>
      <c r="AA194" s="255"/>
      <c r="AB194" s="255"/>
      <c r="AC194" s="255"/>
      <c r="AD194" s="255"/>
      <c r="AE194" s="255"/>
      <c r="AF194" s="255"/>
      <c r="AG194" s="255"/>
      <c r="AH194" s="255"/>
      <c r="AI194" s="255"/>
      <c r="AJ194" s="255"/>
      <c r="AK194" s="255"/>
      <c r="AL194" s="255"/>
      <c r="AM194" s="255"/>
      <c r="AN194" s="255"/>
      <c r="AO194" s="255"/>
      <c r="AP194" s="255"/>
      <c r="AQ194" s="255"/>
      <c r="AR194" s="255"/>
      <c r="AS194" s="255"/>
      <c r="AT194" s="255"/>
      <c r="AU194" s="255"/>
      <c r="AV194" s="255"/>
      <c r="AW194" s="255"/>
      <c r="AX194" s="255"/>
      <c r="AY194" s="255"/>
      <c r="AZ194" s="255"/>
      <c r="BA194" s="255"/>
      <c r="BB194" s="255"/>
      <c r="BC194" s="255"/>
      <c r="BD194" s="255"/>
      <c r="BE194" s="256"/>
    </row>
    <row r="195" spans="1:57" s="248" customFormat="1" ht="27.75" customHeight="1">
      <c r="A195" s="812"/>
      <c r="B195" s="814"/>
      <c r="C195" s="259" t="s">
        <v>372</v>
      </c>
      <c r="D195" s="260">
        <v>2019</v>
      </c>
      <c r="E195" s="261">
        <f>F195+G195+H195+I195+J195</f>
        <v>2.4E-2</v>
      </c>
      <c r="F195" s="261">
        <v>2.4E-2</v>
      </c>
      <c r="G195" s="261">
        <v>0</v>
      </c>
      <c r="H195" s="261">
        <v>0</v>
      </c>
      <c r="I195" s="261">
        <v>0</v>
      </c>
      <c r="J195" s="261">
        <v>0</v>
      </c>
      <c r="K195" s="252">
        <f t="shared" si="66"/>
        <v>2.4E-2</v>
      </c>
      <c r="L195" s="888"/>
      <c r="M195" s="253"/>
      <c r="N195" s="254"/>
      <c r="O195" s="874"/>
      <c r="P195" s="255"/>
      <c r="Q195" s="255"/>
      <c r="R195" s="255"/>
      <c r="S195" s="255"/>
      <c r="T195" s="255"/>
      <c r="U195" s="255"/>
      <c r="V195" s="255"/>
      <c r="W195" s="255"/>
      <c r="X195" s="255"/>
      <c r="Y195" s="255"/>
      <c r="Z195" s="255"/>
      <c r="AA195" s="255"/>
      <c r="AB195" s="255"/>
      <c r="AC195" s="255"/>
      <c r="AD195" s="255"/>
      <c r="AE195" s="255"/>
      <c r="AF195" s="255"/>
      <c r="AG195" s="255"/>
      <c r="AH195" s="255"/>
      <c r="AI195" s="255"/>
      <c r="AJ195" s="255"/>
      <c r="AK195" s="255"/>
      <c r="AL195" s="255"/>
      <c r="AM195" s="255"/>
      <c r="AN195" s="255"/>
      <c r="AO195" s="255"/>
      <c r="AP195" s="255"/>
      <c r="AQ195" s="255"/>
      <c r="AR195" s="255"/>
      <c r="AS195" s="255"/>
      <c r="AT195" s="255"/>
      <c r="AU195" s="255"/>
      <c r="AV195" s="255"/>
      <c r="AW195" s="255"/>
      <c r="AX195" s="255"/>
      <c r="AY195" s="255"/>
      <c r="AZ195" s="255"/>
      <c r="BA195" s="255"/>
      <c r="BB195" s="255"/>
      <c r="BC195" s="255"/>
      <c r="BD195" s="255"/>
      <c r="BE195" s="256"/>
    </row>
    <row r="196" spans="1:57" s="202" customFormat="1" ht="12.75" customHeight="1">
      <c r="A196" s="802" t="s">
        <v>466</v>
      </c>
      <c r="B196" s="830" t="s">
        <v>467</v>
      </c>
      <c r="C196" s="950" t="s">
        <v>372</v>
      </c>
      <c r="D196" s="204" t="s">
        <v>16</v>
      </c>
      <c r="E196" s="205">
        <f t="shared" ref="E196:J196" si="67">E197</f>
        <v>2.3458999999999999</v>
      </c>
      <c r="F196" s="205">
        <f t="shared" si="67"/>
        <v>2.3458999999999999</v>
      </c>
      <c r="G196" s="205">
        <f t="shared" si="67"/>
        <v>0</v>
      </c>
      <c r="H196" s="205">
        <f t="shared" si="67"/>
        <v>0</v>
      </c>
      <c r="I196" s="205">
        <f t="shared" si="67"/>
        <v>0</v>
      </c>
      <c r="J196" s="205">
        <f t="shared" si="67"/>
        <v>0</v>
      </c>
      <c r="K196" s="120">
        <f t="shared" si="66"/>
        <v>2.3458999999999999</v>
      </c>
      <c r="L196" s="262"/>
      <c r="M196" s="206"/>
      <c r="N196" s="263"/>
      <c r="O196" s="874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207"/>
      <c r="BE196" s="208"/>
    </row>
    <row r="197" spans="1:57" s="202" customFormat="1" ht="12.75" customHeight="1">
      <c r="A197" s="803"/>
      <c r="B197" s="831"/>
      <c r="C197" s="951"/>
      <c r="D197" s="211">
        <v>2019</v>
      </c>
      <c r="E197" s="212">
        <f>F197+G197+H197+I197+J197</f>
        <v>2.3458999999999999</v>
      </c>
      <c r="F197" s="212">
        <v>2.3458999999999999</v>
      </c>
      <c r="G197" s="212">
        <v>0</v>
      </c>
      <c r="H197" s="212">
        <v>0</v>
      </c>
      <c r="I197" s="212">
        <v>0</v>
      </c>
      <c r="J197" s="212">
        <v>0</v>
      </c>
      <c r="K197" s="120">
        <f t="shared" si="66"/>
        <v>2.3458999999999999</v>
      </c>
      <c r="L197" s="262"/>
      <c r="M197" s="206"/>
      <c r="N197" s="263"/>
      <c r="O197" s="874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  <c r="AZ197" s="207"/>
      <c r="BA197" s="207"/>
      <c r="BB197" s="207"/>
      <c r="BC197" s="207"/>
      <c r="BD197" s="207"/>
      <c r="BE197" s="208"/>
    </row>
    <row r="198" spans="1:57" s="219" customFormat="1" ht="12.75" customHeight="1">
      <c r="A198" s="800" t="s">
        <v>468</v>
      </c>
      <c r="B198" s="797" t="s">
        <v>469</v>
      </c>
      <c r="C198" s="883" t="s">
        <v>407</v>
      </c>
      <c r="D198" s="193" t="s">
        <v>16</v>
      </c>
      <c r="E198" s="194">
        <f t="shared" ref="E198:J198" si="68">E199+E200</f>
        <v>14.333299999999999</v>
      </c>
      <c r="F198" s="194">
        <f t="shared" si="68"/>
        <v>1.0332999999999999</v>
      </c>
      <c r="G198" s="194">
        <f t="shared" si="68"/>
        <v>0</v>
      </c>
      <c r="H198" s="194">
        <f t="shared" si="68"/>
        <v>13.3</v>
      </c>
      <c r="I198" s="194">
        <f t="shared" si="68"/>
        <v>0</v>
      </c>
      <c r="J198" s="194">
        <f t="shared" si="68"/>
        <v>0</v>
      </c>
      <c r="K198" s="129">
        <f t="shared" si="66"/>
        <v>14.333300000000001</v>
      </c>
      <c r="L198" s="264"/>
      <c r="M198" s="220"/>
      <c r="N198" s="225"/>
      <c r="O198" s="874"/>
      <c r="P198" s="221"/>
      <c r="Q198" s="221"/>
      <c r="R198" s="221"/>
      <c r="S198" s="221"/>
      <c r="T198" s="221"/>
      <c r="U198" s="221"/>
      <c r="V198" s="221"/>
      <c r="W198" s="221"/>
      <c r="X198" s="221"/>
      <c r="Y198" s="221"/>
      <c r="Z198" s="221"/>
      <c r="AA198" s="221"/>
      <c r="AB198" s="221"/>
      <c r="AC198" s="221"/>
      <c r="AD198" s="221"/>
      <c r="AE198" s="221"/>
      <c r="AF198" s="221"/>
      <c r="AG198" s="221"/>
      <c r="AH198" s="221"/>
      <c r="AI198" s="221"/>
      <c r="AJ198" s="221"/>
      <c r="AK198" s="221"/>
      <c r="AL198" s="221"/>
      <c r="AM198" s="221"/>
      <c r="AN198" s="221"/>
      <c r="AO198" s="221"/>
      <c r="AP198" s="221"/>
      <c r="AQ198" s="221"/>
      <c r="AR198" s="221"/>
      <c r="AS198" s="221"/>
      <c r="AT198" s="221"/>
      <c r="AU198" s="221"/>
      <c r="AV198" s="221"/>
      <c r="AW198" s="221"/>
      <c r="AX198" s="221"/>
      <c r="AY198" s="221"/>
      <c r="AZ198" s="221"/>
      <c r="BA198" s="221"/>
      <c r="BB198" s="221"/>
      <c r="BC198" s="221"/>
      <c r="BD198" s="221"/>
      <c r="BE198" s="222"/>
    </row>
    <row r="199" spans="1:57" s="219" customFormat="1" ht="12.75" customHeight="1">
      <c r="A199" s="801"/>
      <c r="B199" s="798"/>
      <c r="C199" s="884"/>
      <c r="D199" s="197">
        <v>2026</v>
      </c>
      <c r="E199" s="198">
        <f>F199+G199+H199+I199+J199</f>
        <v>0.33329999999999999</v>
      </c>
      <c r="F199" s="198">
        <v>0.33329999999999999</v>
      </c>
      <c r="G199" s="198">
        <v>0</v>
      </c>
      <c r="H199" s="198">
        <v>0</v>
      </c>
      <c r="I199" s="198">
        <v>0</v>
      </c>
      <c r="J199" s="198">
        <v>0</v>
      </c>
      <c r="K199" s="129">
        <f t="shared" si="66"/>
        <v>0.33329999999999999</v>
      </c>
      <c r="L199" s="264"/>
      <c r="M199" s="220"/>
      <c r="N199" s="225"/>
      <c r="O199" s="874"/>
      <c r="P199" s="221"/>
      <c r="Q199" s="221"/>
      <c r="R199" s="221"/>
      <c r="S199" s="221"/>
      <c r="T199" s="221"/>
      <c r="U199" s="221"/>
      <c r="V199" s="221"/>
      <c r="W199" s="221"/>
      <c r="X199" s="221"/>
      <c r="Y199" s="221"/>
      <c r="Z199" s="221"/>
      <c r="AA199" s="221"/>
      <c r="AB199" s="221"/>
      <c r="AC199" s="221"/>
      <c r="AD199" s="221"/>
      <c r="AE199" s="221"/>
      <c r="AF199" s="221"/>
      <c r="AG199" s="221"/>
      <c r="AH199" s="221"/>
      <c r="AI199" s="221"/>
      <c r="AJ199" s="221"/>
      <c r="AK199" s="221"/>
      <c r="AL199" s="221"/>
      <c r="AM199" s="221"/>
      <c r="AN199" s="221"/>
      <c r="AO199" s="221"/>
      <c r="AP199" s="221"/>
      <c r="AQ199" s="221"/>
      <c r="AR199" s="221"/>
      <c r="AS199" s="221"/>
      <c r="AT199" s="221"/>
      <c r="AU199" s="221"/>
      <c r="AV199" s="221"/>
      <c r="AW199" s="221"/>
      <c r="AX199" s="221"/>
      <c r="AY199" s="221"/>
      <c r="AZ199" s="221"/>
      <c r="BA199" s="221"/>
      <c r="BB199" s="221"/>
      <c r="BC199" s="221"/>
      <c r="BD199" s="221"/>
      <c r="BE199" s="222"/>
    </row>
    <row r="200" spans="1:57" s="219" customFormat="1" ht="12.75" customHeight="1">
      <c r="A200" s="827"/>
      <c r="B200" s="201"/>
      <c r="C200" s="884"/>
      <c r="D200" s="197">
        <v>2027</v>
      </c>
      <c r="E200" s="198">
        <f>F200+G200+H200+I200+J200</f>
        <v>14</v>
      </c>
      <c r="F200" s="198">
        <v>0.7</v>
      </c>
      <c r="G200" s="198">
        <v>0</v>
      </c>
      <c r="H200" s="198">
        <v>13.3</v>
      </c>
      <c r="I200" s="198">
        <v>0</v>
      </c>
      <c r="J200" s="198">
        <v>0</v>
      </c>
      <c r="K200" s="129">
        <f t="shared" si="66"/>
        <v>14</v>
      </c>
      <c r="L200" s="264"/>
      <c r="M200" s="220"/>
      <c r="N200" s="225"/>
      <c r="O200" s="874"/>
      <c r="P200" s="221"/>
      <c r="Q200" s="221"/>
      <c r="R200" s="221"/>
      <c r="S200" s="221"/>
      <c r="T200" s="221"/>
      <c r="U200" s="221"/>
      <c r="V200" s="221"/>
      <c r="W200" s="221"/>
      <c r="X200" s="221"/>
      <c r="Y200" s="221"/>
      <c r="Z200" s="221"/>
      <c r="AA200" s="221"/>
      <c r="AB200" s="221"/>
      <c r="AC200" s="221"/>
      <c r="AD200" s="221"/>
      <c r="AE200" s="221"/>
      <c r="AF200" s="221"/>
      <c r="AG200" s="221"/>
      <c r="AH200" s="221"/>
      <c r="AI200" s="221"/>
      <c r="AJ200" s="221"/>
      <c r="AK200" s="221"/>
      <c r="AL200" s="221"/>
      <c r="AM200" s="221"/>
      <c r="AN200" s="221"/>
      <c r="AO200" s="221"/>
      <c r="AP200" s="221"/>
      <c r="AQ200" s="221"/>
      <c r="AR200" s="221"/>
      <c r="AS200" s="221"/>
      <c r="AT200" s="221"/>
      <c r="AU200" s="221"/>
      <c r="AV200" s="221"/>
      <c r="AW200" s="221"/>
      <c r="AX200" s="221"/>
      <c r="AY200" s="221"/>
      <c r="AZ200" s="221"/>
      <c r="BA200" s="221"/>
      <c r="BB200" s="221"/>
      <c r="BC200" s="221"/>
      <c r="BD200" s="221"/>
      <c r="BE200" s="222"/>
    </row>
    <row r="201" spans="1:57" s="219" customFormat="1" ht="12.75" customHeight="1">
      <c r="A201" s="800" t="s">
        <v>470</v>
      </c>
      <c r="B201" s="797" t="s">
        <v>471</v>
      </c>
      <c r="C201" s="826"/>
      <c r="D201" s="193" t="s">
        <v>16</v>
      </c>
      <c r="E201" s="194">
        <f t="shared" ref="E201:J201" si="69">E202+E203</f>
        <v>14.333299999999999</v>
      </c>
      <c r="F201" s="194">
        <f t="shared" si="69"/>
        <v>1.0332999999999999</v>
      </c>
      <c r="G201" s="194">
        <f t="shared" si="69"/>
        <v>0</v>
      </c>
      <c r="H201" s="194">
        <f t="shared" si="69"/>
        <v>13.3</v>
      </c>
      <c r="I201" s="194">
        <f t="shared" si="69"/>
        <v>0</v>
      </c>
      <c r="J201" s="194">
        <f t="shared" si="69"/>
        <v>0</v>
      </c>
      <c r="K201" s="129">
        <f t="shared" si="66"/>
        <v>14.333300000000001</v>
      </c>
      <c r="L201" s="264"/>
      <c r="M201" s="220"/>
      <c r="N201" s="225"/>
      <c r="O201" s="874"/>
      <c r="P201" s="221"/>
      <c r="Q201" s="221"/>
      <c r="R201" s="221"/>
      <c r="S201" s="221"/>
      <c r="T201" s="221"/>
      <c r="U201" s="221"/>
      <c r="V201" s="221"/>
      <c r="W201" s="221"/>
      <c r="X201" s="221"/>
      <c r="Y201" s="221"/>
      <c r="Z201" s="221"/>
      <c r="AA201" s="221"/>
      <c r="AB201" s="221"/>
      <c r="AC201" s="221"/>
      <c r="AD201" s="221"/>
      <c r="AE201" s="221"/>
      <c r="AF201" s="221"/>
      <c r="AG201" s="221"/>
      <c r="AH201" s="221"/>
      <c r="AI201" s="221"/>
      <c r="AJ201" s="221"/>
      <c r="AK201" s="221"/>
      <c r="AL201" s="221"/>
      <c r="AM201" s="221"/>
      <c r="AN201" s="221"/>
      <c r="AO201" s="221"/>
      <c r="AP201" s="221"/>
      <c r="AQ201" s="221"/>
      <c r="AR201" s="221"/>
      <c r="AS201" s="221"/>
      <c r="AT201" s="221"/>
      <c r="AU201" s="221"/>
      <c r="AV201" s="221"/>
      <c r="AW201" s="221"/>
      <c r="AX201" s="221"/>
      <c r="AY201" s="221"/>
      <c r="AZ201" s="221"/>
      <c r="BA201" s="221"/>
      <c r="BB201" s="221"/>
      <c r="BC201" s="221"/>
      <c r="BD201" s="221"/>
      <c r="BE201" s="222"/>
    </row>
    <row r="202" spans="1:57" s="219" customFormat="1" ht="12.75" customHeight="1">
      <c r="A202" s="827"/>
      <c r="B202" s="799"/>
      <c r="C202" s="826"/>
      <c r="D202" s="197">
        <v>2026</v>
      </c>
      <c r="E202" s="198">
        <f>F202+G202+H202+I202+J202</f>
        <v>0.33329999999999999</v>
      </c>
      <c r="F202" s="198">
        <v>0.33329999999999999</v>
      </c>
      <c r="G202" s="198">
        <v>0</v>
      </c>
      <c r="H202" s="198">
        <v>0</v>
      </c>
      <c r="I202" s="198">
        <v>0</v>
      </c>
      <c r="J202" s="198">
        <v>0</v>
      </c>
      <c r="K202" s="129">
        <f t="shared" si="66"/>
        <v>0.33329999999999999</v>
      </c>
      <c r="L202" s="264"/>
      <c r="M202" s="220"/>
      <c r="N202" s="225"/>
      <c r="O202" s="874"/>
      <c r="P202" s="221"/>
      <c r="Q202" s="221"/>
      <c r="R202" s="221"/>
      <c r="S202" s="221"/>
      <c r="T202" s="221"/>
      <c r="U202" s="221"/>
      <c r="V202" s="221"/>
      <c r="W202" s="221"/>
      <c r="X202" s="221"/>
      <c r="Y202" s="221"/>
      <c r="Z202" s="221"/>
      <c r="AA202" s="221"/>
      <c r="AB202" s="221"/>
      <c r="AC202" s="221"/>
      <c r="AD202" s="221"/>
      <c r="AE202" s="221"/>
      <c r="AF202" s="221"/>
      <c r="AG202" s="221"/>
      <c r="AH202" s="221"/>
      <c r="AI202" s="221"/>
      <c r="AJ202" s="221"/>
      <c r="AK202" s="221"/>
      <c r="AL202" s="221"/>
      <c r="AM202" s="221"/>
      <c r="AN202" s="221"/>
      <c r="AO202" s="221"/>
      <c r="AP202" s="221"/>
      <c r="AQ202" s="221"/>
      <c r="AR202" s="221"/>
      <c r="AS202" s="221"/>
      <c r="AT202" s="221"/>
      <c r="AU202" s="221"/>
      <c r="AV202" s="221"/>
      <c r="AW202" s="221"/>
      <c r="AX202" s="221"/>
      <c r="AY202" s="221"/>
      <c r="AZ202" s="221"/>
      <c r="BA202" s="221"/>
      <c r="BB202" s="221"/>
      <c r="BC202" s="221"/>
      <c r="BD202" s="221"/>
      <c r="BE202" s="222"/>
    </row>
    <row r="203" spans="1:57" s="219" customFormat="1" ht="12.75" customHeight="1">
      <c r="A203" s="794" t="s">
        <v>472</v>
      </c>
      <c r="B203" s="201"/>
      <c r="C203" s="826"/>
      <c r="D203" s="197">
        <v>2027</v>
      </c>
      <c r="E203" s="198">
        <f>F203+G203+H203+I203+J203</f>
        <v>14</v>
      </c>
      <c r="F203" s="198">
        <v>0.7</v>
      </c>
      <c r="G203" s="198">
        <v>0</v>
      </c>
      <c r="H203" s="198">
        <v>13.3</v>
      </c>
      <c r="I203" s="198">
        <v>0</v>
      </c>
      <c r="J203" s="198">
        <v>0</v>
      </c>
      <c r="K203" s="129">
        <f t="shared" si="66"/>
        <v>14</v>
      </c>
      <c r="L203" s="264"/>
      <c r="M203" s="220"/>
      <c r="N203" s="225"/>
      <c r="O203" s="874"/>
      <c r="P203" s="221"/>
      <c r="Q203" s="221"/>
      <c r="R203" s="221"/>
      <c r="S203" s="221"/>
      <c r="T203" s="221"/>
      <c r="U203" s="221"/>
      <c r="V203" s="221"/>
      <c r="W203" s="221"/>
      <c r="X203" s="221"/>
      <c r="Y203" s="221"/>
      <c r="Z203" s="221"/>
      <c r="AA203" s="221"/>
      <c r="AB203" s="221"/>
      <c r="AC203" s="221"/>
      <c r="AD203" s="221"/>
      <c r="AE203" s="221"/>
      <c r="AF203" s="221"/>
      <c r="AG203" s="221"/>
      <c r="AH203" s="221"/>
      <c r="AI203" s="221"/>
      <c r="AJ203" s="221"/>
      <c r="AK203" s="221"/>
      <c r="AL203" s="221"/>
      <c r="AM203" s="221"/>
      <c r="AN203" s="221"/>
      <c r="AO203" s="221"/>
      <c r="AP203" s="221"/>
      <c r="AQ203" s="221"/>
      <c r="AR203" s="221"/>
      <c r="AS203" s="221"/>
      <c r="AT203" s="221"/>
      <c r="AU203" s="221"/>
      <c r="AV203" s="221"/>
      <c r="AW203" s="221"/>
      <c r="AX203" s="221"/>
      <c r="AY203" s="221"/>
      <c r="AZ203" s="221"/>
      <c r="BA203" s="221"/>
      <c r="BB203" s="221"/>
      <c r="BC203" s="221"/>
      <c r="BD203" s="221"/>
      <c r="BE203" s="222"/>
    </row>
    <row r="204" spans="1:57" s="219" customFormat="1" ht="15.75" customHeight="1">
      <c r="A204" s="834"/>
      <c r="B204" s="798" t="s">
        <v>473</v>
      </c>
      <c r="C204" s="266"/>
      <c r="D204" s="193" t="s">
        <v>16</v>
      </c>
      <c r="E204" s="194">
        <f>E205+E206</f>
        <v>18.7499</v>
      </c>
      <c r="F204" s="194">
        <f>F205+F206</f>
        <v>1.2541</v>
      </c>
      <c r="G204" s="194">
        <f>G205+G206</f>
        <v>0</v>
      </c>
      <c r="H204" s="194">
        <f>H205+H206</f>
        <v>17.495799999999999</v>
      </c>
      <c r="I204" s="194">
        <v>0</v>
      </c>
      <c r="J204" s="194">
        <v>0</v>
      </c>
      <c r="K204" s="129">
        <f t="shared" si="66"/>
        <v>18.7499</v>
      </c>
      <c r="L204" s="264"/>
      <c r="M204" s="220"/>
      <c r="N204" s="225"/>
      <c r="O204" s="874"/>
      <c r="P204" s="221"/>
      <c r="Q204" s="221"/>
      <c r="R204" s="221"/>
      <c r="S204" s="221"/>
      <c r="T204" s="221"/>
      <c r="U204" s="221"/>
      <c r="V204" s="221"/>
      <c r="W204" s="221"/>
      <c r="X204" s="221"/>
      <c r="Y204" s="221"/>
      <c r="Z204" s="221"/>
      <c r="AA204" s="221"/>
      <c r="AB204" s="221"/>
      <c r="AC204" s="221"/>
      <c r="AD204" s="221"/>
      <c r="AE204" s="221"/>
      <c r="AF204" s="221"/>
      <c r="AG204" s="221"/>
      <c r="AH204" s="221"/>
      <c r="AI204" s="221"/>
      <c r="AJ204" s="221"/>
      <c r="AK204" s="221"/>
      <c r="AL204" s="221"/>
      <c r="AM204" s="221"/>
      <c r="AN204" s="221"/>
      <c r="AO204" s="221"/>
      <c r="AP204" s="221"/>
      <c r="AQ204" s="221"/>
      <c r="AR204" s="221"/>
      <c r="AS204" s="221"/>
      <c r="AT204" s="221"/>
      <c r="AU204" s="221"/>
      <c r="AV204" s="221"/>
      <c r="AW204" s="221"/>
      <c r="AX204" s="221"/>
      <c r="AY204" s="221"/>
      <c r="AZ204" s="221"/>
      <c r="BA204" s="221"/>
      <c r="BB204" s="221"/>
      <c r="BC204" s="221"/>
      <c r="BD204" s="221"/>
      <c r="BE204" s="222"/>
    </row>
    <row r="205" spans="1:57" s="219" customFormat="1">
      <c r="A205" s="834"/>
      <c r="B205" s="798"/>
      <c r="C205" s="266"/>
      <c r="D205" s="197">
        <v>2026</v>
      </c>
      <c r="E205" s="198">
        <f>F205+G205+H205+I205+J205</f>
        <v>0.33329999999999999</v>
      </c>
      <c r="F205" s="198">
        <v>0.33329999999999999</v>
      </c>
      <c r="G205" s="198">
        <v>0</v>
      </c>
      <c r="H205" s="198">
        <v>0</v>
      </c>
      <c r="I205" s="198">
        <v>0</v>
      </c>
      <c r="J205" s="198">
        <v>0</v>
      </c>
      <c r="K205" s="129">
        <f t="shared" si="66"/>
        <v>0.33329999999999999</v>
      </c>
      <c r="L205" s="264"/>
      <c r="M205" s="220"/>
      <c r="N205" s="225"/>
      <c r="O205" s="874"/>
      <c r="P205" s="221"/>
      <c r="Q205" s="221"/>
      <c r="R205" s="221"/>
      <c r="S205" s="221"/>
      <c r="T205" s="221"/>
      <c r="U205" s="221"/>
      <c r="V205" s="221"/>
      <c r="W205" s="221"/>
      <c r="X205" s="221"/>
      <c r="Y205" s="221"/>
      <c r="Z205" s="221"/>
      <c r="AA205" s="221"/>
      <c r="AB205" s="221"/>
      <c r="AC205" s="221"/>
      <c r="AD205" s="221"/>
      <c r="AE205" s="221"/>
      <c r="AF205" s="221"/>
      <c r="AG205" s="221"/>
      <c r="AH205" s="221"/>
      <c r="AI205" s="221"/>
      <c r="AJ205" s="221"/>
      <c r="AK205" s="221"/>
      <c r="AL205" s="221"/>
      <c r="AM205" s="221"/>
      <c r="AN205" s="221"/>
      <c r="AO205" s="221"/>
      <c r="AP205" s="221"/>
      <c r="AQ205" s="221"/>
      <c r="AR205" s="221"/>
      <c r="AS205" s="221"/>
      <c r="AT205" s="221"/>
      <c r="AU205" s="221"/>
      <c r="AV205" s="221"/>
      <c r="AW205" s="221"/>
      <c r="AX205" s="221"/>
      <c r="AY205" s="221"/>
      <c r="AZ205" s="221"/>
      <c r="BA205" s="221"/>
      <c r="BB205" s="221"/>
      <c r="BC205" s="221"/>
      <c r="BD205" s="221"/>
      <c r="BE205" s="222"/>
    </row>
    <row r="206" spans="1:57" s="219" customFormat="1">
      <c r="A206" s="835"/>
      <c r="B206" s="799"/>
      <c r="C206" s="266"/>
      <c r="D206" s="197">
        <v>2027</v>
      </c>
      <c r="E206" s="198">
        <f>F206+G206+H206+I206+J206</f>
        <v>18.416599999999999</v>
      </c>
      <c r="F206" s="198">
        <v>0.92079999999999995</v>
      </c>
      <c r="G206" s="198">
        <v>0</v>
      </c>
      <c r="H206" s="198">
        <v>17.495799999999999</v>
      </c>
      <c r="I206" s="198">
        <v>0</v>
      </c>
      <c r="J206" s="198">
        <v>0</v>
      </c>
      <c r="K206" s="129">
        <f t="shared" si="66"/>
        <v>18.416599999999999</v>
      </c>
      <c r="L206" s="264"/>
      <c r="M206" s="220"/>
      <c r="N206" s="225"/>
      <c r="O206" s="874"/>
      <c r="P206" s="221"/>
      <c r="Q206" s="221"/>
      <c r="R206" s="221"/>
      <c r="S206" s="221"/>
      <c r="T206" s="221"/>
      <c r="U206" s="221"/>
      <c r="V206" s="221"/>
      <c r="W206" s="221"/>
      <c r="X206" s="221"/>
      <c r="Y206" s="221"/>
      <c r="Z206" s="221"/>
      <c r="AA206" s="221"/>
      <c r="AB206" s="221"/>
      <c r="AC206" s="221"/>
      <c r="AD206" s="221"/>
      <c r="AE206" s="221"/>
      <c r="AF206" s="221"/>
      <c r="AG206" s="221"/>
      <c r="AH206" s="221"/>
      <c r="AI206" s="221"/>
      <c r="AJ206" s="221"/>
      <c r="AK206" s="221"/>
      <c r="AL206" s="221"/>
      <c r="AM206" s="221"/>
      <c r="AN206" s="221"/>
      <c r="AO206" s="221"/>
      <c r="AP206" s="221"/>
      <c r="AQ206" s="221"/>
      <c r="AR206" s="221"/>
      <c r="AS206" s="221"/>
      <c r="AT206" s="221"/>
      <c r="AU206" s="221"/>
      <c r="AV206" s="221"/>
      <c r="AW206" s="221"/>
      <c r="AX206" s="221"/>
      <c r="AY206" s="221"/>
      <c r="AZ206" s="221"/>
      <c r="BA206" s="221"/>
      <c r="BB206" s="221"/>
      <c r="BC206" s="221"/>
      <c r="BD206" s="221"/>
      <c r="BE206" s="222"/>
    </row>
    <row r="207" spans="1:57" s="219" customFormat="1" ht="12.75" customHeight="1">
      <c r="A207" s="800" t="s">
        <v>474</v>
      </c>
      <c r="B207" s="797" t="s">
        <v>475</v>
      </c>
      <c r="C207" s="266"/>
      <c r="D207" s="193" t="s">
        <v>16</v>
      </c>
      <c r="E207" s="194">
        <f>E208</f>
        <v>0.33329999999999999</v>
      </c>
      <c r="F207" s="194">
        <f>F208</f>
        <v>0.33329999999999999</v>
      </c>
      <c r="G207" s="194">
        <f>G208</f>
        <v>0</v>
      </c>
      <c r="H207" s="194">
        <f>H208</f>
        <v>0</v>
      </c>
      <c r="I207" s="194">
        <v>0</v>
      </c>
      <c r="J207" s="194">
        <v>0</v>
      </c>
      <c r="K207" s="129">
        <f t="shared" si="66"/>
        <v>0.33329999999999999</v>
      </c>
      <c r="L207" s="264"/>
      <c r="M207" s="220"/>
      <c r="N207" s="225"/>
      <c r="O207" s="874"/>
      <c r="P207" s="221"/>
      <c r="Q207" s="221"/>
      <c r="R207" s="221"/>
      <c r="S207" s="221"/>
      <c r="T207" s="221"/>
      <c r="U207" s="221"/>
      <c r="V207" s="221"/>
      <c r="W207" s="221"/>
      <c r="X207" s="221"/>
      <c r="Y207" s="221"/>
      <c r="Z207" s="221"/>
      <c r="AA207" s="221"/>
      <c r="AB207" s="221"/>
      <c r="AC207" s="221"/>
      <c r="AD207" s="221"/>
      <c r="AE207" s="221"/>
      <c r="AF207" s="221"/>
      <c r="AG207" s="221"/>
      <c r="AH207" s="221"/>
      <c r="AI207" s="221"/>
      <c r="AJ207" s="221"/>
      <c r="AK207" s="221"/>
      <c r="AL207" s="221"/>
      <c r="AM207" s="221"/>
      <c r="AN207" s="221"/>
      <c r="AO207" s="221"/>
      <c r="AP207" s="221"/>
      <c r="AQ207" s="221"/>
      <c r="AR207" s="221"/>
      <c r="AS207" s="221"/>
      <c r="AT207" s="221"/>
      <c r="AU207" s="221"/>
      <c r="AV207" s="221"/>
      <c r="AW207" s="221"/>
      <c r="AX207" s="221"/>
      <c r="AY207" s="221"/>
      <c r="AZ207" s="221"/>
      <c r="BA207" s="221"/>
      <c r="BB207" s="221"/>
      <c r="BC207" s="221"/>
      <c r="BD207" s="221"/>
      <c r="BE207" s="222"/>
    </row>
    <row r="208" spans="1:57" s="219" customFormat="1" ht="12.75" customHeight="1">
      <c r="A208" s="801"/>
      <c r="B208" s="798"/>
      <c r="C208" s="266"/>
      <c r="D208" s="197">
        <v>2026</v>
      </c>
      <c r="E208" s="198">
        <f>F208+G208+H208+I208+J208</f>
        <v>0.33329999999999999</v>
      </c>
      <c r="F208" s="198">
        <v>0.33329999999999999</v>
      </c>
      <c r="G208" s="198">
        <v>0</v>
      </c>
      <c r="H208" s="198">
        <v>0</v>
      </c>
      <c r="I208" s="198">
        <v>0</v>
      </c>
      <c r="J208" s="198">
        <v>0</v>
      </c>
      <c r="K208" s="129">
        <f t="shared" si="66"/>
        <v>0.33329999999999999</v>
      </c>
      <c r="L208" s="264"/>
      <c r="M208" s="220"/>
      <c r="N208" s="225"/>
      <c r="O208" s="874"/>
      <c r="P208" s="221"/>
      <c r="Q208" s="221"/>
      <c r="R208" s="221"/>
      <c r="S208" s="221"/>
      <c r="T208" s="221"/>
      <c r="U208" s="221"/>
      <c r="V208" s="221"/>
      <c r="W208" s="221"/>
      <c r="X208" s="221"/>
      <c r="Y208" s="221"/>
      <c r="Z208" s="221"/>
      <c r="AA208" s="221"/>
      <c r="AB208" s="221"/>
      <c r="AC208" s="221"/>
      <c r="AD208" s="221"/>
      <c r="AE208" s="221"/>
      <c r="AF208" s="221"/>
      <c r="AG208" s="221"/>
      <c r="AH208" s="221"/>
      <c r="AI208" s="221"/>
      <c r="AJ208" s="221"/>
      <c r="AK208" s="221"/>
      <c r="AL208" s="221"/>
      <c r="AM208" s="221"/>
      <c r="AN208" s="221"/>
      <c r="AO208" s="221"/>
      <c r="AP208" s="221"/>
      <c r="AQ208" s="221"/>
      <c r="AR208" s="221"/>
      <c r="AS208" s="221"/>
      <c r="AT208" s="221"/>
      <c r="AU208" s="221"/>
      <c r="AV208" s="221"/>
      <c r="AW208" s="221"/>
      <c r="AX208" s="221"/>
      <c r="AY208" s="221"/>
      <c r="AZ208" s="221"/>
      <c r="BA208" s="221"/>
      <c r="BB208" s="221"/>
      <c r="BC208" s="221"/>
      <c r="BD208" s="221"/>
      <c r="BE208" s="222"/>
    </row>
    <row r="209" spans="1:57" s="219" customFormat="1" ht="12.75" customHeight="1">
      <c r="A209" s="242"/>
      <c r="B209" s="201"/>
      <c r="C209" s="266"/>
      <c r="D209" s="197">
        <v>2027</v>
      </c>
      <c r="E209" s="198">
        <f>F209+G209+H209+I209+J209</f>
        <v>12.166599999999999</v>
      </c>
      <c r="F209" s="198">
        <v>0.60829999999999995</v>
      </c>
      <c r="G209" s="198">
        <v>0</v>
      </c>
      <c r="H209" s="198">
        <v>11.558299999999999</v>
      </c>
      <c r="I209" s="198">
        <v>0</v>
      </c>
      <c r="J209" s="198">
        <v>0</v>
      </c>
      <c r="K209" s="129"/>
      <c r="L209" s="264"/>
      <c r="M209" s="220"/>
      <c r="N209" s="225"/>
      <c r="O209" s="874"/>
      <c r="P209" s="221"/>
      <c r="Q209" s="221"/>
      <c r="R209" s="221"/>
      <c r="S209" s="221"/>
      <c r="T209" s="221"/>
      <c r="U209" s="221"/>
      <c r="V209" s="221"/>
      <c r="W209" s="221"/>
      <c r="X209" s="221"/>
      <c r="Y209" s="221"/>
      <c r="Z209" s="221"/>
      <c r="AA209" s="221"/>
      <c r="AB209" s="221"/>
      <c r="AC209" s="221"/>
      <c r="AD209" s="221"/>
      <c r="AE209" s="221"/>
      <c r="AF209" s="221"/>
      <c r="AG209" s="221"/>
      <c r="AH209" s="221"/>
      <c r="AI209" s="221"/>
      <c r="AJ209" s="221"/>
      <c r="AK209" s="221"/>
      <c r="AL209" s="221"/>
      <c r="AM209" s="221"/>
      <c r="AN209" s="221"/>
      <c r="AO209" s="221"/>
      <c r="AP209" s="221"/>
      <c r="AQ209" s="221"/>
      <c r="AR209" s="221"/>
      <c r="AS209" s="221"/>
      <c r="AT209" s="221"/>
      <c r="AU209" s="221"/>
      <c r="AV209" s="221"/>
      <c r="AW209" s="221"/>
      <c r="AX209" s="221"/>
      <c r="AY209" s="221"/>
      <c r="AZ209" s="221"/>
      <c r="BA209" s="221"/>
      <c r="BB209" s="221"/>
      <c r="BC209" s="221"/>
      <c r="BD209" s="221"/>
      <c r="BE209" s="222"/>
    </row>
    <row r="210" spans="1:57" s="219" customFormat="1" ht="12.75" customHeight="1">
      <c r="A210" s="800" t="s">
        <v>476</v>
      </c>
      <c r="B210" s="797" t="s">
        <v>477</v>
      </c>
      <c r="C210" s="266"/>
      <c r="D210" s="193" t="s">
        <v>16</v>
      </c>
      <c r="E210" s="194">
        <f t="shared" ref="E210:J210" si="70">E211+E212</f>
        <v>19.999999999999996</v>
      </c>
      <c r="F210" s="194">
        <f t="shared" si="70"/>
        <v>0.94</v>
      </c>
      <c r="G210" s="194">
        <f t="shared" si="70"/>
        <v>0</v>
      </c>
      <c r="H210" s="194">
        <f t="shared" si="70"/>
        <v>19.059999999999999</v>
      </c>
      <c r="I210" s="194">
        <f t="shared" si="70"/>
        <v>0</v>
      </c>
      <c r="J210" s="194">
        <f t="shared" si="70"/>
        <v>0</v>
      </c>
      <c r="K210" s="129">
        <f t="shared" ref="K210:K225" si="71">F210+G210+H210+I210+J210</f>
        <v>20</v>
      </c>
      <c r="L210" s="264"/>
      <c r="M210" s="220"/>
      <c r="N210" s="225"/>
      <c r="O210" s="874"/>
      <c r="P210" s="221"/>
      <c r="Q210" s="221"/>
      <c r="R210" s="221"/>
      <c r="S210" s="221"/>
      <c r="T210" s="221"/>
      <c r="U210" s="221"/>
      <c r="V210" s="221"/>
      <c r="W210" s="221"/>
      <c r="X210" s="221"/>
      <c r="Y210" s="221"/>
      <c r="Z210" s="221"/>
      <c r="AA210" s="221"/>
      <c r="AB210" s="221"/>
      <c r="AC210" s="221"/>
      <c r="AD210" s="221"/>
      <c r="AE210" s="221"/>
      <c r="AF210" s="221"/>
      <c r="AG210" s="221"/>
      <c r="AH210" s="221"/>
      <c r="AI210" s="221"/>
      <c r="AJ210" s="221"/>
      <c r="AK210" s="221"/>
      <c r="AL210" s="221"/>
      <c r="AM210" s="221"/>
      <c r="AN210" s="221"/>
      <c r="AO210" s="221"/>
      <c r="AP210" s="221"/>
      <c r="AQ210" s="221"/>
      <c r="AR210" s="221"/>
      <c r="AS210" s="221"/>
      <c r="AT210" s="221"/>
      <c r="AU210" s="221"/>
      <c r="AV210" s="221"/>
      <c r="AW210" s="221"/>
      <c r="AX210" s="221"/>
      <c r="AY210" s="221"/>
      <c r="AZ210" s="221"/>
      <c r="BA210" s="221"/>
      <c r="BB210" s="221"/>
      <c r="BC210" s="221"/>
      <c r="BD210" s="221"/>
      <c r="BE210" s="222"/>
    </row>
    <row r="211" spans="1:57" s="219" customFormat="1" ht="12.75" customHeight="1">
      <c r="A211" s="801"/>
      <c r="B211" s="798"/>
      <c r="C211" s="266"/>
      <c r="D211" s="197">
        <v>2026</v>
      </c>
      <c r="E211" s="198">
        <f>F211</f>
        <v>0.2</v>
      </c>
      <c r="F211" s="198">
        <v>0.2</v>
      </c>
      <c r="G211" s="198">
        <v>0</v>
      </c>
      <c r="H211" s="198">
        <v>0</v>
      </c>
      <c r="I211" s="198">
        <v>0</v>
      </c>
      <c r="J211" s="198">
        <v>0</v>
      </c>
      <c r="K211" s="129">
        <f t="shared" si="71"/>
        <v>0.2</v>
      </c>
      <c r="L211" s="264"/>
      <c r="M211" s="220"/>
      <c r="N211" s="225"/>
      <c r="O211" s="874"/>
      <c r="P211" s="221"/>
      <c r="Q211" s="221"/>
      <c r="R211" s="221"/>
      <c r="S211" s="221"/>
      <c r="T211" s="221"/>
      <c r="U211" s="221"/>
      <c r="V211" s="221"/>
      <c r="W211" s="221"/>
      <c r="X211" s="221"/>
      <c r="Y211" s="221"/>
      <c r="Z211" s="221"/>
      <c r="AA211" s="221"/>
      <c r="AB211" s="221"/>
      <c r="AC211" s="221"/>
      <c r="AD211" s="221"/>
      <c r="AE211" s="221"/>
      <c r="AF211" s="221"/>
      <c r="AG211" s="221"/>
      <c r="AH211" s="221"/>
      <c r="AI211" s="221"/>
      <c r="AJ211" s="221"/>
      <c r="AK211" s="221"/>
      <c r="AL211" s="221"/>
      <c r="AM211" s="221"/>
      <c r="AN211" s="221"/>
      <c r="AO211" s="221"/>
      <c r="AP211" s="221"/>
      <c r="AQ211" s="221"/>
      <c r="AR211" s="221"/>
      <c r="AS211" s="221"/>
      <c r="AT211" s="221"/>
      <c r="AU211" s="221"/>
      <c r="AV211" s="221"/>
      <c r="AW211" s="221"/>
      <c r="AX211" s="221"/>
      <c r="AY211" s="221"/>
      <c r="AZ211" s="221"/>
      <c r="BA211" s="221"/>
      <c r="BB211" s="221"/>
      <c r="BC211" s="221"/>
      <c r="BD211" s="221"/>
      <c r="BE211" s="222"/>
    </row>
    <row r="212" spans="1:57" s="219" customFormat="1" ht="12.75" customHeight="1">
      <c r="A212" s="827"/>
      <c r="B212" s="799"/>
      <c r="C212" s="266"/>
      <c r="D212" s="197">
        <v>2027</v>
      </c>
      <c r="E212" s="198">
        <f>F212+G212+H212+I212+J212</f>
        <v>19.799999999999997</v>
      </c>
      <c r="F212" s="198">
        <v>0.74</v>
      </c>
      <c r="G212" s="198">
        <v>0</v>
      </c>
      <c r="H212" s="198">
        <v>19.059999999999999</v>
      </c>
      <c r="I212" s="198">
        <v>0</v>
      </c>
      <c r="J212" s="198">
        <v>0</v>
      </c>
      <c r="K212" s="129">
        <f t="shared" si="71"/>
        <v>19.799999999999997</v>
      </c>
      <c r="L212" s="264"/>
      <c r="M212" s="220"/>
      <c r="N212" s="225"/>
      <c r="O212" s="874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  <c r="AJ212" s="221"/>
      <c r="AK212" s="221"/>
      <c r="AL212" s="221"/>
      <c r="AM212" s="221"/>
      <c r="AN212" s="221"/>
      <c r="AO212" s="221"/>
      <c r="AP212" s="221"/>
      <c r="AQ212" s="221"/>
      <c r="AR212" s="221"/>
      <c r="AS212" s="221"/>
      <c r="AT212" s="221"/>
      <c r="AU212" s="221"/>
      <c r="AV212" s="221"/>
      <c r="AW212" s="221"/>
      <c r="AX212" s="221"/>
      <c r="AY212" s="221"/>
      <c r="AZ212" s="221"/>
      <c r="BA212" s="221"/>
      <c r="BB212" s="221"/>
      <c r="BC212" s="221"/>
      <c r="BD212" s="221"/>
      <c r="BE212" s="222"/>
    </row>
    <row r="213" spans="1:57" s="219" customFormat="1" ht="12.75" customHeight="1">
      <c r="A213" s="800" t="s">
        <v>478</v>
      </c>
      <c r="B213" s="797" t="s">
        <v>479</v>
      </c>
      <c r="C213" s="266"/>
      <c r="D213" s="193" t="s">
        <v>16</v>
      </c>
      <c r="E213" s="194">
        <f t="shared" ref="E213:J213" si="72">E214+E215</f>
        <v>16.25</v>
      </c>
      <c r="F213" s="194">
        <f t="shared" si="72"/>
        <v>1.05</v>
      </c>
      <c r="G213" s="194">
        <f t="shared" si="72"/>
        <v>0</v>
      </c>
      <c r="H213" s="194">
        <f t="shared" si="72"/>
        <v>15.2</v>
      </c>
      <c r="I213" s="194">
        <f t="shared" si="72"/>
        <v>0</v>
      </c>
      <c r="J213" s="194">
        <f t="shared" si="72"/>
        <v>0</v>
      </c>
      <c r="K213" s="129">
        <f t="shared" si="71"/>
        <v>16.25</v>
      </c>
      <c r="L213" s="264"/>
      <c r="M213" s="220"/>
      <c r="N213" s="225"/>
      <c r="O213" s="874"/>
      <c r="P213" s="221"/>
      <c r="Q213" s="221"/>
      <c r="R213" s="221"/>
      <c r="S213" s="221"/>
      <c r="T213" s="221"/>
      <c r="U213" s="221"/>
      <c r="V213" s="221"/>
      <c r="W213" s="221"/>
      <c r="X213" s="221"/>
      <c r="Y213" s="221"/>
      <c r="Z213" s="221"/>
      <c r="AA213" s="221"/>
      <c r="AB213" s="221"/>
      <c r="AC213" s="221"/>
      <c r="AD213" s="221"/>
      <c r="AE213" s="221"/>
      <c r="AF213" s="221"/>
      <c r="AG213" s="221"/>
      <c r="AH213" s="221"/>
      <c r="AI213" s="221"/>
      <c r="AJ213" s="221"/>
      <c r="AK213" s="221"/>
      <c r="AL213" s="221"/>
      <c r="AM213" s="221"/>
      <c r="AN213" s="221"/>
      <c r="AO213" s="221"/>
      <c r="AP213" s="221"/>
      <c r="AQ213" s="221"/>
      <c r="AR213" s="221"/>
      <c r="AS213" s="221"/>
      <c r="AT213" s="221"/>
      <c r="AU213" s="221"/>
      <c r="AV213" s="221"/>
      <c r="AW213" s="221"/>
      <c r="AX213" s="221"/>
      <c r="AY213" s="221"/>
      <c r="AZ213" s="221"/>
      <c r="BA213" s="221"/>
      <c r="BB213" s="221"/>
      <c r="BC213" s="221"/>
      <c r="BD213" s="221"/>
      <c r="BE213" s="222"/>
    </row>
    <row r="214" spans="1:57" s="219" customFormat="1" ht="12.75" customHeight="1">
      <c r="A214" s="801"/>
      <c r="B214" s="798"/>
      <c r="C214" s="266"/>
      <c r="D214" s="197">
        <v>2026</v>
      </c>
      <c r="E214" s="198">
        <f>F214</f>
        <v>0.25</v>
      </c>
      <c r="F214" s="198">
        <v>0.25</v>
      </c>
      <c r="G214" s="198">
        <v>0</v>
      </c>
      <c r="H214" s="198">
        <v>0</v>
      </c>
      <c r="I214" s="198">
        <v>0</v>
      </c>
      <c r="J214" s="198">
        <v>0</v>
      </c>
      <c r="K214" s="129">
        <f t="shared" si="71"/>
        <v>0.25</v>
      </c>
      <c r="L214" s="264"/>
      <c r="M214" s="220"/>
      <c r="N214" s="225"/>
      <c r="O214" s="874"/>
      <c r="P214" s="221"/>
      <c r="Q214" s="221"/>
      <c r="R214" s="221"/>
      <c r="S214" s="221"/>
      <c r="T214" s="221"/>
      <c r="U214" s="221"/>
      <c r="V214" s="221"/>
      <c r="W214" s="221"/>
      <c r="X214" s="221"/>
      <c r="Y214" s="221"/>
      <c r="Z214" s="221"/>
      <c r="AA214" s="221"/>
      <c r="AB214" s="221"/>
      <c r="AC214" s="221"/>
      <c r="AD214" s="221"/>
      <c r="AE214" s="221"/>
      <c r="AF214" s="221"/>
      <c r="AG214" s="221"/>
      <c r="AH214" s="221"/>
      <c r="AI214" s="221"/>
      <c r="AJ214" s="221"/>
      <c r="AK214" s="221"/>
      <c r="AL214" s="221"/>
      <c r="AM214" s="221"/>
      <c r="AN214" s="221"/>
      <c r="AO214" s="221"/>
      <c r="AP214" s="221"/>
      <c r="AQ214" s="221"/>
      <c r="AR214" s="221"/>
      <c r="AS214" s="221"/>
      <c r="AT214" s="221"/>
      <c r="AU214" s="221"/>
      <c r="AV214" s="221"/>
      <c r="AW214" s="221"/>
      <c r="AX214" s="221"/>
      <c r="AY214" s="221"/>
      <c r="AZ214" s="221"/>
      <c r="BA214" s="221"/>
      <c r="BB214" s="221"/>
      <c r="BC214" s="221"/>
      <c r="BD214" s="221"/>
      <c r="BE214" s="222"/>
    </row>
    <row r="215" spans="1:57" s="219" customFormat="1" ht="12.75" customHeight="1">
      <c r="A215" s="827"/>
      <c r="B215" s="799"/>
      <c r="C215" s="266"/>
      <c r="D215" s="197">
        <v>2027</v>
      </c>
      <c r="E215" s="198">
        <f>F215+G215+H215+I215+J215</f>
        <v>16</v>
      </c>
      <c r="F215" s="198">
        <v>0.8</v>
      </c>
      <c r="G215" s="198">
        <v>0</v>
      </c>
      <c r="H215" s="198">
        <v>15.2</v>
      </c>
      <c r="I215" s="198">
        <v>0</v>
      </c>
      <c r="J215" s="198">
        <v>0</v>
      </c>
      <c r="K215" s="129">
        <f t="shared" si="71"/>
        <v>16</v>
      </c>
      <c r="L215" s="264"/>
      <c r="M215" s="220"/>
      <c r="N215" s="225"/>
      <c r="O215" s="874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  <c r="AA215" s="221"/>
      <c r="AB215" s="221"/>
      <c r="AC215" s="221"/>
      <c r="AD215" s="221"/>
      <c r="AE215" s="221"/>
      <c r="AF215" s="221"/>
      <c r="AG215" s="221"/>
      <c r="AH215" s="221"/>
      <c r="AI215" s="221"/>
      <c r="AJ215" s="221"/>
      <c r="AK215" s="221"/>
      <c r="AL215" s="221"/>
      <c r="AM215" s="221"/>
      <c r="AN215" s="221"/>
      <c r="AO215" s="221"/>
      <c r="AP215" s="221"/>
      <c r="AQ215" s="221"/>
      <c r="AR215" s="221"/>
      <c r="AS215" s="221"/>
      <c r="AT215" s="221"/>
      <c r="AU215" s="221"/>
      <c r="AV215" s="221"/>
      <c r="AW215" s="221"/>
      <c r="AX215" s="221"/>
      <c r="AY215" s="221"/>
      <c r="AZ215" s="221"/>
      <c r="BA215" s="221"/>
      <c r="BB215" s="221"/>
      <c r="BC215" s="221"/>
      <c r="BD215" s="221"/>
      <c r="BE215" s="222"/>
    </row>
    <row r="216" spans="1:57" s="219" customFormat="1" ht="12.75" customHeight="1">
      <c r="A216" s="800" t="s">
        <v>480</v>
      </c>
      <c r="B216" s="797" t="s">
        <v>481</v>
      </c>
      <c r="C216" s="266"/>
      <c r="D216" s="193" t="s">
        <v>16</v>
      </c>
      <c r="E216" s="194">
        <f t="shared" ref="E216:J216" si="73">E218+E217</f>
        <v>16.25</v>
      </c>
      <c r="F216" s="194">
        <f t="shared" si="73"/>
        <v>1.05</v>
      </c>
      <c r="G216" s="194">
        <f t="shared" si="73"/>
        <v>0</v>
      </c>
      <c r="H216" s="194">
        <f t="shared" si="73"/>
        <v>15.2</v>
      </c>
      <c r="I216" s="194">
        <f t="shared" si="73"/>
        <v>0</v>
      </c>
      <c r="J216" s="194">
        <f t="shared" si="73"/>
        <v>0</v>
      </c>
      <c r="K216" s="129">
        <f t="shared" si="71"/>
        <v>16.25</v>
      </c>
      <c r="L216" s="264"/>
      <c r="M216" s="220"/>
      <c r="N216" s="225"/>
      <c r="O216" s="874"/>
      <c r="P216" s="221"/>
      <c r="Q216" s="221"/>
      <c r="R216" s="221"/>
      <c r="S216" s="221"/>
      <c r="T216" s="221"/>
      <c r="U216" s="221"/>
      <c r="V216" s="221"/>
      <c r="W216" s="221"/>
      <c r="X216" s="221"/>
      <c r="Y216" s="221"/>
      <c r="Z216" s="221"/>
      <c r="AA216" s="221"/>
      <c r="AB216" s="221"/>
      <c r="AC216" s="221"/>
      <c r="AD216" s="221"/>
      <c r="AE216" s="221"/>
      <c r="AF216" s="221"/>
      <c r="AG216" s="221"/>
      <c r="AH216" s="221"/>
      <c r="AI216" s="221"/>
      <c r="AJ216" s="221"/>
      <c r="AK216" s="221"/>
      <c r="AL216" s="221"/>
      <c r="AM216" s="221"/>
      <c r="AN216" s="221"/>
      <c r="AO216" s="221"/>
      <c r="AP216" s="221"/>
      <c r="AQ216" s="221"/>
      <c r="AR216" s="221"/>
      <c r="AS216" s="221"/>
      <c r="AT216" s="221"/>
      <c r="AU216" s="221"/>
      <c r="AV216" s="221"/>
      <c r="AW216" s="221"/>
      <c r="AX216" s="221"/>
      <c r="AY216" s="221"/>
      <c r="AZ216" s="221"/>
      <c r="BA216" s="221"/>
      <c r="BB216" s="221"/>
      <c r="BC216" s="221"/>
      <c r="BD216" s="221"/>
      <c r="BE216" s="222"/>
    </row>
    <row r="217" spans="1:57" s="219" customFormat="1" ht="12.75" customHeight="1">
      <c r="A217" s="801"/>
      <c r="B217" s="828"/>
      <c r="C217" s="266"/>
      <c r="D217" s="197">
        <v>2026</v>
      </c>
      <c r="E217" s="198">
        <f>F217</f>
        <v>0.25</v>
      </c>
      <c r="F217" s="198">
        <v>0.25</v>
      </c>
      <c r="G217" s="198">
        <v>0</v>
      </c>
      <c r="H217" s="198">
        <v>0</v>
      </c>
      <c r="I217" s="198">
        <v>0</v>
      </c>
      <c r="J217" s="198">
        <v>0</v>
      </c>
      <c r="K217" s="129">
        <f t="shared" si="71"/>
        <v>0.25</v>
      </c>
      <c r="L217" s="264"/>
      <c r="M217" s="220"/>
      <c r="N217" s="225"/>
      <c r="O217" s="874"/>
      <c r="P217" s="221"/>
      <c r="Q217" s="221"/>
      <c r="R217" s="221"/>
      <c r="S217" s="221"/>
      <c r="T217" s="221"/>
      <c r="U217" s="221"/>
      <c r="V217" s="221"/>
      <c r="W217" s="221"/>
      <c r="X217" s="221"/>
      <c r="Y217" s="221"/>
      <c r="Z217" s="221"/>
      <c r="AA217" s="221"/>
      <c r="AB217" s="221"/>
      <c r="AC217" s="221"/>
      <c r="AD217" s="221"/>
      <c r="AE217" s="221"/>
      <c r="AF217" s="221"/>
      <c r="AG217" s="221"/>
      <c r="AH217" s="221"/>
      <c r="AI217" s="221"/>
      <c r="AJ217" s="221"/>
      <c r="AK217" s="221"/>
      <c r="AL217" s="221"/>
      <c r="AM217" s="221"/>
      <c r="AN217" s="221"/>
      <c r="AO217" s="221"/>
      <c r="AP217" s="221"/>
      <c r="AQ217" s="221"/>
      <c r="AR217" s="221"/>
      <c r="AS217" s="221"/>
      <c r="AT217" s="221"/>
      <c r="AU217" s="221"/>
      <c r="AV217" s="221"/>
      <c r="AW217" s="221"/>
      <c r="AX217" s="221"/>
      <c r="AY217" s="221"/>
      <c r="AZ217" s="221"/>
      <c r="BA217" s="221"/>
      <c r="BB217" s="221"/>
      <c r="BC217" s="221"/>
      <c r="BD217" s="221"/>
      <c r="BE217" s="222"/>
    </row>
    <row r="218" spans="1:57" s="219" customFormat="1" ht="12.75" customHeight="1">
      <c r="A218" s="827"/>
      <c r="B218" s="829"/>
      <c r="C218" s="266"/>
      <c r="D218" s="197">
        <v>2027</v>
      </c>
      <c r="E218" s="198">
        <f>F218+G218+H218</f>
        <v>16</v>
      </c>
      <c r="F218" s="198">
        <v>0.8</v>
      </c>
      <c r="G218" s="198">
        <v>0</v>
      </c>
      <c r="H218" s="198">
        <v>15.2</v>
      </c>
      <c r="I218" s="198">
        <v>0</v>
      </c>
      <c r="J218" s="198">
        <v>0</v>
      </c>
      <c r="K218" s="129">
        <f t="shared" si="71"/>
        <v>16</v>
      </c>
      <c r="L218" s="264"/>
      <c r="M218" s="220"/>
      <c r="N218" s="225"/>
      <c r="O218" s="874"/>
      <c r="P218" s="221"/>
      <c r="Q218" s="221"/>
      <c r="R218" s="221"/>
      <c r="S218" s="221"/>
      <c r="T218" s="221"/>
      <c r="U218" s="221"/>
      <c r="V218" s="221"/>
      <c r="W218" s="221"/>
      <c r="X218" s="221"/>
      <c r="Y218" s="221"/>
      <c r="Z218" s="221"/>
      <c r="AA218" s="221"/>
      <c r="AB218" s="221"/>
      <c r="AC218" s="221"/>
      <c r="AD218" s="221"/>
      <c r="AE218" s="221"/>
      <c r="AF218" s="221"/>
      <c r="AG218" s="221"/>
      <c r="AH218" s="221"/>
      <c r="AI218" s="221"/>
      <c r="AJ218" s="221"/>
      <c r="AK218" s="221"/>
      <c r="AL218" s="221"/>
      <c r="AM218" s="221"/>
      <c r="AN218" s="221"/>
      <c r="AO218" s="221"/>
      <c r="AP218" s="221"/>
      <c r="AQ218" s="221"/>
      <c r="AR218" s="221"/>
      <c r="AS218" s="221"/>
      <c r="AT218" s="221"/>
      <c r="AU218" s="221"/>
      <c r="AV218" s="221"/>
      <c r="AW218" s="221"/>
      <c r="AX218" s="221"/>
      <c r="AY218" s="221"/>
      <c r="AZ218" s="221"/>
      <c r="BA218" s="221"/>
      <c r="BB218" s="221"/>
      <c r="BC218" s="221"/>
      <c r="BD218" s="221"/>
      <c r="BE218" s="222"/>
    </row>
    <row r="219" spans="1:57" s="219" customFormat="1" ht="12.75" customHeight="1">
      <c r="A219" s="800" t="s">
        <v>482</v>
      </c>
      <c r="B219" s="797" t="s">
        <v>483</v>
      </c>
      <c r="C219" s="266"/>
      <c r="D219" s="193" t="s">
        <v>16</v>
      </c>
      <c r="E219" s="194">
        <f t="shared" ref="E219:J219" si="74">E221+E220</f>
        <v>22.5</v>
      </c>
      <c r="F219" s="194">
        <f t="shared" si="74"/>
        <v>1.5049999999999999</v>
      </c>
      <c r="G219" s="194">
        <f t="shared" si="74"/>
        <v>0</v>
      </c>
      <c r="H219" s="194">
        <f t="shared" si="74"/>
        <v>20.995000000000001</v>
      </c>
      <c r="I219" s="194">
        <f t="shared" si="74"/>
        <v>0</v>
      </c>
      <c r="J219" s="194">
        <f t="shared" si="74"/>
        <v>0</v>
      </c>
      <c r="K219" s="129">
        <f t="shared" si="71"/>
        <v>22.5</v>
      </c>
      <c r="L219" s="264"/>
      <c r="M219" s="220"/>
      <c r="N219" s="225"/>
      <c r="O219" s="874"/>
      <c r="P219" s="221"/>
      <c r="Q219" s="221"/>
      <c r="R219" s="221"/>
      <c r="S219" s="221"/>
      <c r="T219" s="221"/>
      <c r="U219" s="221"/>
      <c r="V219" s="221"/>
      <c r="W219" s="221"/>
      <c r="X219" s="221"/>
      <c r="Y219" s="221"/>
      <c r="Z219" s="221"/>
      <c r="AA219" s="221"/>
      <c r="AB219" s="221"/>
      <c r="AC219" s="221"/>
      <c r="AD219" s="221"/>
      <c r="AE219" s="221"/>
      <c r="AF219" s="221"/>
      <c r="AG219" s="221"/>
      <c r="AH219" s="221"/>
      <c r="AI219" s="221"/>
      <c r="AJ219" s="221"/>
      <c r="AK219" s="221"/>
      <c r="AL219" s="221"/>
      <c r="AM219" s="221"/>
      <c r="AN219" s="221"/>
      <c r="AO219" s="221"/>
      <c r="AP219" s="221"/>
      <c r="AQ219" s="221"/>
      <c r="AR219" s="221"/>
      <c r="AS219" s="221"/>
      <c r="AT219" s="221"/>
      <c r="AU219" s="221"/>
      <c r="AV219" s="221"/>
      <c r="AW219" s="221"/>
      <c r="AX219" s="221"/>
      <c r="AY219" s="221"/>
      <c r="AZ219" s="221"/>
      <c r="BA219" s="221"/>
      <c r="BB219" s="221"/>
      <c r="BC219" s="221"/>
      <c r="BD219" s="221"/>
      <c r="BE219" s="222"/>
    </row>
    <row r="220" spans="1:57" s="219" customFormat="1" ht="12.75" customHeight="1">
      <c r="A220" s="801"/>
      <c r="B220" s="798"/>
      <c r="C220" s="266"/>
      <c r="D220" s="197">
        <v>2026</v>
      </c>
      <c r="E220" s="198">
        <f>F220</f>
        <v>0.4</v>
      </c>
      <c r="F220" s="198">
        <v>0.4</v>
      </c>
      <c r="G220" s="198">
        <v>0</v>
      </c>
      <c r="H220" s="198">
        <v>0</v>
      </c>
      <c r="I220" s="198">
        <v>0</v>
      </c>
      <c r="J220" s="198">
        <v>0</v>
      </c>
      <c r="K220" s="129">
        <f t="shared" si="71"/>
        <v>0.4</v>
      </c>
      <c r="L220" s="264"/>
      <c r="M220" s="220"/>
      <c r="N220" s="225"/>
      <c r="O220" s="874"/>
      <c r="P220" s="221"/>
      <c r="Q220" s="221"/>
      <c r="R220" s="221"/>
      <c r="S220" s="221"/>
      <c r="T220" s="221"/>
      <c r="U220" s="221"/>
      <c r="V220" s="221"/>
      <c r="W220" s="221"/>
      <c r="X220" s="221"/>
      <c r="Y220" s="221"/>
      <c r="Z220" s="221"/>
      <c r="AA220" s="221"/>
      <c r="AB220" s="221"/>
      <c r="AC220" s="221"/>
      <c r="AD220" s="221"/>
      <c r="AE220" s="221"/>
      <c r="AF220" s="221"/>
      <c r="AG220" s="221"/>
      <c r="AH220" s="221"/>
      <c r="AI220" s="221"/>
      <c r="AJ220" s="221"/>
      <c r="AK220" s="221"/>
      <c r="AL220" s="221"/>
      <c r="AM220" s="221"/>
      <c r="AN220" s="221"/>
      <c r="AO220" s="221"/>
      <c r="AP220" s="221"/>
      <c r="AQ220" s="221"/>
      <c r="AR220" s="221"/>
      <c r="AS220" s="221"/>
      <c r="AT220" s="221"/>
      <c r="AU220" s="221"/>
      <c r="AV220" s="221"/>
      <c r="AW220" s="221"/>
      <c r="AX220" s="221"/>
      <c r="AY220" s="221"/>
      <c r="AZ220" s="221"/>
      <c r="BA220" s="221"/>
      <c r="BB220" s="221"/>
      <c r="BC220" s="221"/>
      <c r="BD220" s="221"/>
      <c r="BE220" s="222"/>
    </row>
    <row r="221" spans="1:57" s="219" customFormat="1" ht="12.75" customHeight="1">
      <c r="A221" s="827"/>
      <c r="B221" s="799"/>
      <c r="C221" s="266"/>
      <c r="D221" s="197">
        <v>2027</v>
      </c>
      <c r="E221" s="198">
        <f>F221+G221+H221+I221+J221</f>
        <v>22.1</v>
      </c>
      <c r="F221" s="198">
        <v>1.105</v>
      </c>
      <c r="G221" s="198">
        <v>0</v>
      </c>
      <c r="H221" s="198">
        <v>20.995000000000001</v>
      </c>
      <c r="I221" s="198">
        <v>0</v>
      </c>
      <c r="J221" s="198">
        <v>0</v>
      </c>
      <c r="K221" s="129">
        <f t="shared" si="71"/>
        <v>22.1</v>
      </c>
      <c r="L221" s="264"/>
      <c r="M221" s="220"/>
      <c r="N221" s="225"/>
      <c r="O221" s="874"/>
      <c r="P221" s="221"/>
      <c r="Q221" s="221"/>
      <c r="R221" s="221"/>
      <c r="S221" s="221"/>
      <c r="T221" s="221"/>
      <c r="U221" s="221"/>
      <c r="V221" s="221"/>
      <c r="W221" s="221"/>
      <c r="X221" s="221"/>
      <c r="Y221" s="221"/>
      <c r="Z221" s="221"/>
      <c r="AA221" s="221"/>
      <c r="AB221" s="221"/>
      <c r="AC221" s="221"/>
      <c r="AD221" s="221"/>
      <c r="AE221" s="221"/>
      <c r="AF221" s="221"/>
      <c r="AG221" s="221"/>
      <c r="AH221" s="221"/>
      <c r="AI221" s="221"/>
      <c r="AJ221" s="221"/>
      <c r="AK221" s="221"/>
      <c r="AL221" s="221"/>
      <c r="AM221" s="221"/>
      <c r="AN221" s="221"/>
      <c r="AO221" s="221"/>
      <c r="AP221" s="221"/>
      <c r="AQ221" s="221"/>
      <c r="AR221" s="221"/>
      <c r="AS221" s="221"/>
      <c r="AT221" s="221"/>
      <c r="AU221" s="221"/>
      <c r="AV221" s="221"/>
      <c r="AW221" s="221"/>
      <c r="AX221" s="221"/>
      <c r="AY221" s="221"/>
      <c r="AZ221" s="221"/>
      <c r="BA221" s="221"/>
      <c r="BB221" s="221"/>
      <c r="BC221" s="221"/>
      <c r="BD221" s="221"/>
      <c r="BE221" s="222"/>
    </row>
    <row r="222" spans="1:57" s="202" customFormat="1" ht="12.75" customHeight="1">
      <c r="A222" s="802" t="s">
        <v>484</v>
      </c>
      <c r="B222" s="830" t="s">
        <v>485</v>
      </c>
      <c r="C222" s="836" t="s">
        <v>372</v>
      </c>
      <c r="D222" s="204" t="s">
        <v>16</v>
      </c>
      <c r="E222" s="205">
        <f t="shared" ref="E222:J222" si="75">E223</f>
        <v>2.4718</v>
      </c>
      <c r="F222" s="205">
        <f t="shared" si="75"/>
        <v>2.4718</v>
      </c>
      <c r="G222" s="205">
        <f t="shared" si="75"/>
        <v>0</v>
      </c>
      <c r="H222" s="205">
        <f t="shared" si="75"/>
        <v>0</v>
      </c>
      <c r="I222" s="205">
        <f t="shared" si="75"/>
        <v>0</v>
      </c>
      <c r="J222" s="205">
        <f t="shared" si="75"/>
        <v>0</v>
      </c>
      <c r="K222" s="120">
        <f t="shared" si="71"/>
        <v>2.4718</v>
      </c>
      <c r="L222" s="262"/>
      <c r="M222" s="206"/>
      <c r="N222" s="263"/>
      <c r="O222" s="874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  <c r="AZ222" s="207"/>
      <c r="BA222" s="207"/>
      <c r="BB222" s="207"/>
      <c r="BC222" s="207"/>
      <c r="BD222" s="207"/>
      <c r="BE222" s="208"/>
    </row>
    <row r="223" spans="1:57" s="202" customFormat="1" ht="12.75" customHeight="1">
      <c r="A223" s="803"/>
      <c r="B223" s="831"/>
      <c r="C223" s="837"/>
      <c r="D223" s="211">
        <v>2019</v>
      </c>
      <c r="E223" s="212">
        <f>F223</f>
        <v>2.4718</v>
      </c>
      <c r="F223" s="212">
        <v>2.4718</v>
      </c>
      <c r="G223" s="212">
        <v>0</v>
      </c>
      <c r="H223" s="212">
        <v>0</v>
      </c>
      <c r="I223" s="212">
        <v>0</v>
      </c>
      <c r="J223" s="212">
        <v>0</v>
      </c>
      <c r="K223" s="120">
        <f t="shared" si="71"/>
        <v>2.4718</v>
      </c>
      <c r="L223" s="262"/>
      <c r="M223" s="206"/>
      <c r="N223" s="263"/>
      <c r="O223" s="874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8"/>
    </row>
    <row r="224" spans="1:57" s="248" customFormat="1" ht="12.75" customHeight="1">
      <c r="A224" s="811" t="s">
        <v>486</v>
      </c>
      <c r="B224" s="813" t="s">
        <v>487</v>
      </c>
      <c r="D224" s="250" t="s">
        <v>16</v>
      </c>
      <c r="E224" s="251">
        <f t="shared" ref="E224:J224" si="76">E225</f>
        <v>0.32229999999999998</v>
      </c>
      <c r="F224" s="251">
        <f t="shared" si="76"/>
        <v>0.32229999999999998</v>
      </c>
      <c r="G224" s="251">
        <f t="shared" si="76"/>
        <v>0</v>
      </c>
      <c r="H224" s="251">
        <f t="shared" si="76"/>
        <v>0</v>
      </c>
      <c r="I224" s="251">
        <f t="shared" si="76"/>
        <v>0</v>
      </c>
      <c r="J224" s="251">
        <f t="shared" si="76"/>
        <v>0</v>
      </c>
      <c r="K224" s="252">
        <f t="shared" si="71"/>
        <v>0.32229999999999998</v>
      </c>
      <c r="L224" s="267"/>
      <c r="M224" s="253"/>
      <c r="N224" s="254"/>
      <c r="O224" s="874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  <c r="AA224" s="255"/>
      <c r="AB224" s="255"/>
      <c r="AC224" s="255"/>
      <c r="AD224" s="255"/>
      <c r="AE224" s="255"/>
      <c r="AF224" s="255"/>
      <c r="AG224" s="255"/>
      <c r="AH224" s="255"/>
      <c r="AI224" s="255"/>
      <c r="AJ224" s="255"/>
      <c r="AK224" s="255"/>
      <c r="AL224" s="255"/>
      <c r="AM224" s="255"/>
      <c r="AN224" s="255"/>
      <c r="AO224" s="255"/>
      <c r="AP224" s="255"/>
      <c r="AQ224" s="255"/>
      <c r="AR224" s="255"/>
      <c r="AS224" s="255"/>
      <c r="AT224" s="255"/>
      <c r="AU224" s="255"/>
      <c r="AV224" s="255"/>
      <c r="AW224" s="255"/>
      <c r="AX224" s="255"/>
      <c r="AY224" s="255"/>
      <c r="AZ224" s="255"/>
      <c r="BA224" s="255"/>
      <c r="BB224" s="255"/>
      <c r="BC224" s="255"/>
      <c r="BD224" s="255"/>
      <c r="BE224" s="256"/>
    </row>
    <row r="225" spans="1:57" s="248" customFormat="1" ht="21" customHeight="1">
      <c r="A225" s="812"/>
      <c r="B225" s="814"/>
      <c r="C225" s="268" t="s">
        <v>372</v>
      </c>
      <c r="D225" s="260">
        <v>2019</v>
      </c>
      <c r="E225" s="261">
        <f>F225+G225+H225+I225+J225</f>
        <v>0.32229999999999998</v>
      </c>
      <c r="F225" s="261">
        <v>0.32229999999999998</v>
      </c>
      <c r="G225" s="261">
        <v>0</v>
      </c>
      <c r="H225" s="261">
        <v>0</v>
      </c>
      <c r="I225" s="261">
        <v>0</v>
      </c>
      <c r="J225" s="261">
        <v>0</v>
      </c>
      <c r="K225" s="252">
        <f t="shared" si="71"/>
        <v>0.32229999999999998</v>
      </c>
      <c r="L225" s="267"/>
      <c r="M225" s="253"/>
      <c r="N225" s="254"/>
      <c r="O225" s="874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  <c r="AA225" s="255"/>
      <c r="AB225" s="255"/>
      <c r="AC225" s="255"/>
      <c r="AD225" s="255"/>
      <c r="AE225" s="255"/>
      <c r="AF225" s="255"/>
      <c r="AG225" s="255"/>
      <c r="AH225" s="255"/>
      <c r="AI225" s="255"/>
      <c r="AJ225" s="255"/>
      <c r="AK225" s="255"/>
      <c r="AL225" s="255"/>
      <c r="AM225" s="255"/>
      <c r="AN225" s="255"/>
      <c r="AO225" s="255"/>
      <c r="AP225" s="255"/>
      <c r="AQ225" s="255"/>
      <c r="AR225" s="255"/>
      <c r="AS225" s="255"/>
      <c r="AT225" s="255"/>
      <c r="AU225" s="255"/>
      <c r="AV225" s="255"/>
      <c r="AW225" s="255"/>
      <c r="AX225" s="255"/>
      <c r="AY225" s="255"/>
      <c r="AZ225" s="255"/>
      <c r="BA225" s="255"/>
      <c r="BB225" s="255"/>
      <c r="BC225" s="255"/>
      <c r="BD225" s="255"/>
      <c r="BE225" s="256"/>
    </row>
    <row r="226" spans="1:57" s="248" customFormat="1" ht="21" customHeight="1">
      <c r="A226" s="257"/>
      <c r="B226" s="258"/>
      <c r="C226" s="269" t="s">
        <v>373</v>
      </c>
      <c r="D226" s="260">
        <v>2020</v>
      </c>
      <c r="E226" s="261">
        <f>F226+G226+H226</f>
        <v>24.802499999999998</v>
      </c>
      <c r="F226" s="261">
        <v>3.2244000000000002</v>
      </c>
      <c r="G226" s="261">
        <v>0</v>
      </c>
      <c r="H226" s="261">
        <v>21.578099999999999</v>
      </c>
      <c r="I226" s="261"/>
      <c r="J226" s="261"/>
      <c r="K226" s="252"/>
      <c r="L226" s="267"/>
      <c r="M226" s="253"/>
      <c r="N226" s="254"/>
      <c r="O226" s="874"/>
      <c r="P226" s="255"/>
      <c r="Q226" s="255"/>
      <c r="R226" s="255"/>
      <c r="S226" s="255"/>
      <c r="T226" s="255"/>
      <c r="U226" s="255"/>
      <c r="V226" s="255"/>
      <c r="W226" s="255"/>
      <c r="X226" s="255"/>
      <c r="Y226" s="255"/>
      <c r="Z226" s="255"/>
      <c r="AA226" s="255"/>
      <c r="AB226" s="255"/>
      <c r="AC226" s="255"/>
      <c r="AD226" s="255"/>
      <c r="AE226" s="255"/>
      <c r="AF226" s="255"/>
      <c r="AG226" s="255"/>
      <c r="AH226" s="255"/>
      <c r="AI226" s="255"/>
      <c r="AJ226" s="255"/>
      <c r="AK226" s="255"/>
      <c r="AL226" s="255"/>
      <c r="AM226" s="255"/>
      <c r="AN226" s="255"/>
      <c r="AO226" s="255"/>
      <c r="AP226" s="255"/>
      <c r="AQ226" s="255"/>
      <c r="AR226" s="255"/>
      <c r="AS226" s="255"/>
      <c r="AT226" s="255"/>
      <c r="AU226" s="255"/>
      <c r="AV226" s="255"/>
      <c r="AW226" s="255"/>
      <c r="AX226" s="255"/>
      <c r="AY226" s="255"/>
      <c r="AZ226" s="255"/>
      <c r="BA226" s="255"/>
      <c r="BB226" s="255"/>
      <c r="BC226" s="255"/>
      <c r="BD226" s="255"/>
      <c r="BE226" s="256"/>
    </row>
    <row r="227" spans="1:57" s="219" customFormat="1" ht="12.75" customHeight="1">
      <c r="A227" s="800" t="s">
        <v>488</v>
      </c>
      <c r="B227" s="797" t="s">
        <v>489</v>
      </c>
      <c r="C227" s="860" t="s">
        <v>407</v>
      </c>
      <c r="D227" s="193" t="s">
        <v>16</v>
      </c>
      <c r="E227" s="194">
        <f t="shared" ref="E227:J227" si="77">E228+E229+E230</f>
        <v>83.299970000000002</v>
      </c>
      <c r="F227" s="194">
        <f t="shared" si="77"/>
        <v>11.8714</v>
      </c>
      <c r="G227" s="194">
        <f t="shared" si="77"/>
        <v>0</v>
      </c>
      <c r="H227" s="194">
        <f t="shared" si="77"/>
        <v>71.428570000000008</v>
      </c>
      <c r="I227" s="194">
        <f t="shared" si="77"/>
        <v>0</v>
      </c>
      <c r="J227" s="194">
        <f t="shared" si="77"/>
        <v>0</v>
      </c>
      <c r="K227" s="129">
        <f t="shared" ref="K227:K245" si="78">F227+G227+H227+I227+J227</f>
        <v>83.299970000000002</v>
      </c>
      <c r="L227" s="264"/>
      <c r="M227" s="220"/>
      <c r="N227" s="225"/>
      <c r="O227" s="874"/>
      <c r="P227" s="221"/>
      <c r="Q227" s="221"/>
      <c r="R227" s="221"/>
      <c r="S227" s="221"/>
      <c r="T227" s="221"/>
      <c r="U227" s="221"/>
      <c r="V227" s="221"/>
      <c r="W227" s="221"/>
      <c r="X227" s="221"/>
      <c r="Y227" s="221"/>
      <c r="Z227" s="221"/>
      <c r="AA227" s="221"/>
      <c r="AB227" s="221"/>
      <c r="AC227" s="221"/>
      <c r="AD227" s="221"/>
      <c r="AE227" s="221"/>
      <c r="AF227" s="221"/>
      <c r="AG227" s="221"/>
      <c r="AH227" s="221"/>
      <c r="AI227" s="221"/>
      <c r="AJ227" s="221"/>
      <c r="AK227" s="221"/>
      <c r="AL227" s="221"/>
      <c r="AM227" s="221"/>
      <c r="AN227" s="221"/>
      <c r="AO227" s="221"/>
      <c r="AP227" s="221"/>
      <c r="AQ227" s="221"/>
      <c r="AR227" s="221"/>
      <c r="AS227" s="221"/>
      <c r="AT227" s="221"/>
      <c r="AU227" s="221"/>
      <c r="AV227" s="221"/>
      <c r="AW227" s="221"/>
      <c r="AX227" s="221"/>
      <c r="AY227" s="221"/>
      <c r="AZ227" s="221"/>
      <c r="BA227" s="221"/>
      <c r="BB227" s="221"/>
      <c r="BC227" s="221"/>
      <c r="BD227" s="221"/>
      <c r="BE227" s="222"/>
    </row>
    <row r="228" spans="1:57" s="219" customFormat="1" ht="12.75" customHeight="1">
      <c r="A228" s="801"/>
      <c r="B228" s="798"/>
      <c r="C228" s="861"/>
      <c r="D228" s="197">
        <v>2026</v>
      </c>
      <c r="E228" s="198">
        <f>F228+G228+H228+I228+J228</f>
        <v>8.3000000000000007</v>
      </c>
      <c r="F228" s="198">
        <v>8.3000000000000007</v>
      </c>
      <c r="G228" s="198">
        <v>0</v>
      </c>
      <c r="H228" s="198">
        <v>0</v>
      </c>
      <c r="I228" s="198">
        <v>0</v>
      </c>
      <c r="J228" s="198">
        <v>0</v>
      </c>
      <c r="K228" s="129">
        <f t="shared" si="78"/>
        <v>8.3000000000000007</v>
      </c>
      <c r="L228" s="264"/>
      <c r="M228" s="220"/>
      <c r="N228" s="225"/>
      <c r="O228" s="874"/>
      <c r="P228" s="221"/>
      <c r="Q228" s="221"/>
      <c r="R228" s="221"/>
      <c r="S228" s="221"/>
      <c r="T228" s="221"/>
      <c r="U228" s="221"/>
      <c r="V228" s="221"/>
      <c r="W228" s="221"/>
      <c r="X228" s="221"/>
      <c r="Y228" s="221"/>
      <c r="Z228" s="221"/>
      <c r="AA228" s="221"/>
      <c r="AB228" s="221"/>
      <c r="AC228" s="221"/>
      <c r="AD228" s="221"/>
      <c r="AE228" s="221"/>
      <c r="AF228" s="221"/>
      <c r="AG228" s="221"/>
      <c r="AH228" s="221"/>
      <c r="AI228" s="221"/>
      <c r="AJ228" s="221"/>
      <c r="AK228" s="221"/>
      <c r="AL228" s="221"/>
      <c r="AM228" s="221"/>
      <c r="AN228" s="221"/>
      <c r="AO228" s="221"/>
      <c r="AP228" s="221"/>
      <c r="AQ228" s="221"/>
      <c r="AR228" s="221"/>
      <c r="AS228" s="221"/>
      <c r="AT228" s="221"/>
      <c r="AU228" s="221"/>
      <c r="AV228" s="221"/>
      <c r="AW228" s="221"/>
      <c r="AX228" s="221"/>
      <c r="AY228" s="221"/>
      <c r="AZ228" s="221"/>
      <c r="BA228" s="221"/>
      <c r="BB228" s="221"/>
      <c r="BC228" s="221"/>
      <c r="BD228" s="221"/>
      <c r="BE228" s="222"/>
    </row>
    <row r="229" spans="1:57" s="219" customFormat="1" ht="26.25" customHeight="1">
      <c r="A229" s="801"/>
      <c r="B229" s="798"/>
      <c r="C229" s="861"/>
      <c r="D229" s="197">
        <v>2027</v>
      </c>
      <c r="E229" s="198">
        <f>F229+G229+H229+I229+J229</f>
        <v>30.817500000000003</v>
      </c>
      <c r="F229" s="198">
        <v>1.4675</v>
      </c>
      <c r="G229" s="198">
        <v>0</v>
      </c>
      <c r="H229" s="198">
        <v>29.35</v>
      </c>
      <c r="I229" s="198">
        <v>0</v>
      </c>
      <c r="J229" s="198">
        <v>0</v>
      </c>
      <c r="K229" s="129">
        <f t="shared" si="78"/>
        <v>30.817500000000003</v>
      </c>
      <c r="L229" s="849" t="s">
        <v>490</v>
      </c>
      <c r="M229" s="220"/>
      <c r="N229" s="225"/>
      <c r="O229" s="874"/>
      <c r="P229" s="221"/>
      <c r="Q229" s="221"/>
      <c r="R229" s="221"/>
      <c r="S229" s="221"/>
      <c r="T229" s="221"/>
      <c r="U229" s="221"/>
      <c r="V229" s="221"/>
      <c r="W229" s="221"/>
      <c r="X229" s="221"/>
      <c r="Y229" s="221"/>
      <c r="Z229" s="221"/>
      <c r="AA229" s="221"/>
      <c r="AB229" s="221"/>
      <c r="AC229" s="221"/>
      <c r="AD229" s="221"/>
      <c r="AE229" s="221"/>
      <c r="AF229" s="221"/>
      <c r="AG229" s="221"/>
      <c r="AH229" s="221"/>
      <c r="AI229" s="221"/>
      <c r="AJ229" s="221"/>
      <c r="AK229" s="221"/>
      <c r="AL229" s="221"/>
      <c r="AM229" s="221"/>
      <c r="AN229" s="221"/>
      <c r="AO229" s="221"/>
      <c r="AP229" s="221"/>
      <c r="AQ229" s="221"/>
      <c r="AR229" s="221"/>
      <c r="AS229" s="221"/>
      <c r="AT229" s="221"/>
      <c r="AU229" s="221"/>
      <c r="AV229" s="221"/>
      <c r="AW229" s="221"/>
      <c r="AX229" s="221"/>
      <c r="AY229" s="221"/>
      <c r="AZ229" s="221"/>
      <c r="BA229" s="221"/>
      <c r="BB229" s="221"/>
      <c r="BC229" s="221"/>
      <c r="BD229" s="221"/>
      <c r="BE229" s="222"/>
    </row>
    <row r="230" spans="1:57" s="219" customFormat="1" ht="48.75" customHeight="1">
      <c r="A230" s="827"/>
      <c r="B230" s="799"/>
      <c r="C230" s="862"/>
      <c r="D230" s="197">
        <v>2028</v>
      </c>
      <c r="E230" s="198">
        <f>F230+G230+H230+I230+J230</f>
        <v>44.182470000000002</v>
      </c>
      <c r="F230" s="198">
        <v>2.1038999999999999</v>
      </c>
      <c r="G230" s="198">
        <v>0</v>
      </c>
      <c r="H230" s="198">
        <v>42.078569999999999</v>
      </c>
      <c r="I230" s="198">
        <v>0</v>
      </c>
      <c r="J230" s="198">
        <v>0</v>
      </c>
      <c r="K230" s="129">
        <f t="shared" si="78"/>
        <v>44.182470000000002</v>
      </c>
      <c r="L230" s="850"/>
      <c r="M230" s="220"/>
      <c r="N230" s="225"/>
      <c r="O230" s="874"/>
      <c r="P230" s="221"/>
      <c r="Q230" s="221"/>
      <c r="R230" s="221"/>
      <c r="S230" s="221"/>
      <c r="T230" s="221"/>
      <c r="U230" s="221"/>
      <c r="V230" s="221"/>
      <c r="W230" s="221"/>
      <c r="X230" s="221"/>
      <c r="Y230" s="221"/>
      <c r="Z230" s="221"/>
      <c r="AA230" s="221"/>
      <c r="AB230" s="221"/>
      <c r="AC230" s="221"/>
      <c r="AD230" s="221"/>
      <c r="AE230" s="221"/>
      <c r="AF230" s="221"/>
      <c r="AG230" s="221"/>
      <c r="AH230" s="221"/>
      <c r="AI230" s="221"/>
      <c r="AJ230" s="221"/>
      <c r="AK230" s="221"/>
      <c r="AL230" s="221"/>
      <c r="AM230" s="221"/>
      <c r="AN230" s="221"/>
      <c r="AO230" s="221"/>
      <c r="AP230" s="221"/>
      <c r="AQ230" s="221"/>
      <c r="AR230" s="221"/>
      <c r="AS230" s="221"/>
      <c r="AT230" s="221"/>
      <c r="AU230" s="221"/>
      <c r="AV230" s="221"/>
      <c r="AW230" s="221"/>
      <c r="AX230" s="221"/>
      <c r="AY230" s="221"/>
      <c r="AZ230" s="221"/>
      <c r="BA230" s="221"/>
      <c r="BB230" s="221"/>
      <c r="BC230" s="221"/>
      <c r="BD230" s="221"/>
      <c r="BE230" s="222"/>
    </row>
    <row r="231" spans="1:57" s="202" customFormat="1" ht="12.75" customHeight="1">
      <c r="A231" s="802" t="s">
        <v>491</v>
      </c>
      <c r="B231" s="830" t="s">
        <v>492</v>
      </c>
      <c r="C231" s="865" t="s">
        <v>493</v>
      </c>
      <c r="D231" s="204" t="s">
        <v>16</v>
      </c>
      <c r="E231" s="205">
        <f t="shared" ref="E231:J231" si="79">E232+E233</f>
        <v>527.01469999999995</v>
      </c>
      <c r="F231" s="205">
        <f t="shared" si="79"/>
        <v>29.675199999999997</v>
      </c>
      <c r="G231" s="205">
        <f t="shared" si="79"/>
        <v>0</v>
      </c>
      <c r="H231" s="205">
        <f t="shared" si="79"/>
        <v>497.33949999999999</v>
      </c>
      <c r="I231" s="205">
        <f t="shared" si="79"/>
        <v>0</v>
      </c>
      <c r="J231" s="205">
        <f t="shared" si="79"/>
        <v>0</v>
      </c>
      <c r="K231" s="120">
        <f t="shared" si="78"/>
        <v>527.01469999999995</v>
      </c>
      <c r="L231" s="851" t="s">
        <v>494</v>
      </c>
      <c r="M231" s="206"/>
      <c r="N231" s="263">
        <v>50</v>
      </c>
      <c r="O231" s="874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  <c r="AZ231" s="207"/>
      <c r="BA231" s="207"/>
      <c r="BB231" s="207"/>
      <c r="BC231" s="207"/>
      <c r="BD231" s="207"/>
      <c r="BE231" s="208"/>
    </row>
    <row r="232" spans="1:57" s="202" customFormat="1" ht="97.5" customHeight="1">
      <c r="A232" s="832"/>
      <c r="B232" s="863"/>
      <c r="C232" s="866"/>
      <c r="D232" s="211">
        <v>2019</v>
      </c>
      <c r="E232" s="212">
        <f>F232+G232+H232+I232+J232</f>
        <v>189.26400000000001</v>
      </c>
      <c r="F232" s="212">
        <v>12.787599999999999</v>
      </c>
      <c r="G232" s="212">
        <v>0</v>
      </c>
      <c r="H232" s="212">
        <v>176.47640000000001</v>
      </c>
      <c r="I232" s="212">
        <v>0</v>
      </c>
      <c r="J232" s="212">
        <v>0</v>
      </c>
      <c r="K232" s="120">
        <f t="shared" si="78"/>
        <v>189.26400000000001</v>
      </c>
      <c r="L232" s="852"/>
      <c r="M232" s="274"/>
      <c r="N232" s="275"/>
      <c r="O232" s="874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  <c r="AZ232" s="207"/>
      <c r="BA232" s="207"/>
      <c r="BB232" s="207"/>
      <c r="BC232" s="207"/>
      <c r="BD232" s="207"/>
      <c r="BE232" s="208"/>
    </row>
    <row r="233" spans="1:57" s="202" customFormat="1" ht="22.5" customHeight="1">
      <c r="A233" s="833"/>
      <c r="B233" s="864"/>
      <c r="C233" s="273" t="s">
        <v>373</v>
      </c>
      <c r="D233" s="211">
        <v>2020</v>
      </c>
      <c r="E233" s="212">
        <f>F233+G233+H233+I233+J233</f>
        <v>337.75069999999999</v>
      </c>
      <c r="F233" s="212">
        <v>16.887599999999999</v>
      </c>
      <c r="G233" s="212">
        <v>0</v>
      </c>
      <c r="H233" s="212">
        <v>320.86309999999997</v>
      </c>
      <c r="I233" s="212">
        <v>0</v>
      </c>
      <c r="J233" s="212">
        <v>0</v>
      </c>
      <c r="K233" s="120">
        <f t="shared" si="78"/>
        <v>337.75069999999999</v>
      </c>
      <c r="L233" s="853"/>
      <c r="M233" s="206"/>
      <c r="N233" s="263"/>
      <c r="O233" s="874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  <c r="AZ233" s="207"/>
      <c r="BA233" s="207"/>
      <c r="BB233" s="207"/>
      <c r="BC233" s="207"/>
      <c r="BD233" s="207"/>
      <c r="BE233" s="208"/>
    </row>
    <row r="234" spans="1:57" s="202" customFormat="1" ht="22.5" customHeight="1">
      <c r="A234" s="802" t="s">
        <v>495</v>
      </c>
      <c r="B234" s="981" t="s">
        <v>496</v>
      </c>
      <c r="C234" s="981" t="s">
        <v>372</v>
      </c>
      <c r="D234" s="204" t="s">
        <v>16</v>
      </c>
      <c r="E234" s="205">
        <f t="shared" ref="E234:J234" si="80">E235</f>
        <v>2.4E-2</v>
      </c>
      <c r="F234" s="205">
        <f t="shared" si="80"/>
        <v>2.4E-2</v>
      </c>
      <c r="G234" s="205">
        <f t="shared" si="80"/>
        <v>0</v>
      </c>
      <c r="H234" s="205">
        <f t="shared" si="80"/>
        <v>0</v>
      </c>
      <c r="I234" s="205">
        <f t="shared" si="80"/>
        <v>0</v>
      </c>
      <c r="J234" s="205">
        <f t="shared" si="80"/>
        <v>0</v>
      </c>
      <c r="K234" s="120">
        <f t="shared" si="78"/>
        <v>2.4E-2</v>
      </c>
      <c r="L234" s="276"/>
      <c r="M234" s="206"/>
      <c r="N234" s="263"/>
      <c r="O234" s="874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  <c r="AZ234" s="207"/>
      <c r="BA234" s="207"/>
      <c r="BB234" s="207"/>
      <c r="BC234" s="207"/>
      <c r="BD234" s="207"/>
      <c r="BE234" s="208"/>
    </row>
    <row r="235" spans="1:57" s="202" customFormat="1" ht="15.75" customHeight="1">
      <c r="A235" s="804"/>
      <c r="B235" s="982"/>
      <c r="C235" s="982"/>
      <c r="D235" s="211">
        <v>2019</v>
      </c>
      <c r="E235" s="212">
        <f>F235+G235+H235+I235+J235</f>
        <v>2.4E-2</v>
      </c>
      <c r="F235" s="212">
        <v>2.4E-2</v>
      </c>
      <c r="G235" s="212">
        <v>0</v>
      </c>
      <c r="H235" s="212">
        <v>0</v>
      </c>
      <c r="I235" s="212">
        <v>0</v>
      </c>
      <c r="J235" s="212">
        <v>0</v>
      </c>
      <c r="K235" s="120">
        <f t="shared" si="78"/>
        <v>2.4E-2</v>
      </c>
      <c r="L235" s="276"/>
      <c r="M235" s="206"/>
      <c r="N235" s="263"/>
      <c r="O235" s="874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  <c r="AB235" s="207"/>
      <c r="AC235" s="207"/>
      <c r="AD235" s="207"/>
      <c r="AE235" s="207"/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  <c r="AS235" s="207"/>
      <c r="AT235" s="207"/>
      <c r="AU235" s="207"/>
      <c r="AV235" s="207"/>
      <c r="AW235" s="207"/>
      <c r="AX235" s="207"/>
      <c r="AY235" s="207"/>
      <c r="AZ235" s="207"/>
      <c r="BA235" s="207"/>
      <c r="BB235" s="207"/>
      <c r="BC235" s="207"/>
      <c r="BD235" s="207"/>
      <c r="BE235" s="208"/>
    </row>
    <row r="236" spans="1:57" s="219" customFormat="1">
      <c r="A236" s="800" t="s">
        <v>497</v>
      </c>
      <c r="B236" s="860" t="s">
        <v>498</v>
      </c>
      <c r="C236" s="860" t="s">
        <v>373</v>
      </c>
      <c r="D236" s="193" t="s">
        <v>16</v>
      </c>
      <c r="E236" s="194">
        <f t="shared" ref="E236:J236" si="81">E237</f>
        <v>0</v>
      </c>
      <c r="F236" s="194">
        <f t="shared" si="81"/>
        <v>0</v>
      </c>
      <c r="G236" s="194">
        <f t="shared" si="81"/>
        <v>0</v>
      </c>
      <c r="H236" s="194">
        <f t="shared" si="81"/>
        <v>0</v>
      </c>
      <c r="I236" s="194">
        <f t="shared" si="81"/>
        <v>0</v>
      </c>
      <c r="J236" s="194">
        <f t="shared" si="81"/>
        <v>0</v>
      </c>
      <c r="K236" s="129">
        <f t="shared" si="78"/>
        <v>0</v>
      </c>
      <c r="L236" s="277"/>
      <c r="M236" s="220"/>
      <c r="N236" s="225"/>
      <c r="O236" s="874"/>
      <c r="P236" s="221"/>
      <c r="Q236" s="221"/>
      <c r="R236" s="221"/>
      <c r="S236" s="221"/>
      <c r="T236" s="221"/>
      <c r="U236" s="221"/>
      <c r="V236" s="221"/>
      <c r="W236" s="221"/>
      <c r="X236" s="221"/>
      <c r="Y236" s="221"/>
      <c r="Z236" s="221"/>
      <c r="AA236" s="221"/>
      <c r="AB236" s="221"/>
      <c r="AC236" s="221"/>
      <c r="AD236" s="221"/>
      <c r="AE236" s="221"/>
      <c r="AF236" s="221"/>
      <c r="AG236" s="221"/>
      <c r="AH236" s="221"/>
      <c r="AI236" s="221"/>
      <c r="AJ236" s="221"/>
      <c r="AK236" s="221"/>
      <c r="AL236" s="221"/>
      <c r="AM236" s="221"/>
      <c r="AN236" s="221"/>
      <c r="AO236" s="221"/>
      <c r="AP236" s="221"/>
      <c r="AQ236" s="221"/>
      <c r="AR236" s="221"/>
      <c r="AS236" s="221"/>
      <c r="AT236" s="221"/>
      <c r="AU236" s="221"/>
      <c r="AV236" s="221"/>
      <c r="AW236" s="221"/>
      <c r="AX236" s="221"/>
      <c r="AY236" s="221"/>
      <c r="AZ236" s="221"/>
      <c r="BA236" s="221"/>
      <c r="BB236" s="221"/>
      <c r="BC236" s="221"/>
      <c r="BD236" s="221"/>
      <c r="BE236" s="222"/>
    </row>
    <row r="237" spans="1:57" s="219" customFormat="1">
      <c r="A237" s="827"/>
      <c r="B237" s="861"/>
      <c r="C237" s="861"/>
      <c r="D237" s="197">
        <v>2020</v>
      </c>
      <c r="E237" s="198">
        <f>F237+G237+H237+I237+J237</f>
        <v>0</v>
      </c>
      <c r="F237" s="198">
        <v>0</v>
      </c>
      <c r="G237" s="198">
        <v>0</v>
      </c>
      <c r="H237" s="198">
        <v>0</v>
      </c>
      <c r="I237" s="198">
        <v>0</v>
      </c>
      <c r="J237" s="198">
        <v>0</v>
      </c>
      <c r="K237" s="129">
        <f t="shared" si="78"/>
        <v>0</v>
      </c>
      <c r="L237" s="277"/>
      <c r="M237" s="220"/>
      <c r="N237" s="225"/>
      <c r="O237" s="874"/>
      <c r="P237" s="221"/>
      <c r="Q237" s="221"/>
      <c r="R237" s="221"/>
      <c r="S237" s="221"/>
      <c r="T237" s="221"/>
      <c r="U237" s="221"/>
      <c r="V237" s="221"/>
      <c r="W237" s="221"/>
      <c r="X237" s="221"/>
      <c r="Y237" s="221"/>
      <c r="Z237" s="221"/>
      <c r="AA237" s="221"/>
      <c r="AB237" s="221"/>
      <c r="AC237" s="221"/>
      <c r="AD237" s="221"/>
      <c r="AE237" s="221"/>
      <c r="AF237" s="221"/>
      <c r="AG237" s="221"/>
      <c r="AH237" s="221"/>
      <c r="AI237" s="221"/>
      <c r="AJ237" s="221"/>
      <c r="AK237" s="221"/>
      <c r="AL237" s="221"/>
      <c r="AM237" s="221"/>
      <c r="AN237" s="221"/>
      <c r="AO237" s="221"/>
      <c r="AP237" s="221"/>
      <c r="AQ237" s="221"/>
      <c r="AR237" s="221"/>
      <c r="AS237" s="221"/>
      <c r="AT237" s="221"/>
      <c r="AU237" s="221"/>
      <c r="AV237" s="221"/>
      <c r="AW237" s="221"/>
      <c r="AX237" s="221"/>
      <c r="AY237" s="221"/>
      <c r="AZ237" s="221"/>
      <c r="BA237" s="221"/>
      <c r="BB237" s="221"/>
      <c r="BC237" s="221"/>
      <c r="BD237" s="221"/>
      <c r="BE237" s="222"/>
    </row>
    <row r="238" spans="1:57" s="219" customFormat="1">
      <c r="A238" s="1098" t="s">
        <v>499</v>
      </c>
      <c r="B238" s="797" t="s">
        <v>500</v>
      </c>
      <c r="C238" s="797" t="s">
        <v>373</v>
      </c>
      <c r="D238" s="193" t="s">
        <v>16</v>
      </c>
      <c r="E238" s="194">
        <f t="shared" ref="E238:J238" si="82">E239</f>
        <v>0</v>
      </c>
      <c r="F238" s="194">
        <f t="shared" si="82"/>
        <v>0</v>
      </c>
      <c r="G238" s="194">
        <f t="shared" si="82"/>
        <v>0</v>
      </c>
      <c r="H238" s="194">
        <f t="shared" si="82"/>
        <v>0</v>
      </c>
      <c r="I238" s="194">
        <f t="shared" si="82"/>
        <v>0</v>
      </c>
      <c r="J238" s="194">
        <f t="shared" si="82"/>
        <v>0</v>
      </c>
      <c r="K238" s="129">
        <f t="shared" si="78"/>
        <v>0</v>
      </c>
      <c r="L238" s="277"/>
      <c r="M238" s="220"/>
      <c r="N238" s="225"/>
      <c r="O238" s="874"/>
      <c r="P238" s="221"/>
      <c r="Q238" s="221"/>
      <c r="R238" s="221"/>
      <c r="S238" s="221"/>
      <c r="T238" s="221"/>
      <c r="U238" s="221"/>
      <c r="V238" s="221"/>
      <c r="W238" s="221"/>
      <c r="X238" s="221"/>
      <c r="Y238" s="221"/>
      <c r="Z238" s="221"/>
      <c r="AA238" s="221"/>
      <c r="AB238" s="221"/>
      <c r="AC238" s="221"/>
      <c r="AD238" s="221"/>
      <c r="AE238" s="221"/>
      <c r="AF238" s="221"/>
      <c r="AG238" s="221"/>
      <c r="AH238" s="221"/>
      <c r="AI238" s="221"/>
      <c r="AJ238" s="221"/>
      <c r="AK238" s="221"/>
      <c r="AL238" s="221"/>
      <c r="AM238" s="221"/>
      <c r="AN238" s="221"/>
      <c r="AO238" s="221"/>
      <c r="AP238" s="221"/>
      <c r="AQ238" s="221"/>
      <c r="AR238" s="221"/>
      <c r="AS238" s="221"/>
      <c r="AT238" s="221"/>
      <c r="AU238" s="221"/>
      <c r="AV238" s="221"/>
      <c r="AW238" s="221"/>
      <c r="AX238" s="221"/>
      <c r="AY238" s="221"/>
      <c r="AZ238" s="221"/>
      <c r="BA238" s="221"/>
      <c r="BB238" s="221"/>
      <c r="BC238" s="221"/>
      <c r="BD238" s="221"/>
      <c r="BE238" s="222"/>
    </row>
    <row r="239" spans="1:57" s="219" customFormat="1">
      <c r="A239" s="1099"/>
      <c r="B239" s="799"/>
      <c r="C239" s="799"/>
      <c r="D239" s="197">
        <v>2020</v>
      </c>
      <c r="E239" s="198">
        <f>F239+G239+H239+I239+J239</f>
        <v>0</v>
      </c>
      <c r="F239" s="198">
        <v>0</v>
      </c>
      <c r="G239" s="198">
        <v>0</v>
      </c>
      <c r="H239" s="198">
        <v>0</v>
      </c>
      <c r="I239" s="198">
        <v>0</v>
      </c>
      <c r="J239" s="198">
        <v>0</v>
      </c>
      <c r="K239" s="129">
        <f t="shared" si="78"/>
        <v>0</v>
      </c>
      <c r="L239" s="277"/>
      <c r="M239" s="220"/>
      <c r="N239" s="225"/>
      <c r="O239" s="874"/>
      <c r="P239" s="221"/>
      <c r="Q239" s="221"/>
      <c r="R239" s="221"/>
      <c r="S239" s="221"/>
      <c r="T239" s="221"/>
      <c r="U239" s="221"/>
      <c r="V239" s="221"/>
      <c r="W239" s="221"/>
      <c r="X239" s="221"/>
      <c r="Y239" s="221"/>
      <c r="Z239" s="221"/>
      <c r="AA239" s="221"/>
      <c r="AB239" s="221"/>
      <c r="AC239" s="221"/>
      <c r="AD239" s="221"/>
      <c r="AE239" s="221"/>
      <c r="AF239" s="221"/>
      <c r="AG239" s="221"/>
      <c r="AH239" s="221"/>
      <c r="AI239" s="221"/>
      <c r="AJ239" s="221"/>
      <c r="AK239" s="221"/>
      <c r="AL239" s="221"/>
      <c r="AM239" s="221"/>
      <c r="AN239" s="221"/>
      <c r="AO239" s="221"/>
      <c r="AP239" s="221"/>
      <c r="AQ239" s="221"/>
      <c r="AR239" s="221"/>
      <c r="AS239" s="221"/>
      <c r="AT239" s="221"/>
      <c r="AU239" s="221"/>
      <c r="AV239" s="221"/>
      <c r="AW239" s="221"/>
      <c r="AX239" s="221"/>
      <c r="AY239" s="221"/>
      <c r="AZ239" s="221"/>
      <c r="BA239" s="221"/>
      <c r="BB239" s="221"/>
      <c r="BC239" s="221"/>
      <c r="BD239" s="221"/>
      <c r="BE239" s="222"/>
    </row>
    <row r="240" spans="1:57" s="219" customFormat="1">
      <c r="A240" s="800" t="s">
        <v>501</v>
      </c>
      <c r="B240" s="797" t="s">
        <v>502</v>
      </c>
      <c r="C240" s="797" t="s">
        <v>373</v>
      </c>
      <c r="D240" s="193" t="s">
        <v>16</v>
      </c>
      <c r="E240" s="194">
        <f t="shared" ref="E240:J240" si="83">E241</f>
        <v>0</v>
      </c>
      <c r="F240" s="194">
        <f t="shared" si="83"/>
        <v>0</v>
      </c>
      <c r="G240" s="194">
        <f t="shared" si="83"/>
        <v>0</v>
      </c>
      <c r="H240" s="194">
        <f t="shared" si="83"/>
        <v>0</v>
      </c>
      <c r="I240" s="194">
        <f t="shared" si="83"/>
        <v>0</v>
      </c>
      <c r="J240" s="194">
        <f t="shared" si="83"/>
        <v>0</v>
      </c>
      <c r="K240" s="129">
        <f t="shared" si="78"/>
        <v>0</v>
      </c>
      <c r="L240" s="277"/>
      <c r="M240" s="220"/>
      <c r="N240" s="225"/>
      <c r="O240" s="874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  <c r="AA240" s="221"/>
      <c r="AB240" s="221"/>
      <c r="AC240" s="221"/>
      <c r="AD240" s="221"/>
      <c r="AE240" s="221"/>
      <c r="AF240" s="221"/>
      <c r="AG240" s="221"/>
      <c r="AH240" s="221"/>
      <c r="AI240" s="221"/>
      <c r="AJ240" s="221"/>
      <c r="AK240" s="221"/>
      <c r="AL240" s="221"/>
      <c r="AM240" s="221"/>
      <c r="AN240" s="221"/>
      <c r="AO240" s="221"/>
      <c r="AP240" s="221"/>
      <c r="AQ240" s="221"/>
      <c r="AR240" s="221"/>
      <c r="AS240" s="221"/>
      <c r="AT240" s="221"/>
      <c r="AU240" s="221"/>
      <c r="AV240" s="221"/>
      <c r="AW240" s="221"/>
      <c r="AX240" s="221"/>
      <c r="AY240" s="221"/>
      <c r="AZ240" s="221"/>
      <c r="BA240" s="221"/>
      <c r="BB240" s="221"/>
      <c r="BC240" s="221"/>
      <c r="BD240" s="221"/>
      <c r="BE240" s="222"/>
    </row>
    <row r="241" spans="1:57" s="219" customFormat="1">
      <c r="A241" s="827"/>
      <c r="B241" s="799"/>
      <c r="C241" s="799"/>
      <c r="D241" s="197">
        <v>2020</v>
      </c>
      <c r="E241" s="198">
        <f>F241+G241+H241+I241+J241</f>
        <v>0</v>
      </c>
      <c r="F241" s="198">
        <v>0</v>
      </c>
      <c r="G241" s="198">
        <v>0</v>
      </c>
      <c r="H241" s="198">
        <v>0</v>
      </c>
      <c r="I241" s="198">
        <v>0</v>
      </c>
      <c r="J241" s="198">
        <v>0</v>
      </c>
      <c r="K241" s="129">
        <f t="shared" si="78"/>
        <v>0</v>
      </c>
      <c r="L241" s="277"/>
      <c r="M241" s="220"/>
      <c r="N241" s="225"/>
      <c r="O241" s="874"/>
      <c r="P241" s="221"/>
      <c r="Q241" s="221"/>
      <c r="R241" s="221"/>
      <c r="S241" s="221"/>
      <c r="T241" s="221"/>
      <c r="U241" s="221"/>
      <c r="V241" s="221"/>
      <c r="W241" s="221"/>
      <c r="X241" s="221"/>
      <c r="Y241" s="221"/>
      <c r="Z241" s="221"/>
      <c r="AA241" s="221"/>
      <c r="AB241" s="221"/>
      <c r="AC241" s="221"/>
      <c r="AD241" s="221"/>
      <c r="AE241" s="221"/>
      <c r="AF241" s="221"/>
      <c r="AG241" s="221"/>
      <c r="AH241" s="221"/>
      <c r="AI241" s="221"/>
      <c r="AJ241" s="221"/>
      <c r="AK241" s="221"/>
      <c r="AL241" s="221"/>
      <c r="AM241" s="221"/>
      <c r="AN241" s="221"/>
      <c r="AO241" s="221"/>
      <c r="AP241" s="221"/>
      <c r="AQ241" s="221"/>
      <c r="AR241" s="221"/>
      <c r="AS241" s="221"/>
      <c r="AT241" s="221"/>
      <c r="AU241" s="221"/>
      <c r="AV241" s="221"/>
      <c r="AW241" s="221"/>
      <c r="AX241" s="221"/>
      <c r="AY241" s="221"/>
      <c r="AZ241" s="221"/>
      <c r="BA241" s="221"/>
      <c r="BB241" s="221"/>
      <c r="BC241" s="221"/>
      <c r="BD241" s="221"/>
      <c r="BE241" s="222"/>
    </row>
    <row r="242" spans="1:57" s="219" customFormat="1" ht="24.75" customHeight="1">
      <c r="A242" s="800" t="s">
        <v>503</v>
      </c>
      <c r="B242" s="816" t="s">
        <v>504</v>
      </c>
      <c r="C242" s="883" t="s">
        <v>407</v>
      </c>
      <c r="D242" s="193" t="s">
        <v>16</v>
      </c>
      <c r="E242" s="194">
        <f>E243</f>
        <v>130</v>
      </c>
      <c r="F242" s="194">
        <f>F243</f>
        <v>41.94</v>
      </c>
      <c r="G242" s="194">
        <f>G243</f>
        <v>0</v>
      </c>
      <c r="H242" s="194">
        <f>H243</f>
        <v>88.06</v>
      </c>
      <c r="I242" s="194">
        <f>I243</f>
        <v>0</v>
      </c>
      <c r="J242" s="198">
        <v>0</v>
      </c>
      <c r="K242" s="129">
        <f t="shared" si="78"/>
        <v>130</v>
      </c>
      <c r="L242" s="277"/>
      <c r="M242" s="220"/>
      <c r="N242" s="225"/>
      <c r="O242" s="278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  <c r="AA242" s="221"/>
      <c r="AB242" s="221"/>
      <c r="AC242" s="221"/>
      <c r="AD242" s="221"/>
      <c r="AE242" s="221"/>
      <c r="AF242" s="221"/>
      <c r="AG242" s="221"/>
      <c r="AH242" s="221"/>
      <c r="AI242" s="221"/>
      <c r="AJ242" s="221"/>
      <c r="AK242" s="221"/>
      <c r="AL242" s="221"/>
      <c r="AM242" s="221"/>
      <c r="AN242" s="221"/>
      <c r="AO242" s="221"/>
      <c r="AP242" s="221"/>
      <c r="AQ242" s="221"/>
      <c r="AR242" s="221"/>
      <c r="AS242" s="221"/>
      <c r="AT242" s="221"/>
      <c r="AU242" s="221"/>
      <c r="AV242" s="221"/>
      <c r="AW242" s="221"/>
      <c r="AX242" s="221"/>
      <c r="AY242" s="221"/>
      <c r="AZ242" s="221"/>
      <c r="BA242" s="221"/>
      <c r="BB242" s="221"/>
      <c r="BC242" s="221"/>
      <c r="BD242" s="221"/>
      <c r="BE242" s="222"/>
    </row>
    <row r="243" spans="1:57" s="219" customFormat="1">
      <c r="A243" s="801"/>
      <c r="B243" s="817"/>
      <c r="C243" s="885"/>
      <c r="D243" s="197">
        <v>2026</v>
      </c>
      <c r="E243" s="198">
        <f>F243+G243+H243+I243+J243</f>
        <v>130</v>
      </c>
      <c r="F243" s="198">
        <v>41.94</v>
      </c>
      <c r="G243" s="198">
        <v>0</v>
      </c>
      <c r="H243" s="198">
        <v>88.06</v>
      </c>
      <c r="I243" s="198">
        <v>0</v>
      </c>
      <c r="J243" s="198">
        <v>0</v>
      </c>
      <c r="K243" s="129">
        <f t="shared" si="78"/>
        <v>130</v>
      </c>
      <c r="L243" s="277"/>
      <c r="M243" s="220"/>
      <c r="N243" s="225"/>
      <c r="O243" s="278"/>
      <c r="P243" s="221"/>
      <c r="Q243" s="221"/>
      <c r="R243" s="221"/>
      <c r="S243" s="221"/>
      <c r="T243" s="221"/>
      <c r="U243" s="221"/>
      <c r="V243" s="221"/>
      <c r="W243" s="221"/>
      <c r="X243" s="221"/>
      <c r="Y243" s="221"/>
      <c r="Z243" s="221"/>
      <c r="AA243" s="221"/>
      <c r="AB243" s="221"/>
      <c r="AC243" s="221"/>
      <c r="AD243" s="221"/>
      <c r="AE243" s="221"/>
      <c r="AF243" s="221"/>
      <c r="AG243" s="221"/>
      <c r="AH243" s="221"/>
      <c r="AI243" s="221"/>
      <c r="AJ243" s="221"/>
      <c r="AK243" s="221"/>
      <c r="AL243" s="221"/>
      <c r="AM243" s="221"/>
      <c r="AN243" s="221"/>
      <c r="AO243" s="221"/>
      <c r="AP243" s="221"/>
      <c r="AQ243" s="221"/>
      <c r="AR243" s="221"/>
      <c r="AS243" s="221"/>
      <c r="AT243" s="221"/>
      <c r="AU243" s="221"/>
      <c r="AV243" s="221"/>
      <c r="AW243" s="221"/>
      <c r="AX243" s="221"/>
      <c r="AY243" s="221"/>
      <c r="AZ243" s="221"/>
      <c r="BA243" s="221"/>
      <c r="BB243" s="221"/>
      <c r="BC243" s="221"/>
      <c r="BD243" s="221"/>
      <c r="BE243" s="222"/>
    </row>
    <row r="244" spans="1:57" s="219" customFormat="1" ht="24" customHeight="1">
      <c r="A244" s="1096" t="s">
        <v>505</v>
      </c>
      <c r="B244" s="816" t="s">
        <v>506</v>
      </c>
      <c r="C244" s="135" t="s">
        <v>373</v>
      </c>
      <c r="D244" s="193" t="s">
        <v>16</v>
      </c>
      <c r="E244" s="194">
        <f>E245</f>
        <v>11</v>
      </c>
      <c r="F244" s="194">
        <f>F245</f>
        <v>11</v>
      </c>
      <c r="G244" s="194">
        <f>G245</f>
        <v>0</v>
      </c>
      <c r="H244" s="194">
        <f>H245</f>
        <v>0</v>
      </c>
      <c r="I244" s="194">
        <f>I245</f>
        <v>0</v>
      </c>
      <c r="J244" s="198">
        <v>0</v>
      </c>
      <c r="K244" s="129">
        <f t="shared" si="78"/>
        <v>11</v>
      </c>
      <c r="L244" s="277"/>
      <c r="M244" s="220"/>
      <c r="N244" s="225"/>
      <c r="O244" s="278"/>
      <c r="P244" s="221"/>
      <c r="Q244" s="221"/>
      <c r="R244" s="221"/>
      <c r="S244" s="221"/>
      <c r="T244" s="221"/>
      <c r="U244" s="221"/>
      <c r="V244" s="221"/>
      <c r="W244" s="221"/>
      <c r="X244" s="221"/>
      <c r="Y244" s="221"/>
      <c r="Z244" s="221"/>
      <c r="AA244" s="221"/>
      <c r="AB244" s="221"/>
      <c r="AC244" s="221"/>
      <c r="AD244" s="221"/>
      <c r="AE244" s="221"/>
      <c r="AF244" s="221"/>
      <c r="AG244" s="221"/>
      <c r="AH244" s="221"/>
      <c r="AI244" s="221"/>
      <c r="AJ244" s="221"/>
      <c r="AK244" s="221"/>
      <c r="AL244" s="221"/>
      <c r="AM244" s="221"/>
      <c r="AN244" s="221"/>
      <c r="AO244" s="221"/>
      <c r="AP244" s="221"/>
      <c r="AQ244" s="221"/>
      <c r="AR244" s="221"/>
      <c r="AS244" s="221"/>
      <c r="AT244" s="221"/>
      <c r="AU244" s="221"/>
      <c r="AV244" s="221"/>
      <c r="AW244" s="221"/>
      <c r="AX244" s="221"/>
      <c r="AY244" s="221"/>
      <c r="AZ244" s="221"/>
      <c r="BA244" s="221"/>
      <c r="BB244" s="221"/>
      <c r="BC244" s="221"/>
      <c r="BD244" s="221"/>
      <c r="BE244" s="222"/>
    </row>
    <row r="245" spans="1:57" s="219" customFormat="1" ht="41.25" customHeight="1">
      <c r="A245" s="1096"/>
      <c r="B245" s="817"/>
      <c r="C245" s="270" t="s">
        <v>407</v>
      </c>
      <c r="D245" s="197">
        <v>2026</v>
      </c>
      <c r="E245" s="198">
        <f>F245+G245+H245+I245+J245</f>
        <v>11</v>
      </c>
      <c r="F245" s="198">
        <v>11</v>
      </c>
      <c r="G245" s="198">
        <v>0</v>
      </c>
      <c r="H245" s="198">
        <v>0</v>
      </c>
      <c r="I245" s="198">
        <v>0</v>
      </c>
      <c r="J245" s="198">
        <v>0</v>
      </c>
      <c r="K245" s="129">
        <f t="shared" si="78"/>
        <v>11</v>
      </c>
      <c r="L245" s="277"/>
      <c r="M245" s="220"/>
      <c r="N245" s="225"/>
      <c r="O245" s="278"/>
      <c r="P245" s="221"/>
      <c r="Q245" s="221"/>
      <c r="R245" s="221"/>
      <c r="S245" s="221"/>
      <c r="T245" s="221"/>
      <c r="U245" s="221"/>
      <c r="V245" s="221"/>
      <c r="W245" s="221"/>
      <c r="X245" s="221"/>
      <c r="Y245" s="221"/>
      <c r="Z245" s="221"/>
      <c r="AA245" s="221"/>
      <c r="AB245" s="221"/>
      <c r="AC245" s="221"/>
      <c r="AD245" s="221"/>
      <c r="AE245" s="221"/>
      <c r="AF245" s="221"/>
      <c r="AG245" s="221"/>
      <c r="AH245" s="221"/>
      <c r="AI245" s="221"/>
      <c r="AJ245" s="221"/>
      <c r="AK245" s="221"/>
      <c r="AL245" s="221"/>
      <c r="AM245" s="221"/>
      <c r="AN245" s="221"/>
      <c r="AO245" s="221"/>
      <c r="AP245" s="221"/>
      <c r="AQ245" s="221"/>
      <c r="AR245" s="221"/>
      <c r="AS245" s="221"/>
      <c r="AT245" s="221"/>
      <c r="AU245" s="221"/>
      <c r="AV245" s="221"/>
      <c r="AW245" s="221"/>
      <c r="AX245" s="221"/>
      <c r="AY245" s="221"/>
      <c r="AZ245" s="221"/>
      <c r="BA245" s="221"/>
      <c r="BB245" s="221"/>
      <c r="BC245" s="221"/>
      <c r="BD245" s="221"/>
      <c r="BE245" s="222"/>
    </row>
    <row r="246" spans="1:57" s="202" customFormat="1">
      <c r="A246" s="802" t="s">
        <v>507</v>
      </c>
      <c r="B246" s="1097" t="s">
        <v>508</v>
      </c>
      <c r="C246" s="822" t="s">
        <v>373</v>
      </c>
      <c r="D246" s="204" t="s">
        <v>16</v>
      </c>
      <c r="E246" s="198">
        <f t="shared" ref="E246:J246" si="84">E247</f>
        <v>6.4947999999999997</v>
      </c>
      <c r="F246" s="198">
        <f t="shared" si="84"/>
        <v>0.84430000000000005</v>
      </c>
      <c r="G246" s="198">
        <f t="shared" si="84"/>
        <v>0</v>
      </c>
      <c r="H246" s="198">
        <f t="shared" si="84"/>
        <v>5.6505000000000001</v>
      </c>
      <c r="I246" s="198">
        <f t="shared" si="84"/>
        <v>0</v>
      </c>
      <c r="J246" s="198">
        <f t="shared" si="84"/>
        <v>0</v>
      </c>
      <c r="K246" s="120"/>
      <c r="L246" s="276"/>
      <c r="M246" s="206"/>
      <c r="N246" s="263"/>
      <c r="O246" s="246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207"/>
      <c r="AY246" s="207"/>
      <c r="AZ246" s="207"/>
      <c r="BA246" s="207"/>
      <c r="BB246" s="207"/>
      <c r="BC246" s="207"/>
      <c r="BD246" s="207"/>
      <c r="BE246" s="208"/>
    </row>
    <row r="247" spans="1:57" s="202" customFormat="1" ht="15.75" customHeight="1">
      <c r="A247" s="804"/>
      <c r="B247" s="1097"/>
      <c r="C247" s="823"/>
      <c r="D247" s="211">
        <v>2020</v>
      </c>
      <c r="E247" s="198">
        <f>F247+G247+H247+I247+J247</f>
        <v>6.4947999999999997</v>
      </c>
      <c r="F247" s="212">
        <v>0.84430000000000005</v>
      </c>
      <c r="G247" s="212">
        <v>0</v>
      </c>
      <c r="H247" s="212">
        <v>5.6505000000000001</v>
      </c>
      <c r="I247" s="212">
        <v>0</v>
      </c>
      <c r="J247" s="212">
        <v>0</v>
      </c>
      <c r="K247" s="120"/>
      <c r="L247" s="276"/>
      <c r="M247" s="206"/>
      <c r="N247" s="263"/>
      <c r="O247" s="246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  <c r="AB247" s="207"/>
      <c r="AC247" s="207"/>
      <c r="AD247" s="207"/>
      <c r="AE247" s="207"/>
      <c r="AF247" s="207"/>
      <c r="AG247" s="207"/>
      <c r="AH247" s="207"/>
      <c r="AI247" s="207"/>
      <c r="AJ247" s="207"/>
      <c r="AK247" s="207"/>
      <c r="AL247" s="207"/>
      <c r="AM247" s="207"/>
      <c r="AN247" s="207"/>
      <c r="AO247" s="207"/>
      <c r="AP247" s="207"/>
      <c r="AQ247" s="207"/>
      <c r="AR247" s="207"/>
      <c r="AS247" s="207"/>
      <c r="AT247" s="207"/>
      <c r="AU247" s="207"/>
      <c r="AV247" s="207"/>
      <c r="AW247" s="207"/>
      <c r="AX247" s="207"/>
      <c r="AY247" s="207"/>
      <c r="AZ247" s="207"/>
      <c r="BA247" s="207"/>
      <c r="BB247" s="207"/>
      <c r="BC247" s="207"/>
      <c r="BD247" s="207"/>
      <c r="BE247" s="208"/>
    </row>
    <row r="248" spans="1:57" s="202" customFormat="1">
      <c r="A248" s="824" t="s">
        <v>509</v>
      </c>
      <c r="B248" s="245"/>
      <c r="C248" s="822" t="s">
        <v>373</v>
      </c>
      <c r="D248" s="204" t="s">
        <v>16</v>
      </c>
      <c r="E248" s="198">
        <f>E249+E250</f>
        <v>0.78</v>
      </c>
      <c r="F248" s="198">
        <f>F249+F250</f>
        <v>0.10150000000000001</v>
      </c>
      <c r="G248" s="198">
        <f>G249+G250</f>
        <v>0.67849999999999999</v>
      </c>
      <c r="H248" s="198">
        <f>H249+H250</f>
        <v>0</v>
      </c>
      <c r="I248" s="198">
        <f>I249+I250</f>
        <v>0</v>
      </c>
      <c r="J248" s="212">
        <v>0</v>
      </c>
      <c r="K248" s="120"/>
      <c r="L248" s="276"/>
      <c r="M248" s="206"/>
      <c r="N248" s="263"/>
      <c r="O248" s="246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  <c r="AB248" s="207"/>
      <c r="AC248" s="207"/>
      <c r="AD248" s="207"/>
      <c r="AE248" s="207"/>
      <c r="AF248" s="207"/>
      <c r="AG248" s="207"/>
      <c r="AH248" s="207"/>
      <c r="AI248" s="207"/>
      <c r="AJ248" s="207"/>
      <c r="AK248" s="207"/>
      <c r="AL248" s="207"/>
      <c r="AM248" s="207"/>
      <c r="AN248" s="207"/>
      <c r="AO248" s="207"/>
      <c r="AP248" s="207"/>
      <c r="AQ248" s="207"/>
      <c r="AR248" s="207"/>
      <c r="AS248" s="207"/>
      <c r="AT248" s="207"/>
      <c r="AU248" s="207"/>
      <c r="AV248" s="207"/>
      <c r="AW248" s="207"/>
      <c r="AX248" s="207"/>
      <c r="AY248" s="207"/>
      <c r="AZ248" s="207"/>
      <c r="BA248" s="207"/>
      <c r="BB248" s="207"/>
      <c r="BC248" s="207"/>
      <c r="BD248" s="207"/>
      <c r="BE248" s="208"/>
    </row>
    <row r="249" spans="1:57" s="202" customFormat="1" ht="38.25">
      <c r="A249" s="824"/>
      <c r="B249" s="210" t="s">
        <v>510</v>
      </c>
      <c r="C249" s="825"/>
      <c r="D249" s="211">
        <v>2021</v>
      </c>
      <c r="E249" s="198">
        <f>F249+G249+H249+I249+J249</f>
        <v>0.44440000000000002</v>
      </c>
      <c r="F249" s="212">
        <v>5.7799999999999997E-2</v>
      </c>
      <c r="G249" s="212">
        <v>0.3866</v>
      </c>
      <c r="H249" s="212">
        <v>0</v>
      </c>
      <c r="I249" s="212">
        <v>0</v>
      </c>
      <c r="J249" s="212">
        <v>0</v>
      </c>
      <c r="K249" s="120"/>
      <c r="L249" s="276"/>
      <c r="M249" s="206"/>
      <c r="N249" s="263"/>
      <c r="O249" s="246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  <c r="AB249" s="207"/>
      <c r="AC249" s="207"/>
      <c r="AD249" s="207"/>
      <c r="AE249" s="207"/>
      <c r="AF249" s="207"/>
      <c r="AG249" s="207"/>
      <c r="AH249" s="207"/>
      <c r="AI249" s="207"/>
      <c r="AJ249" s="207"/>
      <c r="AK249" s="207"/>
      <c r="AL249" s="207"/>
      <c r="AM249" s="207"/>
      <c r="AN249" s="207"/>
      <c r="AO249" s="207"/>
      <c r="AP249" s="207"/>
      <c r="AQ249" s="207"/>
      <c r="AR249" s="207"/>
      <c r="AS249" s="207"/>
      <c r="AT249" s="207"/>
      <c r="AU249" s="207"/>
      <c r="AV249" s="207"/>
      <c r="AW249" s="207"/>
      <c r="AX249" s="207"/>
      <c r="AY249" s="207"/>
      <c r="AZ249" s="207"/>
      <c r="BA249" s="207"/>
      <c r="BB249" s="207"/>
      <c r="BC249" s="207"/>
      <c r="BD249" s="207"/>
      <c r="BE249" s="208"/>
    </row>
    <row r="250" spans="1:57" s="202" customFormat="1">
      <c r="A250" s="824"/>
      <c r="B250" s="210"/>
      <c r="C250" s="823"/>
      <c r="D250" s="211">
        <v>2022</v>
      </c>
      <c r="E250" s="198">
        <f>F250+G250+H250+I250+J250</f>
        <v>0.33560000000000001</v>
      </c>
      <c r="F250" s="212">
        <v>4.3700000000000003E-2</v>
      </c>
      <c r="G250" s="212">
        <v>0.29189999999999999</v>
      </c>
      <c r="H250" s="212">
        <v>0</v>
      </c>
      <c r="I250" s="212">
        <v>0</v>
      </c>
      <c r="J250" s="212">
        <v>0</v>
      </c>
      <c r="K250" s="120"/>
      <c r="L250" s="276"/>
      <c r="M250" s="206"/>
      <c r="N250" s="263"/>
      <c r="O250" s="246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  <c r="AZ250" s="207"/>
      <c r="BA250" s="207"/>
      <c r="BB250" s="207"/>
      <c r="BC250" s="207"/>
      <c r="BD250" s="207"/>
      <c r="BE250" s="208"/>
    </row>
    <row r="251" spans="1:57" s="202" customFormat="1">
      <c r="A251" s="803" t="s">
        <v>511</v>
      </c>
      <c r="B251" s="865" t="s">
        <v>512</v>
      </c>
      <c r="C251" s="865" t="s">
        <v>373</v>
      </c>
      <c r="D251" s="204" t="s">
        <v>429</v>
      </c>
      <c r="E251" s="212">
        <f t="shared" ref="E251:K251" si="85">E252+E253+E254</f>
        <v>9.7251000000000012</v>
      </c>
      <c r="F251" s="212">
        <f t="shared" si="85"/>
        <v>2.0865</v>
      </c>
      <c r="G251" s="212">
        <f t="shared" si="85"/>
        <v>0</v>
      </c>
      <c r="H251" s="212">
        <f t="shared" si="85"/>
        <v>7.6386000000000003</v>
      </c>
      <c r="I251" s="212">
        <f t="shared" si="85"/>
        <v>0</v>
      </c>
      <c r="J251" s="212">
        <f t="shared" si="85"/>
        <v>0</v>
      </c>
      <c r="K251" s="212">
        <f t="shared" si="85"/>
        <v>0</v>
      </c>
      <c r="L251" s="276"/>
      <c r="M251" s="206"/>
      <c r="N251" s="263"/>
      <c r="O251" s="246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  <c r="AB251" s="207"/>
      <c r="AC251" s="207"/>
      <c r="AD251" s="207"/>
      <c r="AE251" s="207"/>
      <c r="AF251" s="207"/>
      <c r="AG251" s="207"/>
      <c r="AH251" s="207"/>
      <c r="AI251" s="207"/>
      <c r="AJ251" s="207"/>
      <c r="AK251" s="207"/>
      <c r="AL251" s="207"/>
      <c r="AM251" s="207"/>
      <c r="AN251" s="207"/>
      <c r="AO251" s="207"/>
      <c r="AP251" s="207"/>
      <c r="AQ251" s="207"/>
      <c r="AR251" s="207"/>
      <c r="AS251" s="207"/>
      <c r="AT251" s="207"/>
      <c r="AU251" s="207"/>
      <c r="AV251" s="207"/>
      <c r="AW251" s="207"/>
      <c r="AX251" s="207"/>
      <c r="AY251" s="207"/>
      <c r="AZ251" s="207"/>
      <c r="BA251" s="207"/>
      <c r="BB251" s="207"/>
      <c r="BC251" s="207"/>
      <c r="BD251" s="207"/>
      <c r="BE251" s="208"/>
    </row>
    <row r="252" spans="1:57" s="202" customFormat="1">
      <c r="A252" s="803"/>
      <c r="B252" s="886"/>
      <c r="C252" s="886"/>
      <c r="D252" s="211">
        <v>2020</v>
      </c>
      <c r="E252" s="212">
        <f>F252+G252+H252+I252+J252</f>
        <v>0.94510000000000005</v>
      </c>
      <c r="F252" s="212">
        <v>0.94510000000000005</v>
      </c>
      <c r="G252" s="212">
        <v>0</v>
      </c>
      <c r="H252" s="212">
        <v>0</v>
      </c>
      <c r="I252" s="212">
        <v>0</v>
      </c>
      <c r="J252" s="212">
        <v>0</v>
      </c>
      <c r="K252" s="120"/>
      <c r="L252" s="276"/>
      <c r="M252" s="206"/>
      <c r="N252" s="263"/>
      <c r="O252" s="246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  <c r="AB252" s="207"/>
      <c r="AC252" s="207"/>
      <c r="AD252" s="207"/>
      <c r="AE252" s="207"/>
      <c r="AF252" s="207"/>
      <c r="AG252" s="207"/>
      <c r="AH252" s="207"/>
      <c r="AI252" s="207"/>
      <c r="AJ252" s="207"/>
      <c r="AK252" s="207"/>
      <c r="AL252" s="207"/>
      <c r="AM252" s="207"/>
      <c r="AN252" s="207"/>
      <c r="AO252" s="207"/>
      <c r="AP252" s="207"/>
      <c r="AQ252" s="207"/>
      <c r="AR252" s="207"/>
      <c r="AS252" s="207"/>
      <c r="AT252" s="207"/>
      <c r="AU252" s="207"/>
      <c r="AV252" s="207"/>
      <c r="AW252" s="207"/>
      <c r="AX252" s="207"/>
      <c r="AY252" s="207"/>
      <c r="AZ252" s="207"/>
      <c r="BA252" s="207"/>
      <c r="BB252" s="207"/>
      <c r="BC252" s="207"/>
      <c r="BD252" s="207"/>
      <c r="BE252" s="208"/>
    </row>
    <row r="253" spans="1:57" s="202" customFormat="1">
      <c r="A253" s="803"/>
      <c r="B253" s="886"/>
      <c r="C253" s="886"/>
      <c r="D253" s="211">
        <v>2021</v>
      </c>
      <c r="E253" s="212">
        <f>F253+G253+H253+I253+J253</f>
        <v>2</v>
      </c>
      <c r="F253" s="212">
        <v>0.26</v>
      </c>
      <c r="G253" s="212">
        <v>0</v>
      </c>
      <c r="H253" s="212">
        <v>1.74</v>
      </c>
      <c r="I253" s="212">
        <v>0</v>
      </c>
      <c r="J253" s="212">
        <v>0</v>
      </c>
      <c r="K253" s="120"/>
      <c r="L253" s="276"/>
      <c r="M253" s="206"/>
      <c r="N253" s="263"/>
      <c r="O253" s="246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  <c r="AS253" s="207"/>
      <c r="AT253" s="207"/>
      <c r="AU253" s="207"/>
      <c r="AV253" s="207"/>
      <c r="AW253" s="207"/>
      <c r="AX253" s="207"/>
      <c r="AY253" s="207"/>
      <c r="AZ253" s="207"/>
      <c r="BA253" s="207"/>
      <c r="BB253" s="207"/>
      <c r="BC253" s="207"/>
      <c r="BD253" s="207"/>
      <c r="BE253" s="208"/>
    </row>
    <row r="254" spans="1:57" s="202" customFormat="1">
      <c r="A254" s="804"/>
      <c r="B254" s="866"/>
      <c r="C254" s="866"/>
      <c r="D254" s="211">
        <v>2022</v>
      </c>
      <c r="E254" s="212">
        <f>F254+G254+H254+I254+J254</f>
        <v>6.78</v>
      </c>
      <c r="F254" s="212">
        <v>0.88139999999999996</v>
      </c>
      <c r="G254" s="212">
        <v>0</v>
      </c>
      <c r="H254" s="212">
        <v>5.8986000000000001</v>
      </c>
      <c r="I254" s="212">
        <v>0</v>
      </c>
      <c r="J254" s="212">
        <v>0</v>
      </c>
      <c r="K254" s="120"/>
      <c r="L254" s="276"/>
      <c r="M254" s="206"/>
      <c r="N254" s="263"/>
      <c r="O254" s="246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207"/>
      <c r="AG254" s="207"/>
      <c r="AH254" s="207"/>
      <c r="AI254" s="207"/>
      <c r="AJ254" s="207"/>
      <c r="AK254" s="207"/>
      <c r="AL254" s="207"/>
      <c r="AM254" s="207"/>
      <c r="AN254" s="207"/>
      <c r="AO254" s="207"/>
      <c r="AP254" s="207"/>
      <c r="AQ254" s="207"/>
      <c r="AR254" s="207"/>
      <c r="AS254" s="207"/>
      <c r="AT254" s="207"/>
      <c r="AU254" s="207"/>
      <c r="AV254" s="207"/>
      <c r="AW254" s="207"/>
      <c r="AX254" s="207"/>
      <c r="AY254" s="207"/>
      <c r="AZ254" s="207"/>
      <c r="BA254" s="207"/>
      <c r="BB254" s="207"/>
      <c r="BC254" s="207"/>
      <c r="BD254" s="207"/>
      <c r="BE254" s="208"/>
    </row>
    <row r="255" spans="1:57" s="51" customFormat="1" ht="21" customHeight="1">
      <c r="A255" s="955">
        <v>3</v>
      </c>
      <c r="B255" s="929" t="s">
        <v>513</v>
      </c>
      <c r="C255" s="867"/>
      <c r="D255" s="84" t="s">
        <v>16</v>
      </c>
      <c r="E255" s="85">
        <f t="shared" ref="E255:J255" si="86">SUM(E256:E258)</f>
        <v>5.04</v>
      </c>
      <c r="F255" s="85">
        <f t="shared" si="86"/>
        <v>5.04</v>
      </c>
      <c r="G255" s="85">
        <f t="shared" si="86"/>
        <v>0</v>
      </c>
      <c r="H255" s="85">
        <f t="shared" si="86"/>
        <v>0</v>
      </c>
      <c r="I255" s="85">
        <f t="shared" si="86"/>
        <v>0</v>
      </c>
      <c r="J255" s="85">
        <f t="shared" si="86"/>
        <v>0</v>
      </c>
      <c r="K255" s="86">
        <f t="shared" ref="K255:K286" si="87">F255+G255+H255+I255+J255</f>
        <v>5.04</v>
      </c>
      <c r="L255" s="99"/>
      <c r="M255" s="88"/>
      <c r="N255" s="89"/>
      <c r="O255" s="280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68"/>
    </row>
    <row r="256" spans="1:57" s="51" customFormat="1" ht="15.75" customHeight="1">
      <c r="A256" s="956"/>
      <c r="B256" s="953"/>
      <c r="C256" s="872"/>
      <c r="D256" s="84">
        <v>2019</v>
      </c>
      <c r="E256" s="85">
        <f t="shared" ref="E256:J256" si="88">E263+E264+E265+E266+E268</f>
        <v>1.2</v>
      </c>
      <c r="F256" s="85">
        <f t="shared" si="88"/>
        <v>1.2</v>
      </c>
      <c r="G256" s="85">
        <f t="shared" si="88"/>
        <v>0</v>
      </c>
      <c r="H256" s="85">
        <f t="shared" si="88"/>
        <v>0</v>
      </c>
      <c r="I256" s="85">
        <f t="shared" si="88"/>
        <v>0</v>
      </c>
      <c r="J256" s="85">
        <f t="shared" si="88"/>
        <v>0</v>
      </c>
      <c r="K256" s="86">
        <f t="shared" si="87"/>
        <v>1.2</v>
      </c>
      <c r="L256" s="99"/>
      <c r="M256" s="88"/>
      <c r="N256" s="89"/>
      <c r="O256" s="280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68"/>
    </row>
    <row r="257" spans="1:57" s="51" customFormat="1" ht="15.75" customHeight="1">
      <c r="A257" s="956"/>
      <c r="B257" s="953"/>
      <c r="C257" s="872"/>
      <c r="D257" s="84">
        <v>2020</v>
      </c>
      <c r="E257" s="85">
        <f t="shared" ref="E257:J262" si="89">E269</f>
        <v>1.92</v>
      </c>
      <c r="F257" s="85">
        <f t="shared" si="89"/>
        <v>1.92</v>
      </c>
      <c r="G257" s="85">
        <f t="shared" si="89"/>
        <v>0</v>
      </c>
      <c r="H257" s="85">
        <f t="shared" si="89"/>
        <v>0</v>
      </c>
      <c r="I257" s="85">
        <f t="shared" si="89"/>
        <v>0</v>
      </c>
      <c r="J257" s="85">
        <f t="shared" si="89"/>
        <v>0</v>
      </c>
      <c r="K257" s="86">
        <f t="shared" si="87"/>
        <v>1.92</v>
      </c>
      <c r="L257" s="99"/>
      <c r="M257" s="88"/>
      <c r="N257" s="89"/>
      <c r="O257" s="280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68"/>
    </row>
    <row r="258" spans="1:57" s="51" customFormat="1" ht="15.75" customHeight="1">
      <c r="A258" s="956"/>
      <c r="B258" s="953"/>
      <c r="C258" s="872"/>
      <c r="D258" s="84">
        <v>2021</v>
      </c>
      <c r="E258" s="85">
        <f t="shared" si="89"/>
        <v>1.92</v>
      </c>
      <c r="F258" s="85">
        <f t="shared" si="89"/>
        <v>1.92</v>
      </c>
      <c r="G258" s="85">
        <f t="shared" si="89"/>
        <v>0</v>
      </c>
      <c r="H258" s="85">
        <f t="shared" si="89"/>
        <v>0</v>
      </c>
      <c r="I258" s="85">
        <f t="shared" si="89"/>
        <v>0</v>
      </c>
      <c r="J258" s="85">
        <f t="shared" si="89"/>
        <v>0</v>
      </c>
      <c r="K258" s="86">
        <f t="shared" si="87"/>
        <v>1.92</v>
      </c>
      <c r="L258" s="99"/>
      <c r="M258" s="88"/>
      <c r="N258" s="89"/>
      <c r="O258" s="280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68"/>
    </row>
    <row r="259" spans="1:57" s="51" customFormat="1" ht="15.75" customHeight="1">
      <c r="A259" s="93"/>
      <c r="B259" s="953"/>
      <c r="C259" s="94"/>
      <c r="D259" s="84">
        <v>2022</v>
      </c>
      <c r="E259" s="85">
        <f t="shared" si="89"/>
        <v>1.92</v>
      </c>
      <c r="F259" s="85">
        <f t="shared" si="89"/>
        <v>1.92</v>
      </c>
      <c r="G259" s="85">
        <f t="shared" si="89"/>
        <v>0</v>
      </c>
      <c r="H259" s="85">
        <f t="shared" si="89"/>
        <v>0</v>
      </c>
      <c r="I259" s="85">
        <f t="shared" si="89"/>
        <v>0</v>
      </c>
      <c r="J259" s="85">
        <f t="shared" si="89"/>
        <v>0</v>
      </c>
      <c r="K259" s="86">
        <f t="shared" si="87"/>
        <v>1.92</v>
      </c>
      <c r="L259" s="99"/>
      <c r="M259" s="88"/>
      <c r="N259" s="89"/>
      <c r="O259" s="234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68"/>
    </row>
    <row r="260" spans="1:57" s="51" customFormat="1" ht="15.75" customHeight="1">
      <c r="A260" s="93"/>
      <c r="B260" s="953"/>
      <c r="C260" s="94"/>
      <c r="D260" s="84">
        <v>2023</v>
      </c>
      <c r="E260" s="85">
        <f t="shared" si="89"/>
        <v>1.92</v>
      </c>
      <c r="F260" s="85">
        <f t="shared" si="89"/>
        <v>1.92</v>
      </c>
      <c r="G260" s="85">
        <f t="shared" si="89"/>
        <v>0</v>
      </c>
      <c r="H260" s="85">
        <f t="shared" si="89"/>
        <v>0</v>
      </c>
      <c r="I260" s="85">
        <f t="shared" si="89"/>
        <v>0</v>
      </c>
      <c r="J260" s="85">
        <f t="shared" si="89"/>
        <v>0</v>
      </c>
      <c r="K260" s="86">
        <f t="shared" si="87"/>
        <v>1.92</v>
      </c>
      <c r="L260" s="99"/>
      <c r="M260" s="88"/>
      <c r="N260" s="89"/>
      <c r="O260" s="234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68"/>
    </row>
    <row r="261" spans="1:57" s="51" customFormat="1" ht="15.75" customHeight="1">
      <c r="A261" s="93"/>
      <c r="B261" s="953"/>
      <c r="C261" s="94"/>
      <c r="D261" s="84">
        <v>2024</v>
      </c>
      <c r="E261" s="85">
        <f t="shared" si="89"/>
        <v>1.92</v>
      </c>
      <c r="F261" s="85">
        <f t="shared" si="89"/>
        <v>1.92</v>
      </c>
      <c r="G261" s="85">
        <f t="shared" si="89"/>
        <v>0</v>
      </c>
      <c r="H261" s="85">
        <f t="shared" si="89"/>
        <v>0</v>
      </c>
      <c r="I261" s="85">
        <f t="shared" si="89"/>
        <v>0</v>
      </c>
      <c r="J261" s="85">
        <f t="shared" si="89"/>
        <v>0</v>
      </c>
      <c r="K261" s="86">
        <f t="shared" si="87"/>
        <v>1.92</v>
      </c>
      <c r="L261" s="99"/>
      <c r="M261" s="88"/>
      <c r="N261" s="89"/>
      <c r="O261" s="234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68"/>
    </row>
    <row r="262" spans="1:57" s="51" customFormat="1" ht="15.75" customHeight="1">
      <c r="A262" s="93"/>
      <c r="B262" s="954"/>
      <c r="C262" s="94"/>
      <c r="D262" s="84">
        <v>2025</v>
      </c>
      <c r="E262" s="85">
        <f t="shared" si="89"/>
        <v>1.92</v>
      </c>
      <c r="F262" s="85">
        <f t="shared" si="89"/>
        <v>1.92</v>
      </c>
      <c r="G262" s="85">
        <f t="shared" si="89"/>
        <v>0</v>
      </c>
      <c r="H262" s="85">
        <f t="shared" si="89"/>
        <v>0</v>
      </c>
      <c r="I262" s="85">
        <f t="shared" si="89"/>
        <v>0</v>
      </c>
      <c r="J262" s="85">
        <f t="shared" si="89"/>
        <v>0</v>
      </c>
      <c r="K262" s="86">
        <f t="shared" si="87"/>
        <v>1.92</v>
      </c>
      <c r="L262" s="99"/>
      <c r="M262" s="88"/>
      <c r="N262" s="89"/>
      <c r="O262" s="234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68"/>
    </row>
    <row r="263" spans="1:57" s="51" customFormat="1" ht="25.5">
      <c r="A263" s="282" t="s">
        <v>514</v>
      </c>
      <c r="B263" s="283" t="s">
        <v>515</v>
      </c>
      <c r="C263" s="855" t="s">
        <v>516</v>
      </c>
      <c r="D263" s="62">
        <v>2019</v>
      </c>
      <c r="E263" s="63">
        <f>F263+G263+H263+I263+J263</f>
        <v>0</v>
      </c>
      <c r="F263" s="63">
        <v>0</v>
      </c>
      <c r="G263" s="63">
        <v>0</v>
      </c>
      <c r="H263" s="63">
        <v>0</v>
      </c>
      <c r="I263" s="63">
        <v>0</v>
      </c>
      <c r="J263" s="63">
        <v>0</v>
      </c>
      <c r="K263" s="86">
        <f t="shared" si="87"/>
        <v>0</v>
      </c>
      <c r="L263" s="99"/>
      <c r="M263" s="88"/>
      <c r="N263" s="89"/>
      <c r="O263" s="838" t="s">
        <v>517</v>
      </c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68"/>
    </row>
    <row r="264" spans="1:57" s="51" customFormat="1" ht="25.5">
      <c r="A264" s="282" t="s">
        <v>518</v>
      </c>
      <c r="B264" s="283" t="s">
        <v>519</v>
      </c>
      <c r="C264" s="856"/>
      <c r="D264" s="62">
        <v>2019</v>
      </c>
      <c r="E264" s="63">
        <f>F264+G264+H264+I264+J264</f>
        <v>0</v>
      </c>
      <c r="F264" s="63">
        <v>0</v>
      </c>
      <c r="G264" s="63">
        <v>0</v>
      </c>
      <c r="H264" s="63">
        <v>0</v>
      </c>
      <c r="I264" s="63">
        <v>0</v>
      </c>
      <c r="J264" s="63">
        <v>0</v>
      </c>
      <c r="K264" s="86">
        <f t="shared" si="87"/>
        <v>0</v>
      </c>
      <c r="L264" s="99"/>
      <c r="M264" s="88"/>
      <c r="N264" s="89"/>
      <c r="O264" s="83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68"/>
    </row>
    <row r="265" spans="1:57" s="51" customFormat="1" ht="25.5">
      <c r="A265" s="282" t="s">
        <v>520</v>
      </c>
      <c r="B265" s="283" t="s">
        <v>521</v>
      </c>
      <c r="C265" s="856"/>
      <c r="D265" s="62">
        <v>2019</v>
      </c>
      <c r="E265" s="63">
        <f>F265+G265+H265+I265+J265</f>
        <v>0</v>
      </c>
      <c r="F265" s="63">
        <v>0</v>
      </c>
      <c r="G265" s="63">
        <v>0</v>
      </c>
      <c r="H265" s="63">
        <v>0</v>
      </c>
      <c r="I265" s="63">
        <v>0</v>
      </c>
      <c r="J265" s="63">
        <v>0</v>
      </c>
      <c r="K265" s="86">
        <f t="shared" si="87"/>
        <v>0</v>
      </c>
      <c r="L265" s="99"/>
      <c r="M265" s="88"/>
      <c r="N265" s="89"/>
      <c r="O265" s="83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68"/>
    </row>
    <row r="266" spans="1:57" s="51" customFormat="1" ht="25.5">
      <c r="A266" s="282" t="s">
        <v>522</v>
      </c>
      <c r="B266" s="283" t="s">
        <v>523</v>
      </c>
      <c r="C266" s="857"/>
      <c r="D266" s="62">
        <v>2019</v>
      </c>
      <c r="E266" s="63">
        <f>F266+G266+H266+I266+J266</f>
        <v>0</v>
      </c>
      <c r="F266" s="63">
        <v>0</v>
      </c>
      <c r="G266" s="63">
        <v>0</v>
      </c>
      <c r="H266" s="63">
        <v>0</v>
      </c>
      <c r="I266" s="63">
        <v>0</v>
      </c>
      <c r="J266" s="63">
        <v>0</v>
      </c>
      <c r="K266" s="86">
        <f t="shared" si="87"/>
        <v>0</v>
      </c>
      <c r="L266" s="99"/>
      <c r="M266" s="88"/>
      <c r="N266" s="89"/>
      <c r="O266" s="854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68"/>
    </row>
    <row r="267" spans="1:57" s="51" customFormat="1">
      <c r="A267" s="900" t="s">
        <v>524</v>
      </c>
      <c r="B267" s="867" t="s">
        <v>525</v>
      </c>
      <c r="C267" s="914" t="s">
        <v>526</v>
      </c>
      <c r="D267" s="84" t="s">
        <v>16</v>
      </c>
      <c r="E267" s="85">
        <f t="shared" ref="E267:J267" si="90">E268+E269+E270+E271+E272+E273+E274</f>
        <v>12.719999999999999</v>
      </c>
      <c r="F267" s="85">
        <f t="shared" si="90"/>
        <v>12.719999999999999</v>
      </c>
      <c r="G267" s="85">
        <f t="shared" si="90"/>
        <v>0</v>
      </c>
      <c r="H267" s="85">
        <f t="shared" si="90"/>
        <v>0</v>
      </c>
      <c r="I267" s="85">
        <f t="shared" si="90"/>
        <v>0</v>
      </c>
      <c r="J267" s="85">
        <f t="shared" si="90"/>
        <v>0</v>
      </c>
      <c r="K267" s="86">
        <f t="shared" si="87"/>
        <v>12.719999999999999</v>
      </c>
      <c r="L267" s="99"/>
      <c r="M267" s="88"/>
      <c r="N267" s="89"/>
      <c r="O267" s="168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68"/>
    </row>
    <row r="268" spans="1:57" s="51" customFormat="1" ht="12.75" customHeight="1">
      <c r="A268" s="930"/>
      <c r="B268" s="872"/>
      <c r="C268" s="826"/>
      <c r="D268" s="62">
        <v>2019</v>
      </c>
      <c r="E268" s="63">
        <f t="shared" ref="E268:E274" si="91">F268+G268+H268+I268+J268</f>
        <v>1.2</v>
      </c>
      <c r="F268" s="63">
        <v>1.2</v>
      </c>
      <c r="G268" s="63">
        <v>0</v>
      </c>
      <c r="H268" s="63">
        <v>0</v>
      </c>
      <c r="I268" s="63">
        <v>0</v>
      </c>
      <c r="J268" s="63">
        <v>0</v>
      </c>
      <c r="K268" s="86">
        <f t="shared" si="87"/>
        <v>1.2</v>
      </c>
      <c r="L268" s="99"/>
      <c r="M268" s="88"/>
      <c r="N268" s="89"/>
      <c r="O268" s="855" t="s">
        <v>527</v>
      </c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68"/>
    </row>
    <row r="269" spans="1:57" s="51" customFormat="1" ht="15.75" customHeight="1">
      <c r="A269" s="930"/>
      <c r="B269" s="872"/>
      <c r="C269" s="826"/>
      <c r="D269" s="62">
        <v>2020</v>
      </c>
      <c r="E269" s="63">
        <f t="shared" si="91"/>
        <v>1.92</v>
      </c>
      <c r="F269" s="63">
        <v>1.92</v>
      </c>
      <c r="G269" s="63">
        <v>0</v>
      </c>
      <c r="H269" s="63">
        <v>0</v>
      </c>
      <c r="I269" s="63">
        <v>0</v>
      </c>
      <c r="J269" s="63">
        <v>0</v>
      </c>
      <c r="K269" s="86">
        <f t="shared" si="87"/>
        <v>1.92</v>
      </c>
      <c r="L269" s="99"/>
      <c r="M269" s="88"/>
      <c r="N269" s="89"/>
      <c r="O269" s="856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68"/>
    </row>
    <row r="270" spans="1:57" s="51" customFormat="1">
      <c r="A270" s="930"/>
      <c r="B270" s="872"/>
      <c r="C270" s="826"/>
      <c r="D270" s="62">
        <v>2021</v>
      </c>
      <c r="E270" s="63">
        <f t="shared" si="91"/>
        <v>1.92</v>
      </c>
      <c r="F270" s="63">
        <v>1.92</v>
      </c>
      <c r="G270" s="63">
        <v>0</v>
      </c>
      <c r="H270" s="63">
        <v>0</v>
      </c>
      <c r="I270" s="63">
        <v>0</v>
      </c>
      <c r="J270" s="63">
        <v>0</v>
      </c>
      <c r="K270" s="86">
        <f t="shared" si="87"/>
        <v>1.92</v>
      </c>
      <c r="L270" s="99"/>
      <c r="M270" s="88"/>
      <c r="N270" s="89"/>
      <c r="O270" s="857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  <c r="BD270" s="49"/>
      <c r="BE270" s="68"/>
    </row>
    <row r="271" spans="1:57" s="51" customFormat="1">
      <c r="A271" s="930"/>
      <c r="B271" s="872"/>
      <c r="C271" s="826"/>
      <c r="D271" s="62">
        <v>2022</v>
      </c>
      <c r="E271" s="63">
        <f t="shared" si="91"/>
        <v>1.92</v>
      </c>
      <c r="F271" s="63">
        <v>1.92</v>
      </c>
      <c r="G271" s="63">
        <v>0</v>
      </c>
      <c r="H271" s="63">
        <v>0</v>
      </c>
      <c r="I271" s="63">
        <v>0</v>
      </c>
      <c r="J271" s="63">
        <v>0</v>
      </c>
      <c r="K271" s="86">
        <f t="shared" si="87"/>
        <v>1.92</v>
      </c>
      <c r="L271" s="99"/>
      <c r="M271" s="88"/>
      <c r="N271" s="89"/>
      <c r="O271" s="80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68"/>
    </row>
    <row r="272" spans="1:57" s="51" customFormat="1">
      <c r="A272" s="930"/>
      <c r="B272" s="872"/>
      <c r="C272" s="826"/>
      <c r="D272" s="62">
        <v>2023</v>
      </c>
      <c r="E272" s="63">
        <f t="shared" si="91"/>
        <v>1.92</v>
      </c>
      <c r="F272" s="63">
        <v>1.92</v>
      </c>
      <c r="G272" s="63">
        <v>0</v>
      </c>
      <c r="H272" s="63">
        <v>0</v>
      </c>
      <c r="I272" s="63">
        <v>0</v>
      </c>
      <c r="J272" s="63">
        <v>0</v>
      </c>
      <c r="K272" s="86">
        <f t="shared" si="87"/>
        <v>1.92</v>
      </c>
      <c r="L272" s="99"/>
      <c r="M272" s="88"/>
      <c r="N272" s="89"/>
      <c r="O272" s="80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68"/>
    </row>
    <row r="273" spans="1:57" s="51" customFormat="1">
      <c r="A273" s="930"/>
      <c r="B273" s="872"/>
      <c r="C273" s="826"/>
      <c r="D273" s="62">
        <v>2024</v>
      </c>
      <c r="E273" s="63">
        <f t="shared" si="91"/>
        <v>1.92</v>
      </c>
      <c r="F273" s="63">
        <v>1.92</v>
      </c>
      <c r="G273" s="63">
        <v>0</v>
      </c>
      <c r="H273" s="63">
        <v>0</v>
      </c>
      <c r="I273" s="63">
        <v>0</v>
      </c>
      <c r="J273" s="63">
        <v>0</v>
      </c>
      <c r="K273" s="86">
        <f t="shared" si="87"/>
        <v>1.92</v>
      </c>
      <c r="L273" s="99"/>
      <c r="M273" s="88"/>
      <c r="N273" s="89"/>
      <c r="O273" s="80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68"/>
    </row>
    <row r="274" spans="1:57" s="51" customFormat="1">
      <c r="A274" s="930"/>
      <c r="B274" s="872"/>
      <c r="C274" s="952"/>
      <c r="D274" s="62">
        <v>2025</v>
      </c>
      <c r="E274" s="63">
        <f t="shared" si="91"/>
        <v>1.92</v>
      </c>
      <c r="F274" s="63">
        <v>1.92</v>
      </c>
      <c r="G274" s="63">
        <v>0</v>
      </c>
      <c r="H274" s="63">
        <v>0</v>
      </c>
      <c r="I274" s="63">
        <v>0</v>
      </c>
      <c r="J274" s="63">
        <v>0</v>
      </c>
      <c r="K274" s="86">
        <f t="shared" si="87"/>
        <v>1.92</v>
      </c>
      <c r="L274" s="99"/>
      <c r="M274" s="88"/>
      <c r="N274" s="89"/>
      <c r="O274" s="80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68"/>
    </row>
    <row r="275" spans="1:57" s="82" customFormat="1">
      <c r="A275" s="926" t="s">
        <v>528</v>
      </c>
      <c r="B275" s="929" t="s">
        <v>529</v>
      </c>
      <c r="C275" s="929"/>
      <c r="D275" s="84" t="s">
        <v>16</v>
      </c>
      <c r="E275" s="136">
        <f t="shared" ref="E275:J275" si="92">SUM(E276:E287)</f>
        <v>861.52611999999999</v>
      </c>
      <c r="F275" s="136">
        <f t="shared" si="92"/>
        <v>252.12042000000002</v>
      </c>
      <c r="G275" s="136">
        <f t="shared" si="92"/>
        <v>4</v>
      </c>
      <c r="H275" s="136">
        <f t="shared" si="92"/>
        <v>555.33770000000004</v>
      </c>
      <c r="I275" s="136">
        <f t="shared" si="92"/>
        <v>20.599</v>
      </c>
      <c r="J275" s="136">
        <f t="shared" si="92"/>
        <v>29.468999999999998</v>
      </c>
      <c r="K275" s="86">
        <f t="shared" si="87"/>
        <v>861.52612000000011</v>
      </c>
      <c r="L275" s="99"/>
      <c r="M275" s="88"/>
      <c r="N275" s="89"/>
      <c r="O275" s="90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2"/>
    </row>
    <row r="276" spans="1:57" s="82" customFormat="1">
      <c r="A276" s="959"/>
      <c r="B276" s="960"/>
      <c r="C276" s="868"/>
      <c r="D276" s="84">
        <v>2019</v>
      </c>
      <c r="E276" s="85">
        <f t="shared" ref="E276:J276" si="93">E340+E350</f>
        <v>1.3520000000000001</v>
      </c>
      <c r="F276" s="85">
        <f t="shared" si="93"/>
        <v>1.252</v>
      </c>
      <c r="G276" s="85">
        <f t="shared" si="93"/>
        <v>0</v>
      </c>
      <c r="H276" s="85">
        <f t="shared" si="93"/>
        <v>0</v>
      </c>
      <c r="I276" s="85">
        <f t="shared" si="93"/>
        <v>0</v>
      </c>
      <c r="J276" s="85">
        <f t="shared" si="93"/>
        <v>0.1</v>
      </c>
      <c r="K276" s="86">
        <f t="shared" si="87"/>
        <v>1.3520000000000001</v>
      </c>
      <c r="L276" s="99"/>
      <c r="M276" s="88"/>
      <c r="N276" s="89"/>
      <c r="O276" s="90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2"/>
    </row>
    <row r="277" spans="1:57" s="82" customFormat="1">
      <c r="A277" s="959"/>
      <c r="B277" s="960"/>
      <c r="C277" s="868"/>
      <c r="D277" s="84">
        <v>2020</v>
      </c>
      <c r="E277" s="85">
        <f t="shared" ref="E277:J277" si="94">E297+E318+E351+E337+E353+E355+E357</f>
        <v>48.538200000000003</v>
      </c>
      <c r="F277" s="85">
        <f t="shared" si="94"/>
        <v>0.21859999999999999</v>
      </c>
      <c r="G277" s="85">
        <f t="shared" si="94"/>
        <v>4</v>
      </c>
      <c r="H277" s="85">
        <f t="shared" si="94"/>
        <v>22.361600000000003</v>
      </c>
      <c r="I277" s="85">
        <f t="shared" si="94"/>
        <v>20.599</v>
      </c>
      <c r="J277" s="85">
        <f t="shared" si="94"/>
        <v>1.359</v>
      </c>
      <c r="K277" s="86">
        <f t="shared" si="87"/>
        <v>48.53820000000001</v>
      </c>
      <c r="L277" s="99"/>
      <c r="M277" s="88"/>
      <c r="N277" s="89"/>
      <c r="O277" s="90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2"/>
    </row>
    <row r="278" spans="1:57" s="82" customFormat="1">
      <c r="A278" s="959"/>
      <c r="B278" s="960"/>
      <c r="C278" s="868"/>
      <c r="D278" s="84">
        <v>2021</v>
      </c>
      <c r="E278" s="85">
        <f t="shared" ref="E278:J278" si="95">E319+E334+E338+E291</f>
        <v>128.73240000000001</v>
      </c>
      <c r="F278" s="85">
        <f t="shared" si="95"/>
        <v>0.2298</v>
      </c>
      <c r="G278" s="85">
        <f t="shared" si="95"/>
        <v>0</v>
      </c>
      <c r="H278" s="85">
        <f t="shared" si="95"/>
        <v>122.0826</v>
      </c>
      <c r="I278" s="85">
        <f t="shared" si="95"/>
        <v>0</v>
      </c>
      <c r="J278" s="85">
        <f t="shared" si="95"/>
        <v>6.42</v>
      </c>
      <c r="K278" s="86">
        <f t="shared" si="87"/>
        <v>128.73239999999998</v>
      </c>
      <c r="L278" s="99"/>
      <c r="M278" s="88"/>
      <c r="N278" s="89"/>
      <c r="O278" s="90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2"/>
    </row>
    <row r="279" spans="1:57" s="82" customFormat="1">
      <c r="A279" s="959"/>
      <c r="B279" s="960"/>
      <c r="C279" s="868"/>
      <c r="D279" s="84">
        <v>2022</v>
      </c>
      <c r="E279" s="85">
        <f t="shared" ref="E279:J279" si="96">E299+E308+E320+E335+E339</f>
        <v>13.739100000000001</v>
      </c>
      <c r="F279" s="85">
        <f t="shared" si="96"/>
        <v>0.23649999999999999</v>
      </c>
      <c r="G279" s="85">
        <f t="shared" si="96"/>
        <v>0</v>
      </c>
      <c r="H279" s="85">
        <f t="shared" si="96"/>
        <v>12.832599999999999</v>
      </c>
      <c r="I279" s="85">
        <f t="shared" si="96"/>
        <v>0</v>
      </c>
      <c r="J279" s="85">
        <f t="shared" si="96"/>
        <v>0.66999999999999993</v>
      </c>
      <c r="K279" s="86">
        <f t="shared" si="87"/>
        <v>13.739099999999999</v>
      </c>
      <c r="L279" s="99"/>
      <c r="M279" s="88"/>
      <c r="N279" s="89"/>
      <c r="O279" s="90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2"/>
    </row>
    <row r="280" spans="1:57" s="82" customFormat="1">
      <c r="A280" s="959"/>
      <c r="B280" s="960"/>
      <c r="C280" s="868"/>
      <c r="D280" s="84">
        <v>2023</v>
      </c>
      <c r="E280" s="85">
        <f t="shared" ref="E280:J280" si="97">E289+E293+E305+E321+E332+E309</f>
        <v>154.20733000000001</v>
      </c>
      <c r="F280" s="85">
        <f t="shared" si="97"/>
        <v>2.6430000000000002E-2</v>
      </c>
      <c r="G280" s="85">
        <f t="shared" si="97"/>
        <v>0</v>
      </c>
      <c r="H280" s="85">
        <f t="shared" si="97"/>
        <v>146.50090000000003</v>
      </c>
      <c r="I280" s="85">
        <f t="shared" si="97"/>
        <v>0</v>
      </c>
      <c r="J280" s="85">
        <f t="shared" si="97"/>
        <v>7.68</v>
      </c>
      <c r="K280" s="86">
        <f t="shared" si="87"/>
        <v>154.20733000000004</v>
      </c>
      <c r="L280" s="99"/>
      <c r="M280" s="88"/>
      <c r="N280" s="89"/>
      <c r="O280" s="90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2"/>
    </row>
    <row r="281" spans="1:57" s="82" customFormat="1">
      <c r="A281" s="959"/>
      <c r="B281" s="960"/>
      <c r="C281" s="868"/>
      <c r="D281" s="84">
        <v>2024</v>
      </c>
      <c r="E281" s="85">
        <f t="shared" ref="E281:J281" si="98">E295+E301+E322+E306</f>
        <v>19.82058</v>
      </c>
      <c r="F281" s="85">
        <f t="shared" si="98"/>
        <v>2.0580000000000001E-2</v>
      </c>
      <c r="G281" s="85">
        <f t="shared" si="98"/>
        <v>0</v>
      </c>
      <c r="H281" s="85">
        <f t="shared" si="98"/>
        <v>18.810000000000002</v>
      </c>
      <c r="I281" s="85">
        <f t="shared" si="98"/>
        <v>0</v>
      </c>
      <c r="J281" s="85">
        <f t="shared" si="98"/>
        <v>0.99</v>
      </c>
      <c r="K281" s="86">
        <f t="shared" si="87"/>
        <v>19.82058</v>
      </c>
      <c r="L281" s="99"/>
      <c r="M281" s="88"/>
      <c r="N281" s="89"/>
      <c r="O281" s="90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2"/>
    </row>
    <row r="282" spans="1:57" s="82" customFormat="1">
      <c r="A282" s="959"/>
      <c r="B282" s="960"/>
      <c r="C282" s="868"/>
      <c r="D282" s="84">
        <v>2025</v>
      </c>
      <c r="E282" s="85">
        <f t="shared" ref="E282:J282" si="99">E303+E323+E348</f>
        <v>125.02058</v>
      </c>
      <c r="F282" s="85">
        <f t="shared" si="99"/>
        <v>2.0580000000000001E-2</v>
      </c>
      <c r="G282" s="85">
        <f t="shared" si="99"/>
        <v>0</v>
      </c>
      <c r="H282" s="85">
        <f t="shared" si="99"/>
        <v>118.75</v>
      </c>
      <c r="I282" s="85">
        <f t="shared" si="99"/>
        <v>0</v>
      </c>
      <c r="J282" s="85">
        <f t="shared" si="99"/>
        <v>6.25</v>
      </c>
      <c r="K282" s="86">
        <f t="shared" si="87"/>
        <v>125.02058</v>
      </c>
      <c r="L282" s="99"/>
      <c r="M282" s="88"/>
      <c r="N282" s="89"/>
      <c r="O282" s="90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2"/>
    </row>
    <row r="283" spans="1:57" s="82" customFormat="1" ht="16.5" customHeight="1">
      <c r="A283" s="959"/>
      <c r="B283" s="960"/>
      <c r="C283" s="868"/>
      <c r="D283" s="84">
        <v>2026</v>
      </c>
      <c r="E283" s="85">
        <f t="shared" ref="E283:J283" si="100">E346+E324</f>
        <v>120.0214</v>
      </c>
      <c r="F283" s="85">
        <f t="shared" si="100"/>
        <v>2.1399999999999999E-2</v>
      </c>
      <c r="G283" s="85">
        <f t="shared" si="100"/>
        <v>0</v>
      </c>
      <c r="H283" s="85">
        <f t="shared" si="100"/>
        <v>114</v>
      </c>
      <c r="I283" s="85">
        <f t="shared" si="100"/>
        <v>0</v>
      </c>
      <c r="J283" s="85">
        <f t="shared" si="100"/>
        <v>6</v>
      </c>
      <c r="K283" s="86">
        <f t="shared" si="87"/>
        <v>120.0214</v>
      </c>
      <c r="L283" s="99"/>
      <c r="M283" s="88"/>
      <c r="N283" s="89"/>
      <c r="O283" s="90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2"/>
    </row>
    <row r="284" spans="1:57" s="82" customFormat="1">
      <c r="A284" s="959"/>
      <c r="B284" s="960"/>
      <c r="C284" s="868"/>
      <c r="D284" s="84">
        <v>2027</v>
      </c>
      <c r="E284" s="85">
        <f t="shared" ref="E284:J284" si="101">E325</f>
        <v>2.2259999999999999E-2</v>
      </c>
      <c r="F284" s="85">
        <f t="shared" si="101"/>
        <v>2.2259999999999999E-2</v>
      </c>
      <c r="G284" s="85">
        <f t="shared" si="101"/>
        <v>0</v>
      </c>
      <c r="H284" s="85">
        <f t="shared" si="101"/>
        <v>0</v>
      </c>
      <c r="I284" s="85">
        <f t="shared" si="101"/>
        <v>0</v>
      </c>
      <c r="J284" s="85">
        <f t="shared" si="101"/>
        <v>0</v>
      </c>
      <c r="K284" s="86">
        <f t="shared" si="87"/>
        <v>2.2259999999999999E-2</v>
      </c>
      <c r="L284" s="99"/>
      <c r="M284" s="88"/>
      <c r="N284" s="89"/>
      <c r="O284" s="90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2"/>
    </row>
    <row r="285" spans="1:57" s="82" customFormat="1">
      <c r="A285" s="959"/>
      <c r="B285" s="960"/>
      <c r="C285" s="868"/>
      <c r="D285" s="84">
        <v>2028</v>
      </c>
      <c r="E285" s="85">
        <f t="shared" ref="E285:J287" si="102">E326+E343</f>
        <v>24.023150000000001</v>
      </c>
      <c r="F285" s="85">
        <f t="shared" si="102"/>
        <v>24.023150000000001</v>
      </c>
      <c r="G285" s="85">
        <f t="shared" si="102"/>
        <v>0</v>
      </c>
      <c r="H285" s="85">
        <f t="shared" si="102"/>
        <v>0</v>
      </c>
      <c r="I285" s="85">
        <f t="shared" si="102"/>
        <v>0</v>
      </c>
      <c r="J285" s="85">
        <f t="shared" si="102"/>
        <v>0</v>
      </c>
      <c r="K285" s="86">
        <f t="shared" si="87"/>
        <v>24.023150000000001</v>
      </c>
      <c r="L285" s="99"/>
      <c r="M285" s="88"/>
      <c r="N285" s="89"/>
      <c r="O285" s="90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2"/>
    </row>
    <row r="286" spans="1:57" s="82" customFormat="1">
      <c r="A286" s="959"/>
      <c r="B286" s="960"/>
      <c r="C286" s="868"/>
      <c r="D286" s="84">
        <v>2029</v>
      </c>
      <c r="E286" s="85">
        <f t="shared" si="102"/>
        <v>110.02408</v>
      </c>
      <c r="F286" s="85">
        <f t="shared" si="102"/>
        <v>110.02408</v>
      </c>
      <c r="G286" s="85">
        <f t="shared" si="102"/>
        <v>0</v>
      </c>
      <c r="H286" s="85">
        <f t="shared" si="102"/>
        <v>0</v>
      </c>
      <c r="I286" s="85">
        <f t="shared" si="102"/>
        <v>0</v>
      </c>
      <c r="J286" s="85">
        <f t="shared" si="102"/>
        <v>0</v>
      </c>
      <c r="K286" s="86">
        <f t="shared" si="87"/>
        <v>110.02408</v>
      </c>
      <c r="L286" s="99"/>
      <c r="M286" s="88"/>
      <c r="N286" s="89"/>
      <c r="O286" s="90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2"/>
    </row>
    <row r="287" spans="1:57" s="82" customFormat="1">
      <c r="A287" s="959"/>
      <c r="B287" s="961"/>
      <c r="C287" s="868"/>
      <c r="D287" s="84">
        <v>2030</v>
      </c>
      <c r="E287" s="85">
        <f t="shared" si="102"/>
        <v>116.02504</v>
      </c>
      <c r="F287" s="85">
        <f t="shared" si="102"/>
        <v>116.02504</v>
      </c>
      <c r="G287" s="85">
        <f t="shared" si="102"/>
        <v>0</v>
      </c>
      <c r="H287" s="85">
        <f t="shared" si="102"/>
        <v>0</v>
      </c>
      <c r="I287" s="85">
        <f t="shared" si="102"/>
        <v>0</v>
      </c>
      <c r="J287" s="85">
        <f t="shared" si="102"/>
        <v>0</v>
      </c>
      <c r="K287" s="86">
        <f t="shared" ref="K287:K310" si="103">F287+G287+H287+I287+J287</f>
        <v>116.02504</v>
      </c>
      <c r="L287" s="99"/>
      <c r="M287" s="88"/>
      <c r="N287" s="89"/>
      <c r="O287" s="90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2"/>
    </row>
    <row r="288" spans="1:57" s="51" customFormat="1" ht="30" customHeight="1">
      <c r="A288" s="794" t="s">
        <v>530</v>
      </c>
      <c r="B288" s="867" t="s">
        <v>531</v>
      </c>
      <c r="C288" s="867" t="s">
        <v>532</v>
      </c>
      <c r="D288" s="84" t="s">
        <v>16</v>
      </c>
      <c r="E288" s="136">
        <f t="shared" ref="E288:J288" si="104">E289</f>
        <v>120</v>
      </c>
      <c r="F288" s="136">
        <f t="shared" si="104"/>
        <v>0</v>
      </c>
      <c r="G288" s="136">
        <f t="shared" si="104"/>
        <v>0</v>
      </c>
      <c r="H288" s="136">
        <f t="shared" si="104"/>
        <v>114</v>
      </c>
      <c r="I288" s="136">
        <f t="shared" si="104"/>
        <v>0</v>
      </c>
      <c r="J288" s="136">
        <f t="shared" si="104"/>
        <v>6</v>
      </c>
      <c r="K288" s="86">
        <f t="shared" si="103"/>
        <v>120</v>
      </c>
      <c r="L288" s="99"/>
      <c r="M288" s="88"/>
      <c r="N288" s="89"/>
      <c r="O288" s="858" t="s">
        <v>533</v>
      </c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  <c r="BD288" s="49"/>
      <c r="BE288" s="68"/>
    </row>
    <row r="289" spans="1:57" s="51" customFormat="1" ht="36" customHeight="1">
      <c r="A289" s="835"/>
      <c r="B289" s="869"/>
      <c r="C289" s="869"/>
      <c r="D289" s="84">
        <v>2023</v>
      </c>
      <c r="E289" s="63">
        <f>F289+G289+H289+I289+J289</f>
        <v>120</v>
      </c>
      <c r="F289" s="63">
        <v>0</v>
      </c>
      <c r="G289" s="63">
        <v>0</v>
      </c>
      <c r="H289" s="63">
        <v>114</v>
      </c>
      <c r="I289" s="63">
        <v>0</v>
      </c>
      <c r="J289" s="63">
        <v>6</v>
      </c>
      <c r="K289" s="86">
        <f t="shared" si="103"/>
        <v>120</v>
      </c>
      <c r="L289" s="287" t="s">
        <v>534</v>
      </c>
      <c r="M289" s="88"/>
      <c r="N289" s="288"/>
      <c r="O289" s="85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68"/>
    </row>
    <row r="290" spans="1:57" s="51" customFormat="1" ht="15.75" customHeight="1">
      <c r="A290" s="794" t="s">
        <v>535</v>
      </c>
      <c r="B290" s="867" t="s">
        <v>536</v>
      </c>
      <c r="C290" s="867" t="s">
        <v>537</v>
      </c>
      <c r="D290" s="84" t="s">
        <v>16</v>
      </c>
      <c r="E290" s="85">
        <f t="shared" ref="E290:J290" si="105">E291</f>
        <v>120</v>
      </c>
      <c r="F290" s="85">
        <f t="shared" si="105"/>
        <v>0</v>
      </c>
      <c r="G290" s="85">
        <f t="shared" si="105"/>
        <v>0</v>
      </c>
      <c r="H290" s="85">
        <f t="shared" si="105"/>
        <v>114</v>
      </c>
      <c r="I290" s="85">
        <f t="shared" si="105"/>
        <v>0</v>
      </c>
      <c r="J290" s="85">
        <f t="shared" si="105"/>
        <v>6</v>
      </c>
      <c r="K290" s="86">
        <f t="shared" si="103"/>
        <v>120</v>
      </c>
      <c r="L290" s="235" t="s">
        <v>538</v>
      </c>
      <c r="M290" s="88"/>
      <c r="N290" s="89"/>
      <c r="O290" s="858" t="s">
        <v>539</v>
      </c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  <c r="BD290" s="49"/>
      <c r="BE290" s="68"/>
    </row>
    <row r="291" spans="1:57" s="51" customFormat="1" ht="36.75" customHeight="1">
      <c r="A291" s="796"/>
      <c r="B291" s="873"/>
      <c r="C291" s="873"/>
      <c r="D291" s="84">
        <v>2021</v>
      </c>
      <c r="E291" s="63">
        <f>F291+G291+H291+I291+J291</f>
        <v>120</v>
      </c>
      <c r="F291" s="63">
        <v>0</v>
      </c>
      <c r="G291" s="63">
        <v>0</v>
      </c>
      <c r="H291" s="63">
        <v>114</v>
      </c>
      <c r="I291" s="63">
        <v>0</v>
      </c>
      <c r="J291" s="63">
        <v>6</v>
      </c>
      <c r="K291" s="86">
        <f t="shared" si="103"/>
        <v>120</v>
      </c>
      <c r="L291" s="238"/>
      <c r="M291" s="88"/>
      <c r="N291" s="111"/>
      <c r="O291" s="957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68"/>
    </row>
    <row r="292" spans="1:57" s="51" customFormat="1">
      <c r="A292" s="794" t="s">
        <v>540</v>
      </c>
      <c r="B292" s="867" t="s">
        <v>541</v>
      </c>
      <c r="C292" s="867" t="s">
        <v>542</v>
      </c>
      <c r="D292" s="84" t="s">
        <v>16</v>
      </c>
      <c r="E292" s="85">
        <f t="shared" ref="E292:J292" si="106">E293</f>
        <v>16.8</v>
      </c>
      <c r="F292" s="85">
        <f t="shared" si="106"/>
        <v>0</v>
      </c>
      <c r="G292" s="85">
        <f t="shared" si="106"/>
        <v>0</v>
      </c>
      <c r="H292" s="85">
        <f t="shared" si="106"/>
        <v>15.96</v>
      </c>
      <c r="I292" s="85">
        <f t="shared" si="106"/>
        <v>0</v>
      </c>
      <c r="J292" s="85">
        <f t="shared" si="106"/>
        <v>0.84</v>
      </c>
      <c r="K292" s="86">
        <f t="shared" si="103"/>
        <v>16.8</v>
      </c>
      <c r="L292" s="895"/>
      <c r="M292" s="88"/>
      <c r="N292" s="875"/>
      <c r="O292" s="957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  <c r="BD292" s="49"/>
      <c r="BE292" s="68"/>
    </row>
    <row r="293" spans="1:57" s="51" customFormat="1" ht="26.25" customHeight="1">
      <c r="A293" s="958"/>
      <c r="B293" s="869"/>
      <c r="C293" s="869"/>
      <c r="D293" s="84">
        <v>2023</v>
      </c>
      <c r="E293" s="63">
        <f>F293+G293+H293+I293+J293</f>
        <v>16.8</v>
      </c>
      <c r="F293" s="63">
        <v>0</v>
      </c>
      <c r="G293" s="63">
        <v>0</v>
      </c>
      <c r="H293" s="63">
        <v>15.96</v>
      </c>
      <c r="I293" s="63">
        <v>0</v>
      </c>
      <c r="J293" s="63">
        <v>0.84</v>
      </c>
      <c r="K293" s="86">
        <f t="shared" si="103"/>
        <v>16.8</v>
      </c>
      <c r="L293" s="897"/>
      <c r="M293" s="88"/>
      <c r="N293" s="876"/>
      <c r="O293" s="85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68"/>
    </row>
    <row r="294" spans="1:57" s="51" customFormat="1">
      <c r="A294" s="794" t="s">
        <v>543</v>
      </c>
      <c r="B294" s="867" t="s">
        <v>544</v>
      </c>
      <c r="C294" s="867" t="s">
        <v>542</v>
      </c>
      <c r="D294" s="84" t="s">
        <v>16</v>
      </c>
      <c r="E294" s="85">
        <f t="shared" ref="E294:J294" si="107">E295</f>
        <v>16.8</v>
      </c>
      <c r="F294" s="85">
        <f t="shared" si="107"/>
        <v>0</v>
      </c>
      <c r="G294" s="85">
        <f t="shared" si="107"/>
        <v>0</v>
      </c>
      <c r="H294" s="85">
        <f t="shared" si="107"/>
        <v>15.96</v>
      </c>
      <c r="I294" s="85">
        <f t="shared" si="107"/>
        <v>0</v>
      </c>
      <c r="J294" s="85">
        <f t="shared" si="107"/>
        <v>0.84</v>
      </c>
      <c r="K294" s="86">
        <f t="shared" si="103"/>
        <v>16.8</v>
      </c>
      <c r="L294" s="895"/>
      <c r="M294" s="88"/>
      <c r="N294" s="962"/>
      <c r="O294" s="855" t="s">
        <v>545</v>
      </c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49"/>
      <c r="BD294" s="49"/>
      <c r="BE294" s="68"/>
    </row>
    <row r="295" spans="1:57" s="51" customFormat="1" ht="25.5" customHeight="1">
      <c r="A295" s="796"/>
      <c r="B295" s="869"/>
      <c r="C295" s="869"/>
      <c r="D295" s="62">
        <v>2024</v>
      </c>
      <c r="E295" s="63">
        <f>F295+G295+H295+I295+J295</f>
        <v>16.8</v>
      </c>
      <c r="F295" s="63">
        <v>0</v>
      </c>
      <c r="G295" s="63">
        <v>0</v>
      </c>
      <c r="H295" s="63">
        <v>15.96</v>
      </c>
      <c r="I295" s="63">
        <v>0</v>
      </c>
      <c r="J295" s="63">
        <v>0.84</v>
      </c>
      <c r="K295" s="86">
        <f t="shared" si="103"/>
        <v>16.8</v>
      </c>
      <c r="L295" s="897"/>
      <c r="M295" s="88"/>
      <c r="N295" s="963"/>
      <c r="O295" s="857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  <c r="BD295" s="49"/>
      <c r="BE295" s="68"/>
    </row>
    <row r="296" spans="1:57" s="51" customFormat="1">
      <c r="A296" s="794" t="s">
        <v>546</v>
      </c>
      <c r="B296" s="867" t="s">
        <v>547</v>
      </c>
      <c r="C296" s="867" t="s">
        <v>548</v>
      </c>
      <c r="D296" s="84" t="s">
        <v>16</v>
      </c>
      <c r="E296" s="85">
        <f t="shared" ref="E296:J296" si="108">E297</f>
        <v>16.8</v>
      </c>
      <c r="F296" s="85">
        <f t="shared" si="108"/>
        <v>0</v>
      </c>
      <c r="G296" s="85">
        <f t="shared" si="108"/>
        <v>0</v>
      </c>
      <c r="H296" s="85">
        <f t="shared" si="108"/>
        <v>15.96</v>
      </c>
      <c r="I296" s="85">
        <f t="shared" si="108"/>
        <v>0</v>
      </c>
      <c r="J296" s="85">
        <f t="shared" si="108"/>
        <v>0.84</v>
      </c>
      <c r="K296" s="86">
        <f t="shared" si="103"/>
        <v>16.8</v>
      </c>
      <c r="L296" s="895"/>
      <c r="M296" s="88"/>
      <c r="N296" s="962"/>
      <c r="O296" s="855" t="s">
        <v>549</v>
      </c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68"/>
    </row>
    <row r="297" spans="1:57" s="51" customFormat="1" ht="23.25" customHeight="1">
      <c r="A297" s="796"/>
      <c r="B297" s="873"/>
      <c r="C297" s="873"/>
      <c r="D297" s="62">
        <v>2020</v>
      </c>
      <c r="E297" s="63">
        <f>F297+G297+H297+I297+J297</f>
        <v>16.8</v>
      </c>
      <c r="F297" s="63">
        <v>0</v>
      </c>
      <c r="G297" s="63">
        <v>0</v>
      </c>
      <c r="H297" s="63">
        <v>15.96</v>
      </c>
      <c r="I297" s="63">
        <v>0</v>
      </c>
      <c r="J297" s="63">
        <v>0.84</v>
      </c>
      <c r="K297" s="86">
        <f t="shared" si="103"/>
        <v>16.8</v>
      </c>
      <c r="L297" s="897"/>
      <c r="M297" s="88"/>
      <c r="N297" s="963"/>
      <c r="O297" s="857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  <c r="BD297" s="49"/>
      <c r="BE297" s="68"/>
    </row>
    <row r="298" spans="1:57" s="51" customFormat="1">
      <c r="A298" s="921" t="s">
        <v>550</v>
      </c>
      <c r="B298" s="867" t="s">
        <v>551</v>
      </c>
      <c r="C298" s="867" t="s">
        <v>548</v>
      </c>
      <c r="D298" s="84" t="s">
        <v>16</v>
      </c>
      <c r="E298" s="85">
        <f t="shared" ref="E298:J298" si="109">E299</f>
        <v>5</v>
      </c>
      <c r="F298" s="85">
        <f t="shared" si="109"/>
        <v>0</v>
      </c>
      <c r="G298" s="85">
        <f t="shared" si="109"/>
        <v>0</v>
      </c>
      <c r="H298" s="85">
        <f t="shared" si="109"/>
        <v>4.75</v>
      </c>
      <c r="I298" s="85">
        <f t="shared" si="109"/>
        <v>0</v>
      </c>
      <c r="J298" s="85">
        <f t="shared" si="109"/>
        <v>0.25</v>
      </c>
      <c r="K298" s="86">
        <f t="shared" si="103"/>
        <v>5</v>
      </c>
      <c r="L298" s="895"/>
      <c r="M298" s="88"/>
      <c r="N298" s="291"/>
      <c r="O298" s="881" t="s">
        <v>552</v>
      </c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  <c r="BD298" s="49"/>
      <c r="BE298" s="68"/>
    </row>
    <row r="299" spans="1:57" s="51" customFormat="1" ht="21.75" customHeight="1">
      <c r="A299" s="921"/>
      <c r="B299" s="873"/>
      <c r="C299" s="873"/>
      <c r="D299" s="84">
        <v>2022</v>
      </c>
      <c r="E299" s="63">
        <f>F299+G299+H299+I299+J299</f>
        <v>5</v>
      </c>
      <c r="F299" s="63">
        <v>0</v>
      </c>
      <c r="G299" s="63">
        <v>0</v>
      </c>
      <c r="H299" s="63">
        <v>4.75</v>
      </c>
      <c r="I299" s="63">
        <v>0</v>
      </c>
      <c r="J299" s="63">
        <v>0.25</v>
      </c>
      <c r="K299" s="86">
        <f t="shared" si="103"/>
        <v>5</v>
      </c>
      <c r="L299" s="897"/>
      <c r="M299" s="88"/>
      <c r="N299" s="291"/>
      <c r="O299" s="882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  <c r="BD299" s="49"/>
      <c r="BE299" s="68"/>
    </row>
    <row r="300" spans="1:57" s="51" customFormat="1">
      <c r="A300" s="921" t="s">
        <v>553</v>
      </c>
      <c r="B300" s="867" t="s">
        <v>554</v>
      </c>
      <c r="C300" s="867" t="s">
        <v>548</v>
      </c>
      <c r="D300" s="84" t="s">
        <v>16</v>
      </c>
      <c r="E300" s="85">
        <f t="shared" ref="E300:J300" si="110">E301</f>
        <v>3</v>
      </c>
      <c r="F300" s="85">
        <f t="shared" si="110"/>
        <v>0</v>
      </c>
      <c r="G300" s="85">
        <f t="shared" si="110"/>
        <v>0</v>
      </c>
      <c r="H300" s="85">
        <f t="shared" si="110"/>
        <v>2.85</v>
      </c>
      <c r="I300" s="85">
        <f t="shared" si="110"/>
        <v>0</v>
      </c>
      <c r="J300" s="85">
        <f t="shared" si="110"/>
        <v>0.15</v>
      </c>
      <c r="K300" s="86">
        <f t="shared" si="103"/>
        <v>3</v>
      </c>
      <c r="L300" s="895"/>
      <c r="M300" s="88"/>
      <c r="N300" s="291"/>
      <c r="O300" s="882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49"/>
      <c r="BC300" s="49"/>
      <c r="BD300" s="49"/>
      <c r="BE300" s="68"/>
    </row>
    <row r="301" spans="1:57" s="51" customFormat="1">
      <c r="A301" s="921"/>
      <c r="B301" s="873"/>
      <c r="C301" s="873"/>
      <c r="D301" s="84">
        <v>2024</v>
      </c>
      <c r="E301" s="63">
        <f>F301+G301+H301+I301+J301</f>
        <v>3</v>
      </c>
      <c r="F301" s="63">
        <v>0</v>
      </c>
      <c r="G301" s="63">
        <v>0</v>
      </c>
      <c r="H301" s="63">
        <v>2.85</v>
      </c>
      <c r="I301" s="63">
        <v>0</v>
      </c>
      <c r="J301" s="63">
        <v>0.15</v>
      </c>
      <c r="K301" s="86">
        <f t="shared" si="103"/>
        <v>3</v>
      </c>
      <c r="L301" s="897"/>
      <c r="M301" s="88"/>
      <c r="N301" s="291"/>
      <c r="O301" s="964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  <c r="BD301" s="49"/>
      <c r="BE301" s="68"/>
    </row>
    <row r="302" spans="1:57" s="51" customFormat="1">
      <c r="A302" s="794" t="s">
        <v>555</v>
      </c>
      <c r="B302" s="867" t="s">
        <v>556</v>
      </c>
      <c r="C302" s="867" t="s">
        <v>548</v>
      </c>
      <c r="D302" s="84" t="s">
        <v>16</v>
      </c>
      <c r="E302" s="85">
        <f t="shared" ref="E302:J302" si="111">E303</f>
        <v>5</v>
      </c>
      <c r="F302" s="85">
        <f t="shared" si="111"/>
        <v>0</v>
      </c>
      <c r="G302" s="85">
        <f t="shared" si="111"/>
        <v>0</v>
      </c>
      <c r="H302" s="85">
        <f t="shared" si="111"/>
        <v>4.75</v>
      </c>
      <c r="I302" s="85">
        <f t="shared" si="111"/>
        <v>0</v>
      </c>
      <c r="J302" s="85">
        <f t="shared" si="111"/>
        <v>0.25</v>
      </c>
      <c r="K302" s="86">
        <f t="shared" si="103"/>
        <v>5</v>
      </c>
      <c r="L302" s="965"/>
      <c r="M302" s="88"/>
      <c r="N302" s="962"/>
      <c r="O302" s="855" t="s">
        <v>557</v>
      </c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49"/>
      <c r="BC302" s="49"/>
      <c r="BD302" s="49"/>
      <c r="BE302" s="68"/>
    </row>
    <row r="303" spans="1:57" s="51" customFormat="1">
      <c r="A303" s="796"/>
      <c r="B303" s="873"/>
      <c r="C303" s="873"/>
      <c r="D303" s="62">
        <v>2025</v>
      </c>
      <c r="E303" s="63">
        <f>F303+G303+H303+I303+J303</f>
        <v>5</v>
      </c>
      <c r="F303" s="63">
        <v>0</v>
      </c>
      <c r="G303" s="63">
        <v>0</v>
      </c>
      <c r="H303" s="63">
        <v>4.75</v>
      </c>
      <c r="I303" s="63">
        <v>0</v>
      </c>
      <c r="J303" s="63">
        <v>0.25</v>
      </c>
      <c r="K303" s="86">
        <f t="shared" si="103"/>
        <v>5</v>
      </c>
      <c r="L303" s="966"/>
      <c r="M303" s="88"/>
      <c r="N303" s="963"/>
      <c r="O303" s="857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49"/>
      <c r="BC303" s="49"/>
      <c r="BD303" s="49"/>
      <c r="BE303" s="68"/>
    </row>
    <row r="304" spans="1:57" s="51" customFormat="1" ht="27.75" customHeight="1">
      <c r="A304" s="794" t="s">
        <v>558</v>
      </c>
      <c r="B304" s="830" t="s">
        <v>559</v>
      </c>
      <c r="C304" s="867" t="s">
        <v>560</v>
      </c>
      <c r="D304" s="84" t="s">
        <v>16</v>
      </c>
      <c r="E304" s="85">
        <f t="shared" ref="E304:J304" si="112">E305</f>
        <v>0.58674999999999999</v>
      </c>
      <c r="F304" s="85">
        <f t="shared" si="112"/>
        <v>5.8500000000000002E-3</v>
      </c>
      <c r="G304" s="85">
        <f t="shared" si="112"/>
        <v>0</v>
      </c>
      <c r="H304" s="85">
        <f t="shared" si="112"/>
        <v>0.58089999999999997</v>
      </c>
      <c r="I304" s="85">
        <f t="shared" si="112"/>
        <v>0</v>
      </c>
      <c r="J304" s="85">
        <f t="shared" si="112"/>
        <v>0</v>
      </c>
      <c r="K304" s="86">
        <f t="shared" si="103"/>
        <v>0.58674999999999999</v>
      </c>
      <c r="L304" s="943"/>
      <c r="M304" s="88"/>
      <c r="N304" s="962"/>
      <c r="O304" s="855" t="s">
        <v>561</v>
      </c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49"/>
      <c r="BD304" s="49"/>
      <c r="BE304" s="68"/>
    </row>
    <row r="305" spans="1:57" s="202" customFormat="1" ht="24" customHeight="1">
      <c r="A305" s="795"/>
      <c r="B305" s="831"/>
      <c r="C305" s="872"/>
      <c r="D305" s="211">
        <v>2019</v>
      </c>
      <c r="E305" s="212">
        <f>F305+G305+H305+I305+J305</f>
        <v>0.58674999999999999</v>
      </c>
      <c r="F305" s="212">
        <v>5.8500000000000002E-3</v>
      </c>
      <c r="G305" s="212">
        <v>0</v>
      </c>
      <c r="H305" s="212">
        <v>0.58089999999999997</v>
      </c>
      <c r="I305" s="212">
        <v>0</v>
      </c>
      <c r="J305" s="212">
        <v>0</v>
      </c>
      <c r="K305" s="120">
        <f t="shared" si="103"/>
        <v>0.58674999999999999</v>
      </c>
      <c r="L305" s="970"/>
      <c r="M305" s="206"/>
      <c r="N305" s="971"/>
      <c r="O305" s="95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  <c r="AB305" s="207"/>
      <c r="AC305" s="207"/>
      <c r="AD305" s="207"/>
      <c r="AE305" s="207"/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207"/>
      <c r="AP305" s="207"/>
      <c r="AQ305" s="207"/>
      <c r="AR305" s="207"/>
      <c r="AS305" s="207"/>
      <c r="AT305" s="207"/>
      <c r="AU305" s="207"/>
      <c r="AV305" s="207"/>
      <c r="AW305" s="207"/>
      <c r="AX305" s="207"/>
      <c r="AY305" s="207"/>
      <c r="AZ305" s="207"/>
      <c r="BA305" s="207"/>
      <c r="BB305" s="207"/>
      <c r="BC305" s="207"/>
      <c r="BD305" s="207"/>
      <c r="BE305" s="208"/>
    </row>
    <row r="306" spans="1:57" s="51" customFormat="1" ht="24" customHeight="1">
      <c r="A306" s="796"/>
      <c r="B306" s="969"/>
      <c r="C306" s="872"/>
      <c r="D306" s="62">
        <v>2024</v>
      </c>
      <c r="E306" s="63">
        <f>F306+G306+H306+I306+J306</f>
        <v>0</v>
      </c>
      <c r="F306" s="63">
        <v>0</v>
      </c>
      <c r="G306" s="63">
        <v>0</v>
      </c>
      <c r="H306" s="63">
        <v>0</v>
      </c>
      <c r="I306" s="63">
        <v>0</v>
      </c>
      <c r="J306" s="63">
        <v>0</v>
      </c>
      <c r="K306" s="86">
        <f t="shared" si="103"/>
        <v>0</v>
      </c>
      <c r="L306" s="970"/>
      <c r="M306" s="88"/>
      <c r="N306" s="971"/>
      <c r="O306" s="957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49"/>
      <c r="BC306" s="49"/>
      <c r="BD306" s="49"/>
      <c r="BE306" s="68"/>
    </row>
    <row r="307" spans="1:57" s="51" customFormat="1" ht="12.75" customHeight="1">
      <c r="A307" s="794" t="s">
        <v>562</v>
      </c>
      <c r="B307" s="867" t="s">
        <v>563</v>
      </c>
      <c r="C307" s="872"/>
      <c r="D307" s="84" t="s">
        <v>429</v>
      </c>
      <c r="E307" s="85">
        <f t="shared" ref="E307:J307" si="113">E308</f>
        <v>0</v>
      </c>
      <c r="F307" s="85">
        <f t="shared" si="113"/>
        <v>0</v>
      </c>
      <c r="G307" s="85">
        <f t="shared" si="113"/>
        <v>0</v>
      </c>
      <c r="H307" s="85">
        <f t="shared" si="113"/>
        <v>0</v>
      </c>
      <c r="I307" s="85">
        <f t="shared" si="113"/>
        <v>0</v>
      </c>
      <c r="J307" s="85">
        <f t="shared" si="113"/>
        <v>0</v>
      </c>
      <c r="K307" s="86">
        <f t="shared" si="103"/>
        <v>0</v>
      </c>
      <c r="L307" s="970"/>
      <c r="M307" s="88"/>
      <c r="N307" s="971"/>
      <c r="O307" s="957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49"/>
      <c r="BD307" s="49"/>
      <c r="BE307" s="68"/>
    </row>
    <row r="308" spans="1:57" s="51" customFormat="1" ht="21.75" customHeight="1">
      <c r="A308" s="795"/>
      <c r="B308" s="872"/>
      <c r="C308" s="872"/>
      <c r="D308" s="62">
        <v>2022</v>
      </c>
      <c r="E308" s="63">
        <v>0</v>
      </c>
      <c r="F308" s="63">
        <v>0</v>
      </c>
      <c r="G308" s="63">
        <v>0</v>
      </c>
      <c r="H308" s="63">
        <v>0</v>
      </c>
      <c r="I308" s="63">
        <v>0</v>
      </c>
      <c r="J308" s="63">
        <v>0</v>
      </c>
      <c r="K308" s="86">
        <f t="shared" si="103"/>
        <v>0</v>
      </c>
      <c r="L308" s="970"/>
      <c r="M308" s="88"/>
      <c r="N308" s="971"/>
      <c r="O308" s="957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  <c r="BD308" s="49"/>
      <c r="BE308" s="68"/>
    </row>
    <row r="309" spans="1:57" s="51" customFormat="1" ht="23.25" customHeight="1">
      <c r="A309" s="796"/>
      <c r="B309" s="873"/>
      <c r="C309" s="873"/>
      <c r="D309" s="62">
        <v>2023</v>
      </c>
      <c r="E309" s="63">
        <v>0</v>
      </c>
      <c r="F309" s="63">
        <v>0</v>
      </c>
      <c r="G309" s="63">
        <v>0</v>
      </c>
      <c r="H309" s="63">
        <v>0</v>
      </c>
      <c r="I309" s="63">
        <v>0</v>
      </c>
      <c r="J309" s="63">
        <v>0</v>
      </c>
      <c r="K309" s="86">
        <f t="shared" si="103"/>
        <v>0</v>
      </c>
      <c r="L309" s="295"/>
      <c r="M309" s="88"/>
      <c r="N309" s="296"/>
      <c r="O309" s="28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49"/>
      <c r="BC309" s="49"/>
      <c r="BD309" s="49"/>
      <c r="BE309" s="68"/>
    </row>
    <row r="310" spans="1:57" s="202" customFormat="1">
      <c r="A310" s="802"/>
      <c r="B310" s="865" t="s">
        <v>564</v>
      </c>
      <c r="C310" s="967"/>
      <c r="D310" s="204" t="s">
        <v>429</v>
      </c>
      <c r="E310" s="212">
        <f>F310+G310+H310+I310+J310</f>
        <v>1.8982000000000001</v>
      </c>
      <c r="F310" s="212">
        <v>0.94910000000000005</v>
      </c>
      <c r="G310" s="212">
        <v>0</v>
      </c>
      <c r="H310" s="212">
        <v>0.94910000000000005</v>
      </c>
      <c r="I310" s="212">
        <v>0</v>
      </c>
      <c r="J310" s="212">
        <v>0</v>
      </c>
      <c r="K310" s="120">
        <f t="shared" si="103"/>
        <v>1.8982000000000001</v>
      </c>
      <c r="L310" s="297"/>
      <c r="M310" s="206"/>
      <c r="N310" s="298"/>
      <c r="O310" s="299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  <c r="AS310" s="207"/>
      <c r="AT310" s="207"/>
      <c r="AU310" s="207"/>
      <c r="AV310" s="207"/>
      <c r="AW310" s="207"/>
      <c r="AX310" s="207"/>
      <c r="AY310" s="207"/>
      <c r="AZ310" s="207"/>
      <c r="BA310" s="207"/>
      <c r="BB310" s="207"/>
      <c r="BC310" s="207"/>
      <c r="BD310" s="207"/>
      <c r="BE310" s="208"/>
    </row>
    <row r="311" spans="1:57" s="202" customFormat="1" ht="84.75" customHeight="1">
      <c r="A311" s="804"/>
      <c r="B311" s="866"/>
      <c r="C311" s="968"/>
      <c r="D311" s="211">
        <v>2020</v>
      </c>
      <c r="E311" s="212">
        <f>F311+G311+H311+I311+J311</f>
        <v>1.8982000000000001</v>
      </c>
      <c r="F311" s="212">
        <f>F310</f>
        <v>0.94910000000000005</v>
      </c>
      <c r="G311" s="212">
        <f>G310</f>
        <v>0</v>
      </c>
      <c r="H311" s="212">
        <f>H310</f>
        <v>0.94910000000000005</v>
      </c>
      <c r="I311" s="212">
        <f>I310</f>
        <v>0</v>
      </c>
      <c r="J311" s="212">
        <f>J310</f>
        <v>0</v>
      </c>
      <c r="K311" s="120"/>
      <c r="L311" s="297"/>
      <c r="M311" s="206"/>
      <c r="N311" s="298"/>
      <c r="O311" s="299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  <c r="AB311" s="207"/>
      <c r="AC311" s="207"/>
      <c r="AD311" s="207"/>
      <c r="AE311" s="207"/>
      <c r="AF311" s="207"/>
      <c r="AG311" s="207"/>
      <c r="AH311" s="207"/>
      <c r="AI311" s="207"/>
      <c r="AJ311" s="207"/>
      <c r="AK311" s="207"/>
      <c r="AL311" s="207"/>
      <c r="AM311" s="207"/>
      <c r="AN311" s="207"/>
      <c r="AO311" s="207"/>
      <c r="AP311" s="207"/>
      <c r="AQ311" s="207"/>
      <c r="AR311" s="207"/>
      <c r="AS311" s="207"/>
      <c r="AT311" s="207"/>
      <c r="AU311" s="207"/>
      <c r="AV311" s="207"/>
      <c r="AW311" s="207"/>
      <c r="AX311" s="207"/>
      <c r="AY311" s="207"/>
      <c r="AZ311" s="207"/>
      <c r="BA311" s="207"/>
      <c r="BB311" s="207"/>
      <c r="BC311" s="207"/>
      <c r="BD311" s="207"/>
      <c r="BE311" s="208"/>
    </row>
    <row r="312" spans="1:57" s="202" customFormat="1" ht="12.75" customHeight="1">
      <c r="A312" s="209"/>
      <c r="B312" s="865" t="s">
        <v>565</v>
      </c>
      <c r="C312" s="300"/>
      <c r="D312" s="204" t="s">
        <v>429</v>
      </c>
      <c r="E312" s="212">
        <f t="shared" ref="E312:K312" si="114">E314+E315+E316+E313</f>
        <v>0.67003000000000001</v>
      </c>
      <c r="F312" s="212">
        <f t="shared" si="114"/>
        <v>8.7029999999999996E-2</v>
      </c>
      <c r="G312" s="212">
        <f t="shared" si="114"/>
        <v>3.3799999999999997E-2</v>
      </c>
      <c r="H312" s="212">
        <f t="shared" si="114"/>
        <v>0.54920000000000002</v>
      </c>
      <c r="I312" s="212">
        <f t="shared" si="114"/>
        <v>0</v>
      </c>
      <c r="J312" s="212">
        <f t="shared" si="114"/>
        <v>0</v>
      </c>
      <c r="K312" s="212">
        <f t="shared" si="114"/>
        <v>0</v>
      </c>
      <c r="L312" s="297"/>
      <c r="M312" s="206"/>
      <c r="N312" s="298"/>
      <c r="O312" s="299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  <c r="AB312" s="207"/>
      <c r="AC312" s="207"/>
      <c r="AD312" s="207"/>
      <c r="AE312" s="207"/>
      <c r="AF312" s="207"/>
      <c r="AG312" s="207"/>
      <c r="AH312" s="207"/>
      <c r="AI312" s="207"/>
      <c r="AJ312" s="207"/>
      <c r="AK312" s="207"/>
      <c r="AL312" s="207"/>
      <c r="AM312" s="207"/>
      <c r="AN312" s="207"/>
      <c r="AO312" s="207"/>
      <c r="AP312" s="207"/>
      <c r="AQ312" s="207"/>
      <c r="AR312" s="207"/>
      <c r="AS312" s="207"/>
      <c r="AT312" s="207"/>
      <c r="AU312" s="207"/>
      <c r="AV312" s="207"/>
      <c r="AW312" s="207"/>
      <c r="AX312" s="207"/>
      <c r="AY312" s="207"/>
      <c r="AZ312" s="207"/>
      <c r="BA312" s="207"/>
      <c r="BB312" s="207"/>
      <c r="BC312" s="207"/>
      <c r="BD312" s="207"/>
      <c r="BE312" s="208"/>
    </row>
    <row r="313" spans="1:57" s="202" customFormat="1" ht="12.75" customHeight="1">
      <c r="A313" s="209"/>
      <c r="B313" s="886"/>
      <c r="C313" s="300"/>
      <c r="D313" s="211">
        <v>2019</v>
      </c>
      <c r="E313" s="212">
        <f>F313+G313+H313+I313+J313</f>
        <v>0.35553000000000001</v>
      </c>
      <c r="F313" s="212">
        <v>4.623E-2</v>
      </c>
      <c r="G313" s="212">
        <v>3.3799999999999997E-2</v>
      </c>
      <c r="H313" s="212">
        <v>0.27550000000000002</v>
      </c>
      <c r="I313" s="212">
        <v>0</v>
      </c>
      <c r="J313" s="212">
        <v>0</v>
      </c>
      <c r="K313" s="120"/>
      <c r="L313" s="297"/>
      <c r="M313" s="206"/>
      <c r="N313" s="298"/>
      <c r="O313" s="299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  <c r="AB313" s="207"/>
      <c r="AC313" s="207"/>
      <c r="AD313" s="207"/>
      <c r="AE313" s="207"/>
      <c r="AF313" s="207"/>
      <c r="AG313" s="207"/>
      <c r="AH313" s="207"/>
      <c r="AI313" s="207"/>
      <c r="AJ313" s="207"/>
      <c r="AK313" s="207"/>
      <c r="AL313" s="207"/>
      <c r="AM313" s="207"/>
      <c r="AN313" s="207"/>
      <c r="AO313" s="207"/>
      <c r="AP313" s="207"/>
      <c r="AQ313" s="207"/>
      <c r="AR313" s="207"/>
      <c r="AS313" s="207"/>
      <c r="AT313" s="207"/>
      <c r="AU313" s="207"/>
      <c r="AV313" s="207"/>
      <c r="AW313" s="207"/>
      <c r="AX313" s="207"/>
      <c r="AY313" s="207"/>
      <c r="AZ313" s="207"/>
      <c r="BA313" s="207"/>
      <c r="BB313" s="207"/>
      <c r="BC313" s="207"/>
      <c r="BD313" s="207"/>
      <c r="BE313" s="208"/>
    </row>
    <row r="314" spans="1:57" s="202" customFormat="1">
      <c r="A314" s="209"/>
      <c r="B314" s="886"/>
      <c r="C314" s="300"/>
      <c r="D314" s="211">
        <v>2020</v>
      </c>
      <c r="E314" s="212">
        <f>F314+G314+H314+I314+J314</f>
        <v>7.8700000000000006E-2</v>
      </c>
      <c r="F314" s="212">
        <v>1.0200000000000001E-2</v>
      </c>
      <c r="G314" s="212">
        <v>0</v>
      </c>
      <c r="H314" s="212">
        <v>6.8500000000000005E-2</v>
      </c>
      <c r="I314" s="212">
        <v>0</v>
      </c>
      <c r="J314" s="212">
        <v>0</v>
      </c>
      <c r="K314" s="120"/>
      <c r="L314" s="297"/>
      <c r="M314" s="206"/>
      <c r="N314" s="298"/>
      <c r="O314" s="299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  <c r="AZ314" s="207"/>
      <c r="BA314" s="207"/>
      <c r="BB314" s="207"/>
      <c r="BC314" s="207"/>
      <c r="BD314" s="207"/>
      <c r="BE314" s="208"/>
    </row>
    <row r="315" spans="1:57" s="202" customFormat="1">
      <c r="A315" s="209"/>
      <c r="B315" s="886"/>
      <c r="C315" s="300"/>
      <c r="D315" s="211">
        <v>2021</v>
      </c>
      <c r="E315" s="212">
        <f>F315+G315+H315+I315+J315</f>
        <v>0.11789999999999999</v>
      </c>
      <c r="F315" s="212">
        <v>1.5299999999999999E-2</v>
      </c>
      <c r="G315" s="212">
        <v>0</v>
      </c>
      <c r="H315" s="212">
        <v>0.1026</v>
      </c>
      <c r="I315" s="212">
        <v>0</v>
      </c>
      <c r="J315" s="212">
        <v>0</v>
      </c>
      <c r="K315" s="120"/>
      <c r="L315" s="297"/>
      <c r="M315" s="206"/>
      <c r="N315" s="298"/>
      <c r="O315" s="299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  <c r="AZ315" s="207"/>
      <c r="BA315" s="207"/>
      <c r="BB315" s="207"/>
      <c r="BC315" s="207"/>
      <c r="BD315" s="207"/>
      <c r="BE315" s="208"/>
    </row>
    <row r="316" spans="1:57" s="202" customFormat="1">
      <c r="A316" s="209"/>
      <c r="B316" s="866"/>
      <c r="C316" s="300"/>
      <c r="D316" s="211">
        <v>2022</v>
      </c>
      <c r="E316" s="212">
        <f>F316+G316+H316+I316+J316</f>
        <v>0.11789999999999999</v>
      </c>
      <c r="F316" s="212">
        <v>1.5299999999999999E-2</v>
      </c>
      <c r="G316" s="212">
        <v>0</v>
      </c>
      <c r="H316" s="212">
        <v>0.1026</v>
      </c>
      <c r="I316" s="212">
        <v>0</v>
      </c>
      <c r="J316" s="212">
        <v>0</v>
      </c>
      <c r="K316" s="120"/>
      <c r="L316" s="297"/>
      <c r="M316" s="206"/>
      <c r="N316" s="298"/>
      <c r="O316" s="299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  <c r="AZ316" s="207"/>
      <c r="BA316" s="207"/>
      <c r="BB316" s="207"/>
      <c r="BC316" s="207"/>
      <c r="BD316" s="207"/>
      <c r="BE316" s="208"/>
    </row>
    <row r="317" spans="1:57" s="51" customFormat="1" ht="12.75" customHeight="1">
      <c r="A317" s="972" t="s">
        <v>566</v>
      </c>
      <c r="B317" s="838" t="s">
        <v>567</v>
      </c>
      <c r="C317" s="867" t="s">
        <v>351</v>
      </c>
      <c r="D317" s="84" t="s">
        <v>16</v>
      </c>
      <c r="E317" s="85">
        <f t="shared" ref="E317:J317" si="115">E318+E319+E320+E321+E322+E323+E324+E325+E326+E327+E328</f>
        <v>2.0853700000000002</v>
      </c>
      <c r="F317" s="85">
        <f t="shared" si="115"/>
        <v>0.86257000000000006</v>
      </c>
      <c r="G317" s="85">
        <f t="shared" si="115"/>
        <v>0</v>
      </c>
      <c r="H317" s="85">
        <f t="shared" si="115"/>
        <v>1.2228000000000001</v>
      </c>
      <c r="I317" s="85">
        <f t="shared" si="115"/>
        <v>0</v>
      </c>
      <c r="J317" s="85">
        <f t="shared" si="115"/>
        <v>0</v>
      </c>
      <c r="K317" s="86">
        <f t="shared" ref="K317:K328" si="116">F317+G317+H317+I317+J317</f>
        <v>2.0853700000000002</v>
      </c>
      <c r="L317" s="99"/>
      <c r="M317" s="88"/>
      <c r="N317" s="301"/>
      <c r="O317" s="867" t="s">
        <v>352</v>
      </c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49"/>
      <c r="BD317" s="49"/>
      <c r="BE317" s="68"/>
    </row>
    <row r="318" spans="1:57" s="219" customFormat="1" ht="12.75" customHeight="1">
      <c r="A318" s="973"/>
      <c r="B318" s="839"/>
      <c r="C318" s="868"/>
      <c r="D318" s="197">
        <v>2020</v>
      </c>
      <c r="E318" s="198">
        <f t="shared" ref="E318:E328" si="117">F318+G318+H318+I318+J318</f>
        <v>1.2362</v>
      </c>
      <c r="F318" s="198">
        <v>0.21859999999999999</v>
      </c>
      <c r="G318" s="198">
        <v>0</v>
      </c>
      <c r="H318" s="198">
        <v>1.0176000000000001</v>
      </c>
      <c r="I318" s="198">
        <v>0</v>
      </c>
      <c r="J318" s="198">
        <v>0</v>
      </c>
      <c r="K318" s="129">
        <f t="shared" si="116"/>
        <v>1.2362</v>
      </c>
      <c r="L318" s="129"/>
      <c r="M318" s="220"/>
      <c r="N318" s="303"/>
      <c r="O318" s="868"/>
      <c r="P318" s="221"/>
      <c r="Q318" s="221"/>
      <c r="R318" s="221"/>
      <c r="S318" s="221"/>
      <c r="T318" s="221"/>
      <c r="U318" s="221"/>
      <c r="V318" s="221"/>
      <c r="W318" s="221"/>
      <c r="X318" s="221"/>
      <c r="Y318" s="221"/>
      <c r="Z318" s="221"/>
      <c r="AA318" s="221"/>
      <c r="AB318" s="221"/>
      <c r="AC318" s="221"/>
      <c r="AD318" s="221"/>
      <c r="AE318" s="221"/>
      <c r="AF318" s="221"/>
      <c r="AG318" s="221"/>
      <c r="AH318" s="221"/>
      <c r="AI318" s="221"/>
      <c r="AJ318" s="221"/>
      <c r="AK318" s="221"/>
      <c r="AL318" s="221"/>
      <c r="AM318" s="221"/>
      <c r="AN318" s="221"/>
      <c r="AO318" s="221"/>
      <c r="AP318" s="221"/>
      <c r="AQ318" s="221"/>
      <c r="AR318" s="221"/>
      <c r="AS318" s="221"/>
      <c r="AT318" s="221"/>
      <c r="AU318" s="221"/>
      <c r="AV318" s="221"/>
      <c r="AW318" s="221"/>
      <c r="AX318" s="221"/>
      <c r="AY318" s="221"/>
      <c r="AZ318" s="221"/>
      <c r="BA318" s="221"/>
      <c r="BB318" s="221"/>
      <c r="BC318" s="221"/>
      <c r="BD318" s="221"/>
      <c r="BE318" s="222"/>
    </row>
    <row r="319" spans="1:57" s="219" customFormat="1" ht="12.75" customHeight="1">
      <c r="A319" s="973"/>
      <c r="B319" s="839"/>
      <c r="C319" s="870" t="s">
        <v>353</v>
      </c>
      <c r="D319" s="197">
        <v>2021</v>
      </c>
      <c r="E319" s="198">
        <f t="shared" si="117"/>
        <v>0.33240000000000003</v>
      </c>
      <c r="F319" s="198">
        <v>0.2298</v>
      </c>
      <c r="G319" s="198">
        <v>0</v>
      </c>
      <c r="H319" s="198">
        <v>0.1026</v>
      </c>
      <c r="I319" s="198">
        <v>0</v>
      </c>
      <c r="J319" s="198">
        <v>0</v>
      </c>
      <c r="K319" s="129">
        <f t="shared" si="116"/>
        <v>0.33240000000000003</v>
      </c>
      <c r="L319" s="129"/>
      <c r="M319" s="220"/>
      <c r="N319" s="303"/>
      <c r="O319" s="868"/>
      <c r="P319" s="221"/>
      <c r="Q319" s="221"/>
      <c r="R319" s="221"/>
      <c r="S319" s="221"/>
      <c r="T319" s="221"/>
      <c r="U319" s="221"/>
      <c r="V319" s="221"/>
      <c r="W319" s="221"/>
      <c r="X319" s="221"/>
      <c r="Y319" s="221"/>
      <c r="Z319" s="221"/>
      <c r="AA319" s="221"/>
      <c r="AB319" s="221"/>
      <c r="AC319" s="221"/>
      <c r="AD319" s="221"/>
      <c r="AE319" s="221"/>
      <c r="AF319" s="221"/>
      <c r="AG319" s="221"/>
      <c r="AH319" s="221"/>
      <c r="AI319" s="221"/>
      <c r="AJ319" s="221"/>
      <c r="AK319" s="221"/>
      <c r="AL319" s="221"/>
      <c r="AM319" s="221"/>
      <c r="AN319" s="221"/>
      <c r="AO319" s="221"/>
      <c r="AP319" s="221"/>
      <c r="AQ319" s="221"/>
      <c r="AR319" s="221"/>
      <c r="AS319" s="221"/>
      <c r="AT319" s="221"/>
      <c r="AU319" s="221"/>
      <c r="AV319" s="221"/>
      <c r="AW319" s="221"/>
      <c r="AX319" s="221"/>
      <c r="AY319" s="221"/>
      <c r="AZ319" s="221"/>
      <c r="BA319" s="221"/>
      <c r="BB319" s="221"/>
      <c r="BC319" s="221"/>
      <c r="BD319" s="221"/>
      <c r="BE319" s="222"/>
    </row>
    <row r="320" spans="1:57" s="219" customFormat="1" ht="12.75" customHeight="1">
      <c r="A320" s="973"/>
      <c r="B320" s="839"/>
      <c r="C320" s="870"/>
      <c r="D320" s="197">
        <v>2022</v>
      </c>
      <c r="E320" s="198">
        <f t="shared" si="117"/>
        <v>0.33909999999999996</v>
      </c>
      <c r="F320" s="198">
        <v>0.23649999999999999</v>
      </c>
      <c r="G320" s="198">
        <f>G318</f>
        <v>0</v>
      </c>
      <c r="H320" s="198">
        <v>0.1026</v>
      </c>
      <c r="I320" s="194">
        <f>I318</f>
        <v>0</v>
      </c>
      <c r="J320" s="194">
        <f>J318</f>
        <v>0</v>
      </c>
      <c r="K320" s="129">
        <f t="shared" si="116"/>
        <v>0.33909999999999996</v>
      </c>
      <c r="L320" s="129"/>
      <c r="M320" s="220"/>
      <c r="N320" s="303"/>
      <c r="O320" s="868"/>
      <c r="P320" s="221"/>
      <c r="Q320" s="221"/>
      <c r="R320" s="221"/>
      <c r="S320" s="221"/>
      <c r="T320" s="221"/>
      <c r="U320" s="221"/>
      <c r="V320" s="221"/>
      <c r="W320" s="221"/>
      <c r="X320" s="221"/>
      <c r="Y320" s="221"/>
      <c r="Z320" s="221"/>
      <c r="AA320" s="221"/>
      <c r="AB320" s="221"/>
      <c r="AC320" s="221"/>
      <c r="AD320" s="221"/>
      <c r="AE320" s="221"/>
      <c r="AF320" s="221"/>
      <c r="AG320" s="221"/>
      <c r="AH320" s="221"/>
      <c r="AI320" s="221"/>
      <c r="AJ320" s="221"/>
      <c r="AK320" s="221"/>
      <c r="AL320" s="221"/>
      <c r="AM320" s="221"/>
      <c r="AN320" s="221"/>
      <c r="AO320" s="221"/>
      <c r="AP320" s="221"/>
      <c r="AQ320" s="221"/>
      <c r="AR320" s="221"/>
      <c r="AS320" s="221"/>
      <c r="AT320" s="221"/>
      <c r="AU320" s="221"/>
      <c r="AV320" s="221"/>
      <c r="AW320" s="221"/>
      <c r="AX320" s="221"/>
      <c r="AY320" s="221"/>
      <c r="AZ320" s="221"/>
      <c r="BA320" s="221"/>
      <c r="BB320" s="221"/>
      <c r="BC320" s="221"/>
      <c r="BD320" s="221"/>
      <c r="BE320" s="222"/>
    </row>
    <row r="321" spans="1:57" s="51" customFormat="1" ht="12.75" customHeight="1">
      <c r="A321" s="973"/>
      <c r="B321" s="839"/>
      <c r="C321" s="870"/>
      <c r="D321" s="62">
        <v>2023</v>
      </c>
      <c r="E321" s="63">
        <f t="shared" si="117"/>
        <v>2.0580000000000001E-2</v>
      </c>
      <c r="F321" s="63">
        <v>2.0580000000000001E-2</v>
      </c>
      <c r="G321" s="63">
        <v>0</v>
      </c>
      <c r="H321" s="63">
        <v>0</v>
      </c>
      <c r="I321" s="63">
        <v>0</v>
      </c>
      <c r="J321" s="63">
        <v>0</v>
      </c>
      <c r="K321" s="86">
        <f t="shared" si="116"/>
        <v>2.0580000000000001E-2</v>
      </c>
      <c r="L321" s="304"/>
      <c r="M321" s="88"/>
      <c r="N321" s="305"/>
      <c r="O321" s="868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49"/>
      <c r="BC321" s="49"/>
      <c r="BD321" s="49"/>
      <c r="BE321" s="68"/>
    </row>
    <row r="322" spans="1:57" s="51" customFormat="1" ht="12.75" customHeight="1">
      <c r="A322" s="973"/>
      <c r="B322" s="839"/>
      <c r="C322" s="870"/>
      <c r="D322" s="62">
        <v>2024</v>
      </c>
      <c r="E322" s="63">
        <f t="shared" si="117"/>
        <v>2.0580000000000001E-2</v>
      </c>
      <c r="F322" s="63">
        <v>2.0580000000000001E-2</v>
      </c>
      <c r="G322" s="63">
        <v>0</v>
      </c>
      <c r="H322" s="63">
        <v>0</v>
      </c>
      <c r="I322" s="63">
        <v>0</v>
      </c>
      <c r="J322" s="63">
        <v>0</v>
      </c>
      <c r="K322" s="86">
        <f t="shared" si="116"/>
        <v>2.0580000000000001E-2</v>
      </c>
      <c r="L322" s="304"/>
      <c r="M322" s="88"/>
      <c r="N322" s="305"/>
      <c r="O322" s="868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49"/>
      <c r="BC322" s="49"/>
      <c r="BD322" s="49"/>
      <c r="BE322" s="68"/>
    </row>
    <row r="323" spans="1:57" s="51" customFormat="1" ht="12.75" customHeight="1">
      <c r="A323" s="973"/>
      <c r="B323" s="839"/>
      <c r="C323" s="870"/>
      <c r="D323" s="62">
        <v>2025</v>
      </c>
      <c r="E323" s="63">
        <f t="shared" si="117"/>
        <v>2.0580000000000001E-2</v>
      </c>
      <c r="F323" s="63">
        <v>2.0580000000000001E-2</v>
      </c>
      <c r="G323" s="63">
        <v>0</v>
      </c>
      <c r="H323" s="63">
        <v>0</v>
      </c>
      <c r="I323" s="63">
        <v>0</v>
      </c>
      <c r="J323" s="63">
        <v>0</v>
      </c>
      <c r="K323" s="86">
        <f t="shared" si="116"/>
        <v>2.0580000000000001E-2</v>
      </c>
      <c r="L323" s="304"/>
      <c r="M323" s="88"/>
      <c r="N323" s="305"/>
      <c r="O323" s="868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49"/>
      <c r="BC323" s="49"/>
      <c r="BD323" s="49"/>
      <c r="BE323" s="68"/>
    </row>
    <row r="324" spans="1:57" s="51" customFormat="1" ht="18.75" customHeight="1">
      <c r="A324" s="973"/>
      <c r="B324" s="839"/>
      <c r="C324" s="870" t="s">
        <v>354</v>
      </c>
      <c r="D324" s="62">
        <v>2026</v>
      </c>
      <c r="E324" s="63">
        <f t="shared" si="117"/>
        <v>2.1399999999999999E-2</v>
      </c>
      <c r="F324" s="63">
        <v>2.1399999999999999E-2</v>
      </c>
      <c r="G324" s="63">
        <v>0</v>
      </c>
      <c r="H324" s="63">
        <v>0</v>
      </c>
      <c r="I324" s="63">
        <v>0</v>
      </c>
      <c r="J324" s="63">
        <v>0</v>
      </c>
      <c r="K324" s="86">
        <f t="shared" si="116"/>
        <v>2.1399999999999999E-2</v>
      </c>
      <c r="L324" s="304"/>
      <c r="M324" s="88"/>
      <c r="N324" s="305"/>
      <c r="O324" s="868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49"/>
      <c r="BC324" s="49"/>
      <c r="BD324" s="49"/>
      <c r="BE324" s="68"/>
    </row>
    <row r="325" spans="1:57" s="51" customFormat="1" ht="12.75" customHeight="1">
      <c r="A325" s="973"/>
      <c r="B325" s="839"/>
      <c r="C325" s="870"/>
      <c r="D325" s="62">
        <v>2027</v>
      </c>
      <c r="E325" s="63">
        <f t="shared" si="117"/>
        <v>2.2259999999999999E-2</v>
      </c>
      <c r="F325" s="63">
        <v>2.2259999999999999E-2</v>
      </c>
      <c r="G325" s="63">
        <v>0</v>
      </c>
      <c r="H325" s="63">
        <v>0</v>
      </c>
      <c r="I325" s="63">
        <v>0</v>
      </c>
      <c r="J325" s="63">
        <v>0</v>
      </c>
      <c r="K325" s="86">
        <f t="shared" si="116"/>
        <v>2.2259999999999999E-2</v>
      </c>
      <c r="L325" s="304"/>
      <c r="M325" s="88"/>
      <c r="N325" s="305"/>
      <c r="O325" s="868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49"/>
      <c r="BC325" s="49"/>
      <c r="BD325" s="49"/>
      <c r="BE325" s="68"/>
    </row>
    <row r="326" spans="1:57" s="51" customFormat="1" ht="12.75" customHeight="1">
      <c r="A326" s="973"/>
      <c r="B326" s="889"/>
      <c r="C326" s="870"/>
      <c r="D326" s="62">
        <v>2028</v>
      </c>
      <c r="E326" s="63">
        <f t="shared" si="117"/>
        <v>2.315E-2</v>
      </c>
      <c r="F326" s="63">
        <v>2.315E-2</v>
      </c>
      <c r="G326" s="63">
        <v>0</v>
      </c>
      <c r="H326" s="63">
        <v>0</v>
      </c>
      <c r="I326" s="63">
        <v>0</v>
      </c>
      <c r="J326" s="63">
        <v>0</v>
      </c>
      <c r="K326" s="86">
        <f t="shared" si="116"/>
        <v>2.315E-2</v>
      </c>
      <c r="L326" s="304"/>
      <c r="M326" s="88"/>
      <c r="N326" s="305"/>
      <c r="O326" s="868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  <c r="BD326" s="49"/>
      <c r="BE326" s="68"/>
    </row>
    <row r="327" spans="1:57" s="51" customFormat="1">
      <c r="A327" s="973"/>
      <c r="B327" s="889"/>
      <c r="C327" s="870"/>
      <c r="D327" s="62">
        <v>2029</v>
      </c>
      <c r="E327" s="63">
        <f t="shared" si="117"/>
        <v>2.4080000000000001E-2</v>
      </c>
      <c r="F327" s="63">
        <v>2.4080000000000001E-2</v>
      </c>
      <c r="G327" s="63">
        <v>0</v>
      </c>
      <c r="H327" s="63">
        <v>0</v>
      </c>
      <c r="I327" s="63">
        <v>0</v>
      </c>
      <c r="J327" s="63">
        <v>0</v>
      </c>
      <c r="K327" s="86">
        <f t="shared" si="116"/>
        <v>2.4080000000000001E-2</v>
      </c>
      <c r="L327" s="304"/>
      <c r="M327" s="88"/>
      <c r="N327" s="305"/>
      <c r="O327" s="868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49"/>
      <c r="BC327" s="49"/>
      <c r="BD327" s="49"/>
      <c r="BE327" s="68"/>
    </row>
    <row r="328" spans="1:57" s="51" customFormat="1">
      <c r="A328" s="974"/>
      <c r="B328" s="890"/>
      <c r="C328" s="870"/>
      <c r="D328" s="62">
        <v>2030</v>
      </c>
      <c r="E328" s="63">
        <f t="shared" si="117"/>
        <v>2.504E-2</v>
      </c>
      <c r="F328" s="63">
        <v>2.504E-2</v>
      </c>
      <c r="G328" s="63">
        <v>0</v>
      </c>
      <c r="H328" s="63">
        <v>0</v>
      </c>
      <c r="I328" s="63">
        <v>0</v>
      </c>
      <c r="J328" s="63">
        <v>0</v>
      </c>
      <c r="K328" s="86">
        <f t="shared" si="116"/>
        <v>2.504E-2</v>
      </c>
      <c r="L328" s="304"/>
      <c r="M328" s="88"/>
      <c r="N328" s="305"/>
      <c r="O328" s="86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49"/>
      <c r="BC328" s="49"/>
      <c r="BD328" s="49"/>
      <c r="BE328" s="68"/>
    </row>
    <row r="329" spans="1:57" s="202" customFormat="1">
      <c r="A329" s="306"/>
      <c r="B329" s="272"/>
      <c r="C329" s="117"/>
      <c r="D329" s="204" t="s">
        <v>429</v>
      </c>
      <c r="E329" s="63">
        <f t="shared" ref="E329:J329" si="118">E330</f>
        <v>7.3220000000000001</v>
      </c>
      <c r="F329" s="63">
        <f t="shared" si="118"/>
        <v>0.95199999999999996</v>
      </c>
      <c r="G329" s="63">
        <f t="shared" si="118"/>
        <v>0</v>
      </c>
      <c r="H329" s="63">
        <f t="shared" si="118"/>
        <v>6.37</v>
      </c>
      <c r="I329" s="63">
        <f t="shared" si="118"/>
        <v>0</v>
      </c>
      <c r="J329" s="63">
        <f t="shared" si="118"/>
        <v>0</v>
      </c>
      <c r="K329" s="120"/>
      <c r="L329" s="307"/>
      <c r="M329" s="206"/>
      <c r="N329" s="308"/>
      <c r="O329" s="203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  <c r="AB329" s="207"/>
      <c r="AC329" s="207"/>
      <c r="AD329" s="207"/>
      <c r="AE329" s="207"/>
      <c r="AF329" s="207"/>
      <c r="AG329" s="207"/>
      <c r="AH329" s="207"/>
      <c r="AI329" s="207"/>
      <c r="AJ329" s="207"/>
      <c r="AK329" s="207"/>
      <c r="AL329" s="207"/>
      <c r="AM329" s="207"/>
      <c r="AN329" s="207"/>
      <c r="AO329" s="207"/>
      <c r="AP329" s="207"/>
      <c r="AQ329" s="207"/>
      <c r="AR329" s="207"/>
      <c r="AS329" s="207"/>
      <c r="AT329" s="207"/>
      <c r="AU329" s="207"/>
      <c r="AV329" s="207"/>
      <c r="AW329" s="207"/>
      <c r="AX329" s="207"/>
      <c r="AY329" s="207"/>
      <c r="AZ329" s="207"/>
      <c r="BA329" s="207"/>
      <c r="BB329" s="207"/>
      <c r="BC329" s="207"/>
      <c r="BD329" s="207"/>
      <c r="BE329" s="208"/>
    </row>
    <row r="330" spans="1:57" s="202" customFormat="1" ht="25.5">
      <c r="A330" s="306"/>
      <c r="B330" s="117" t="s">
        <v>568</v>
      </c>
      <c r="C330" s="117"/>
      <c r="D330" s="211">
        <v>2021</v>
      </c>
      <c r="E330" s="63">
        <f>F330+G330+H330+I330+J330</f>
        <v>7.3220000000000001</v>
      </c>
      <c r="F330" s="212">
        <v>0.95199999999999996</v>
      </c>
      <c r="G330" s="212">
        <v>0</v>
      </c>
      <c r="H330" s="212">
        <v>6.37</v>
      </c>
      <c r="I330" s="212">
        <v>0</v>
      </c>
      <c r="J330" s="212">
        <v>0</v>
      </c>
      <c r="K330" s="120"/>
      <c r="L330" s="307"/>
      <c r="M330" s="206"/>
      <c r="N330" s="308"/>
      <c r="O330" s="203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  <c r="AB330" s="207"/>
      <c r="AC330" s="207"/>
      <c r="AD330" s="207"/>
      <c r="AE330" s="207"/>
      <c r="AF330" s="207"/>
      <c r="AG330" s="207"/>
      <c r="AH330" s="207"/>
      <c r="AI330" s="207"/>
      <c r="AJ330" s="207"/>
      <c r="AK330" s="207"/>
      <c r="AL330" s="207"/>
      <c r="AM330" s="207"/>
      <c r="AN330" s="207"/>
      <c r="AO330" s="207"/>
      <c r="AP330" s="207"/>
      <c r="AQ330" s="207"/>
      <c r="AR330" s="207"/>
      <c r="AS330" s="207"/>
      <c r="AT330" s="207"/>
      <c r="AU330" s="207"/>
      <c r="AV330" s="207"/>
      <c r="AW330" s="207"/>
      <c r="AX330" s="207"/>
      <c r="AY330" s="207"/>
      <c r="AZ330" s="207"/>
      <c r="BA330" s="207"/>
      <c r="BB330" s="207"/>
      <c r="BC330" s="207"/>
      <c r="BD330" s="207"/>
      <c r="BE330" s="208"/>
    </row>
    <row r="331" spans="1:57" s="51" customFormat="1">
      <c r="A331" s="794" t="s">
        <v>569</v>
      </c>
      <c r="B331" s="867" t="s">
        <v>570</v>
      </c>
      <c r="C331" s="867" t="s">
        <v>542</v>
      </c>
      <c r="D331" s="84" t="s">
        <v>16</v>
      </c>
      <c r="E331" s="85">
        <f t="shared" ref="E331:J331" si="119">E332</f>
        <v>16.8</v>
      </c>
      <c r="F331" s="85">
        <f t="shared" si="119"/>
        <v>0</v>
      </c>
      <c r="G331" s="85">
        <f t="shared" si="119"/>
        <v>0</v>
      </c>
      <c r="H331" s="85">
        <f t="shared" si="119"/>
        <v>15.96</v>
      </c>
      <c r="I331" s="85">
        <f t="shared" si="119"/>
        <v>0</v>
      </c>
      <c r="J331" s="85">
        <f t="shared" si="119"/>
        <v>0.84</v>
      </c>
      <c r="K331" s="86">
        <f t="shared" ref="K331:K394" si="120">F331+G331+H331+I331+J331</f>
        <v>16.8</v>
      </c>
      <c r="L331" s="978"/>
      <c r="M331" s="88"/>
      <c r="N331" s="844">
        <v>1</v>
      </c>
      <c r="O331" s="858" t="s">
        <v>571</v>
      </c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  <c r="BD331" s="49"/>
      <c r="BE331" s="68"/>
    </row>
    <row r="332" spans="1:57" s="51" customFormat="1" ht="21.75" customHeight="1">
      <c r="A332" s="835"/>
      <c r="B332" s="869"/>
      <c r="C332" s="869"/>
      <c r="D332" s="84">
        <v>2023</v>
      </c>
      <c r="E332" s="63">
        <f>F332+G332+H332+I332+J332</f>
        <v>16.8</v>
      </c>
      <c r="F332" s="63">
        <v>0</v>
      </c>
      <c r="G332" s="63">
        <v>0</v>
      </c>
      <c r="H332" s="63">
        <v>15.96</v>
      </c>
      <c r="I332" s="63">
        <v>0</v>
      </c>
      <c r="J332" s="63">
        <v>0.84</v>
      </c>
      <c r="K332" s="86">
        <f t="shared" si="120"/>
        <v>16.8</v>
      </c>
      <c r="L332" s="978"/>
      <c r="M332" s="88"/>
      <c r="N332" s="945"/>
      <c r="O332" s="85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49"/>
      <c r="BC332" s="49"/>
      <c r="BD332" s="49"/>
      <c r="BE332" s="68"/>
    </row>
    <row r="333" spans="1:57" s="51" customFormat="1">
      <c r="A333" s="794" t="s">
        <v>572</v>
      </c>
      <c r="B333" s="867" t="s">
        <v>573</v>
      </c>
      <c r="C333" s="867" t="s">
        <v>542</v>
      </c>
      <c r="D333" s="84" t="s">
        <v>16</v>
      </c>
      <c r="E333" s="85">
        <f t="shared" ref="E333:J333" si="121">E334+E335</f>
        <v>16.8</v>
      </c>
      <c r="F333" s="85">
        <f t="shared" si="121"/>
        <v>0</v>
      </c>
      <c r="G333" s="85">
        <f t="shared" si="121"/>
        <v>0</v>
      </c>
      <c r="H333" s="85">
        <f t="shared" si="121"/>
        <v>15.96</v>
      </c>
      <c r="I333" s="85">
        <f t="shared" si="121"/>
        <v>0</v>
      </c>
      <c r="J333" s="85">
        <f t="shared" si="121"/>
        <v>0.84</v>
      </c>
      <c r="K333" s="86">
        <f t="shared" si="120"/>
        <v>16.8</v>
      </c>
      <c r="L333" s="895"/>
      <c r="M333" s="88"/>
      <c r="N333" s="309"/>
      <c r="O333" s="855" t="s">
        <v>574</v>
      </c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49"/>
      <c r="BC333" s="49"/>
      <c r="BD333" s="49"/>
      <c r="BE333" s="68"/>
    </row>
    <row r="334" spans="1:57" s="51" customFormat="1">
      <c r="A334" s="795"/>
      <c r="B334" s="872"/>
      <c r="C334" s="868"/>
      <c r="D334" s="62">
        <v>2021</v>
      </c>
      <c r="E334" s="63">
        <f>F334+G334+H334+I334+J334</f>
        <v>8.4</v>
      </c>
      <c r="F334" s="63">
        <v>0</v>
      </c>
      <c r="G334" s="63">
        <v>0</v>
      </c>
      <c r="H334" s="63">
        <v>7.98</v>
      </c>
      <c r="I334" s="63">
        <v>0</v>
      </c>
      <c r="J334" s="63">
        <v>0.42</v>
      </c>
      <c r="K334" s="86">
        <f t="shared" si="120"/>
        <v>8.4</v>
      </c>
      <c r="L334" s="896"/>
      <c r="M334" s="88"/>
      <c r="N334" s="309"/>
      <c r="O334" s="856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49"/>
      <c r="BC334" s="49"/>
      <c r="BD334" s="49"/>
      <c r="BE334" s="68"/>
    </row>
    <row r="335" spans="1:57" s="51" customFormat="1">
      <c r="A335" s="835"/>
      <c r="B335" s="869"/>
      <c r="C335" s="869"/>
      <c r="D335" s="62">
        <v>2022</v>
      </c>
      <c r="E335" s="63">
        <f>F335+G335+H335+I335+J335</f>
        <v>8.4</v>
      </c>
      <c r="F335" s="63">
        <v>0</v>
      </c>
      <c r="G335" s="63">
        <v>0</v>
      </c>
      <c r="H335" s="63">
        <v>7.98</v>
      </c>
      <c r="I335" s="63">
        <v>0</v>
      </c>
      <c r="J335" s="63">
        <v>0.42</v>
      </c>
      <c r="K335" s="86">
        <f t="shared" si="120"/>
        <v>8.4</v>
      </c>
      <c r="L335" s="893"/>
      <c r="M335" s="88"/>
      <c r="N335" s="309"/>
      <c r="O335" s="85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49"/>
      <c r="BC335" s="49"/>
      <c r="BD335" s="49"/>
      <c r="BE335" s="68"/>
    </row>
    <row r="336" spans="1:57" s="51" customFormat="1" ht="24.75" customHeight="1">
      <c r="A336" s="975" t="s">
        <v>575</v>
      </c>
      <c r="B336" s="867" t="s">
        <v>576</v>
      </c>
      <c r="C336" s="310" t="s">
        <v>351</v>
      </c>
      <c r="D336" s="84" t="s">
        <v>16</v>
      </c>
      <c r="E336" s="85">
        <f t="shared" ref="E336:J336" si="122">E337+E338+E339</f>
        <v>0</v>
      </c>
      <c r="F336" s="85">
        <f t="shared" si="122"/>
        <v>0</v>
      </c>
      <c r="G336" s="85">
        <f t="shared" si="122"/>
        <v>0</v>
      </c>
      <c r="H336" s="85">
        <f t="shared" si="122"/>
        <v>0</v>
      </c>
      <c r="I336" s="85">
        <f t="shared" si="122"/>
        <v>0</v>
      </c>
      <c r="J336" s="85">
        <f t="shared" si="122"/>
        <v>0</v>
      </c>
      <c r="K336" s="86">
        <f t="shared" si="120"/>
        <v>0</v>
      </c>
      <c r="L336" s="235" t="s">
        <v>577</v>
      </c>
      <c r="M336" s="88"/>
      <c r="N336" s="89"/>
      <c r="O336" s="838" t="s">
        <v>405</v>
      </c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68"/>
    </row>
    <row r="337" spans="1:57" s="51" customFormat="1" ht="18" customHeight="1">
      <c r="A337" s="976"/>
      <c r="B337" s="872"/>
      <c r="C337" s="867" t="s">
        <v>353</v>
      </c>
      <c r="D337" s="62">
        <v>2020</v>
      </c>
      <c r="E337" s="63">
        <f>F337+G337+H337+I337+J337</f>
        <v>0</v>
      </c>
      <c r="F337" s="63">
        <v>0</v>
      </c>
      <c r="G337" s="63">
        <v>0</v>
      </c>
      <c r="H337" s="63">
        <v>0</v>
      </c>
      <c r="I337" s="63">
        <v>0</v>
      </c>
      <c r="J337" s="63">
        <v>0</v>
      </c>
      <c r="K337" s="86">
        <f t="shared" si="120"/>
        <v>0</v>
      </c>
      <c r="L337" s="294"/>
      <c r="M337" s="88"/>
      <c r="N337" s="111"/>
      <c r="O337" s="88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49"/>
      <c r="BC337" s="49"/>
      <c r="BD337" s="49"/>
      <c r="BE337" s="68"/>
    </row>
    <row r="338" spans="1:57" s="51" customFormat="1">
      <c r="A338" s="976"/>
      <c r="B338" s="872"/>
      <c r="C338" s="872"/>
      <c r="D338" s="62">
        <v>2021</v>
      </c>
      <c r="E338" s="63">
        <f>F338+G338+H338+I338+J338</f>
        <v>0</v>
      </c>
      <c r="F338" s="63">
        <v>0</v>
      </c>
      <c r="G338" s="63">
        <v>0</v>
      </c>
      <c r="H338" s="63">
        <v>0</v>
      </c>
      <c r="I338" s="63">
        <v>0</v>
      </c>
      <c r="J338" s="63">
        <v>0</v>
      </c>
      <c r="K338" s="86">
        <f t="shared" si="120"/>
        <v>0</v>
      </c>
      <c r="L338" s="294"/>
      <c r="M338" s="88"/>
      <c r="N338" s="111"/>
      <c r="O338" s="88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49"/>
      <c r="BD338" s="49"/>
      <c r="BE338" s="68"/>
    </row>
    <row r="339" spans="1:57" s="51" customFormat="1">
      <c r="A339" s="977"/>
      <c r="B339" s="873"/>
      <c r="C339" s="873"/>
      <c r="D339" s="62">
        <v>2022</v>
      </c>
      <c r="E339" s="63">
        <f>F339+G339+H339+I339+J339</f>
        <v>0</v>
      </c>
      <c r="F339" s="63">
        <v>0</v>
      </c>
      <c r="G339" s="63">
        <v>0</v>
      </c>
      <c r="H339" s="63">
        <v>0</v>
      </c>
      <c r="I339" s="63">
        <v>0</v>
      </c>
      <c r="J339" s="63">
        <v>0</v>
      </c>
      <c r="K339" s="86">
        <f t="shared" si="120"/>
        <v>0</v>
      </c>
      <c r="L339" s="294"/>
      <c r="M339" s="88"/>
      <c r="N339" s="111"/>
      <c r="O339" s="88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68"/>
    </row>
    <row r="340" spans="1:57" s="202" customFormat="1" ht="12.75" customHeight="1">
      <c r="A340" s="979" t="s">
        <v>578</v>
      </c>
      <c r="B340" s="981" t="s">
        <v>579</v>
      </c>
      <c r="C340" s="311"/>
      <c r="D340" s="312" t="s">
        <v>16</v>
      </c>
      <c r="E340" s="205">
        <f t="shared" ref="E340:J340" si="123">E341</f>
        <v>1.252</v>
      </c>
      <c r="F340" s="205">
        <f t="shared" si="123"/>
        <v>1.252</v>
      </c>
      <c r="G340" s="205">
        <f t="shared" si="123"/>
        <v>0</v>
      </c>
      <c r="H340" s="205">
        <f t="shared" si="123"/>
        <v>0</v>
      </c>
      <c r="I340" s="205">
        <f t="shared" si="123"/>
        <v>0</v>
      </c>
      <c r="J340" s="205">
        <f t="shared" si="123"/>
        <v>0</v>
      </c>
      <c r="K340" s="120">
        <f t="shared" si="120"/>
        <v>1.252</v>
      </c>
      <c r="L340" s="851" t="s">
        <v>580</v>
      </c>
      <c r="M340" s="206"/>
      <c r="N340" s="939">
        <v>6</v>
      </c>
      <c r="O340" s="889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  <c r="AB340" s="207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  <c r="AM340" s="207"/>
      <c r="AN340" s="207"/>
      <c r="AO340" s="207"/>
      <c r="AP340" s="207"/>
      <c r="AQ340" s="207"/>
      <c r="AR340" s="207"/>
      <c r="AS340" s="207"/>
      <c r="AT340" s="207"/>
      <c r="AU340" s="207"/>
      <c r="AV340" s="207"/>
      <c r="AW340" s="207"/>
      <c r="AX340" s="207"/>
      <c r="AY340" s="207"/>
      <c r="AZ340" s="207"/>
      <c r="BA340" s="207"/>
      <c r="BB340" s="207"/>
      <c r="BC340" s="207"/>
      <c r="BD340" s="207"/>
      <c r="BE340" s="208"/>
    </row>
    <row r="341" spans="1:57" s="202" customFormat="1" ht="19.5" customHeight="1">
      <c r="A341" s="980"/>
      <c r="B341" s="982"/>
      <c r="C341" s="311"/>
      <c r="D341" s="211">
        <v>2019</v>
      </c>
      <c r="E341" s="212">
        <f>F341+G341+H341+I341+J341</f>
        <v>1.252</v>
      </c>
      <c r="F341" s="212">
        <v>1.252</v>
      </c>
      <c r="G341" s="212">
        <v>0</v>
      </c>
      <c r="H341" s="212">
        <v>0</v>
      </c>
      <c r="I341" s="212">
        <v>0</v>
      </c>
      <c r="J341" s="212">
        <v>0</v>
      </c>
      <c r="K341" s="120">
        <f t="shared" si="120"/>
        <v>1.252</v>
      </c>
      <c r="L341" s="983"/>
      <c r="M341" s="206"/>
      <c r="N341" s="984"/>
      <c r="O341" s="889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  <c r="AB341" s="207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  <c r="AM341" s="207"/>
      <c r="AN341" s="207"/>
      <c r="AO341" s="207"/>
      <c r="AP341" s="207"/>
      <c r="AQ341" s="207"/>
      <c r="AR341" s="207"/>
      <c r="AS341" s="207"/>
      <c r="AT341" s="207"/>
      <c r="AU341" s="207"/>
      <c r="AV341" s="207"/>
      <c r="AW341" s="207"/>
      <c r="AX341" s="207"/>
      <c r="AY341" s="207"/>
      <c r="AZ341" s="207"/>
      <c r="BA341" s="207"/>
      <c r="BB341" s="207"/>
      <c r="BC341" s="207"/>
      <c r="BD341" s="207"/>
      <c r="BE341" s="208"/>
    </row>
    <row r="342" spans="1:57" s="51" customFormat="1">
      <c r="A342" s="794" t="s">
        <v>581</v>
      </c>
      <c r="B342" s="867" t="s">
        <v>582</v>
      </c>
      <c r="C342" s="867" t="s">
        <v>354</v>
      </c>
      <c r="D342" s="84" t="s">
        <v>16</v>
      </c>
      <c r="E342" s="141">
        <f t="shared" ref="E342:J342" si="124">E344+E345+E343</f>
        <v>250</v>
      </c>
      <c r="F342" s="141">
        <f t="shared" si="124"/>
        <v>250</v>
      </c>
      <c r="G342" s="141">
        <f t="shared" si="124"/>
        <v>0</v>
      </c>
      <c r="H342" s="141">
        <f t="shared" si="124"/>
        <v>0</v>
      </c>
      <c r="I342" s="141">
        <f t="shared" si="124"/>
        <v>0</v>
      </c>
      <c r="J342" s="141">
        <f t="shared" si="124"/>
        <v>0</v>
      </c>
      <c r="K342" s="86">
        <f t="shared" si="120"/>
        <v>250</v>
      </c>
      <c r="L342" s="313"/>
      <c r="M342" s="88"/>
      <c r="N342" s="89"/>
      <c r="O342" s="88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68"/>
    </row>
    <row r="343" spans="1:57" s="51" customFormat="1">
      <c r="A343" s="795"/>
      <c r="B343" s="872"/>
      <c r="C343" s="872"/>
      <c r="D343" s="284">
        <v>2028</v>
      </c>
      <c r="E343" s="314">
        <f>F343+G343+H343+I343+J343</f>
        <v>24</v>
      </c>
      <c r="F343" s="314">
        <v>24</v>
      </c>
      <c r="G343" s="314">
        <v>0</v>
      </c>
      <c r="H343" s="314">
        <v>0</v>
      </c>
      <c r="I343" s="314">
        <v>0</v>
      </c>
      <c r="J343" s="314">
        <v>0</v>
      </c>
      <c r="K343" s="86">
        <f t="shared" si="120"/>
        <v>24</v>
      </c>
      <c r="L343" s="313"/>
      <c r="M343" s="88"/>
      <c r="N343" s="89"/>
      <c r="O343" s="88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49"/>
      <c r="BC343" s="49"/>
      <c r="BD343" s="49"/>
      <c r="BE343" s="68"/>
    </row>
    <row r="344" spans="1:57" s="51" customFormat="1">
      <c r="A344" s="795"/>
      <c r="B344" s="872"/>
      <c r="C344" s="868"/>
      <c r="D344" s="284">
        <v>2029</v>
      </c>
      <c r="E344" s="314">
        <f>F344+G344+H344+I344+J344</f>
        <v>110</v>
      </c>
      <c r="F344" s="314">
        <v>110</v>
      </c>
      <c r="G344" s="314">
        <v>0</v>
      </c>
      <c r="H344" s="314">
        <v>0</v>
      </c>
      <c r="I344" s="314">
        <v>0</v>
      </c>
      <c r="J344" s="314">
        <v>0</v>
      </c>
      <c r="K344" s="86">
        <f t="shared" si="120"/>
        <v>110</v>
      </c>
      <c r="L344" s="313"/>
      <c r="M344" s="88"/>
      <c r="N344" s="89"/>
      <c r="O344" s="88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49"/>
      <c r="BC344" s="49"/>
      <c r="BD344" s="49"/>
      <c r="BE344" s="68"/>
    </row>
    <row r="345" spans="1:57" s="51" customFormat="1">
      <c r="A345" s="796"/>
      <c r="B345" s="872"/>
      <c r="C345" s="869"/>
      <c r="D345" s="284">
        <v>2030</v>
      </c>
      <c r="E345" s="314">
        <f>F345</f>
        <v>116</v>
      </c>
      <c r="F345" s="314">
        <v>116</v>
      </c>
      <c r="G345" s="63">
        <v>0</v>
      </c>
      <c r="H345" s="63">
        <v>0</v>
      </c>
      <c r="I345" s="63">
        <v>0</v>
      </c>
      <c r="J345" s="63">
        <v>0</v>
      </c>
      <c r="K345" s="86">
        <f t="shared" si="120"/>
        <v>116</v>
      </c>
      <c r="L345" s="313" t="s">
        <v>583</v>
      </c>
      <c r="M345" s="88"/>
      <c r="N345" s="89"/>
      <c r="O345" s="890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49"/>
      <c r="BC345" s="49"/>
      <c r="BD345" s="49"/>
      <c r="BE345" s="68"/>
    </row>
    <row r="346" spans="1:57" s="51" customFormat="1" ht="20.25" customHeight="1">
      <c r="A346" s="83" t="s">
        <v>584</v>
      </c>
      <c r="B346" s="61" t="s">
        <v>585</v>
      </c>
      <c r="C346" s="838" t="s">
        <v>537</v>
      </c>
      <c r="D346" s="84">
        <v>2026</v>
      </c>
      <c r="E346" s="63">
        <f>F346+G346+H346+I346+J346</f>
        <v>120</v>
      </c>
      <c r="F346" s="63">
        <v>0</v>
      </c>
      <c r="G346" s="63">
        <v>0</v>
      </c>
      <c r="H346" s="63">
        <v>114</v>
      </c>
      <c r="I346" s="63">
        <v>0</v>
      </c>
      <c r="J346" s="63">
        <v>6</v>
      </c>
      <c r="K346" s="86">
        <f t="shared" si="120"/>
        <v>120</v>
      </c>
      <c r="L346" s="216" t="s">
        <v>538</v>
      </c>
      <c r="M346" s="88"/>
      <c r="N346" s="301"/>
      <c r="O346" s="315" t="s">
        <v>586</v>
      </c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49"/>
      <c r="BC346" s="49"/>
      <c r="BD346" s="49"/>
      <c r="BE346" s="68"/>
    </row>
    <row r="347" spans="1:57" s="51" customFormat="1" ht="21.75" customHeight="1">
      <c r="A347" s="794" t="s">
        <v>587</v>
      </c>
      <c r="B347" s="867" t="s">
        <v>588</v>
      </c>
      <c r="C347" s="839"/>
      <c r="D347" s="84" t="s">
        <v>16</v>
      </c>
      <c r="E347" s="85">
        <f t="shared" ref="E347:J347" si="125">E348</f>
        <v>120</v>
      </c>
      <c r="F347" s="85">
        <f t="shared" si="125"/>
        <v>0</v>
      </c>
      <c r="G347" s="85">
        <f t="shared" si="125"/>
        <v>0</v>
      </c>
      <c r="H347" s="85">
        <f t="shared" si="125"/>
        <v>114</v>
      </c>
      <c r="I347" s="85">
        <f t="shared" si="125"/>
        <v>0</v>
      </c>
      <c r="J347" s="85">
        <f t="shared" si="125"/>
        <v>6</v>
      </c>
      <c r="K347" s="86">
        <f t="shared" si="120"/>
        <v>120</v>
      </c>
      <c r="L347" s="216"/>
      <c r="M347" s="88"/>
      <c r="N347" s="301"/>
      <c r="O347" s="985" t="s">
        <v>589</v>
      </c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68"/>
    </row>
    <row r="348" spans="1:57" s="51" customFormat="1" ht="18.75" customHeight="1">
      <c r="A348" s="952"/>
      <c r="B348" s="873"/>
      <c r="C348" s="890"/>
      <c r="D348" s="84">
        <v>2025</v>
      </c>
      <c r="E348" s="63">
        <f>F348+G348+H348+I348+J348</f>
        <v>120</v>
      </c>
      <c r="F348" s="63">
        <v>0</v>
      </c>
      <c r="G348" s="63">
        <v>0</v>
      </c>
      <c r="H348" s="63">
        <v>114</v>
      </c>
      <c r="I348" s="63">
        <v>0</v>
      </c>
      <c r="J348" s="63">
        <v>6</v>
      </c>
      <c r="K348" s="86">
        <f t="shared" si="120"/>
        <v>120</v>
      </c>
      <c r="L348" s="136" t="s">
        <v>538</v>
      </c>
      <c r="M348" s="88"/>
      <c r="N348" s="301"/>
      <c r="O348" s="870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49"/>
      <c r="BC348" s="49"/>
      <c r="BD348" s="49"/>
      <c r="BE348" s="68"/>
    </row>
    <row r="349" spans="1:57" s="51" customFormat="1">
      <c r="A349" s="921" t="s">
        <v>590</v>
      </c>
      <c r="B349" s="870" t="s">
        <v>591</v>
      </c>
      <c r="C349" s="870" t="s">
        <v>592</v>
      </c>
      <c r="D349" s="84" t="s">
        <v>16</v>
      </c>
      <c r="E349" s="85">
        <f t="shared" ref="E349:J349" si="126">E350+E351</f>
        <v>5.0999999999999996</v>
      </c>
      <c r="F349" s="85">
        <f t="shared" si="126"/>
        <v>0</v>
      </c>
      <c r="G349" s="85">
        <f t="shared" si="126"/>
        <v>4</v>
      </c>
      <c r="H349" s="85">
        <f t="shared" si="126"/>
        <v>0.75</v>
      </c>
      <c r="I349" s="85">
        <f t="shared" si="126"/>
        <v>0</v>
      </c>
      <c r="J349" s="85">
        <f t="shared" si="126"/>
        <v>0.35</v>
      </c>
      <c r="K349" s="86">
        <f t="shared" si="120"/>
        <v>5.0999999999999996</v>
      </c>
      <c r="L349" s="217"/>
      <c r="M349" s="88"/>
      <c r="N349" s="301"/>
      <c r="O349" s="6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49"/>
      <c r="BC349" s="49"/>
      <c r="BD349" s="49"/>
      <c r="BE349" s="68"/>
    </row>
    <row r="350" spans="1:57" s="51" customFormat="1">
      <c r="A350" s="921"/>
      <c r="B350" s="870"/>
      <c r="C350" s="870"/>
      <c r="D350" s="84">
        <v>2019</v>
      </c>
      <c r="E350" s="63">
        <f>F350+G350+H350+I350+J350</f>
        <v>0.1</v>
      </c>
      <c r="F350" s="63">
        <v>0</v>
      </c>
      <c r="G350" s="63">
        <v>0</v>
      </c>
      <c r="H350" s="63">
        <v>0</v>
      </c>
      <c r="I350" s="63">
        <v>0</v>
      </c>
      <c r="J350" s="63">
        <v>0.1</v>
      </c>
      <c r="K350" s="86">
        <f t="shared" si="120"/>
        <v>0.1</v>
      </c>
      <c r="L350" s="136"/>
      <c r="M350" s="88"/>
      <c r="N350" s="301"/>
      <c r="O350" s="867" t="s">
        <v>574</v>
      </c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49"/>
      <c r="BC350" s="49"/>
      <c r="BD350" s="49"/>
      <c r="BE350" s="68"/>
    </row>
    <row r="351" spans="1:57" s="51" customFormat="1" ht="42.75" customHeight="1">
      <c r="A351" s="921"/>
      <c r="B351" s="870"/>
      <c r="C351" s="870"/>
      <c r="D351" s="84">
        <v>2020</v>
      </c>
      <c r="E351" s="63">
        <f>F351+G351+H351+I351+J351</f>
        <v>5</v>
      </c>
      <c r="F351" s="63">
        <v>0</v>
      </c>
      <c r="G351" s="63">
        <v>4</v>
      </c>
      <c r="H351" s="63">
        <v>0.75</v>
      </c>
      <c r="I351" s="63">
        <v>0</v>
      </c>
      <c r="J351" s="63">
        <v>0.25</v>
      </c>
      <c r="K351" s="86">
        <f t="shared" si="120"/>
        <v>5</v>
      </c>
      <c r="L351" s="223"/>
      <c r="M351" s="88"/>
      <c r="N351" s="301"/>
      <c r="O351" s="86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49"/>
      <c r="BC351" s="49"/>
      <c r="BD351" s="49"/>
      <c r="BE351" s="68"/>
    </row>
    <row r="352" spans="1:57" s="51" customFormat="1" ht="20.25" customHeight="1">
      <c r="A352" s="921" t="s">
        <v>593</v>
      </c>
      <c r="B352" s="870" t="s">
        <v>594</v>
      </c>
      <c r="C352" s="870" t="s">
        <v>537</v>
      </c>
      <c r="D352" s="84" t="s">
        <v>16</v>
      </c>
      <c r="E352" s="85">
        <f t="shared" ref="E352:J352" si="127">E353</f>
        <v>1.996</v>
      </c>
      <c r="F352" s="85">
        <f t="shared" si="127"/>
        <v>0</v>
      </c>
      <c r="G352" s="85">
        <f t="shared" si="127"/>
        <v>0</v>
      </c>
      <c r="H352" s="85">
        <f t="shared" si="127"/>
        <v>1.198</v>
      </c>
      <c r="I352" s="85">
        <f t="shared" si="127"/>
        <v>0.59899999999999998</v>
      </c>
      <c r="J352" s="85">
        <f t="shared" si="127"/>
        <v>0.19900000000000001</v>
      </c>
      <c r="K352" s="86">
        <f t="shared" si="120"/>
        <v>1.996</v>
      </c>
      <c r="L352" s="223"/>
      <c r="M352" s="88"/>
      <c r="N352" s="301"/>
      <c r="O352" s="94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68"/>
    </row>
    <row r="353" spans="1:57" s="51" customFormat="1" ht="36" customHeight="1">
      <c r="A353" s="921"/>
      <c r="B353" s="870"/>
      <c r="C353" s="870"/>
      <c r="D353" s="84">
        <v>2020</v>
      </c>
      <c r="E353" s="63">
        <f>F353+G353+H353+I353+J353</f>
        <v>1.996</v>
      </c>
      <c r="F353" s="63">
        <v>0</v>
      </c>
      <c r="G353" s="63">
        <v>0</v>
      </c>
      <c r="H353" s="63">
        <v>1.198</v>
      </c>
      <c r="I353" s="63">
        <v>0.59899999999999998</v>
      </c>
      <c r="J353" s="63">
        <v>0.19900000000000001</v>
      </c>
      <c r="K353" s="86">
        <f t="shared" si="120"/>
        <v>1.996</v>
      </c>
      <c r="L353" s="316" t="s">
        <v>595</v>
      </c>
      <c r="M353" s="88"/>
      <c r="N353" s="301"/>
      <c r="O353" s="61" t="s">
        <v>596</v>
      </c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68"/>
    </row>
    <row r="354" spans="1:57" s="51" customFormat="1">
      <c r="A354" s="794" t="s">
        <v>597</v>
      </c>
      <c r="B354" s="867" t="s">
        <v>598</v>
      </c>
      <c r="C354" s="881" t="s">
        <v>599</v>
      </c>
      <c r="D354" s="84" t="s">
        <v>16</v>
      </c>
      <c r="E354" s="85">
        <f>F354+G354+H354+I354+J354</f>
        <v>20</v>
      </c>
      <c r="F354" s="85">
        <f>F355</f>
        <v>0</v>
      </c>
      <c r="G354" s="85">
        <f>G355</f>
        <v>0</v>
      </c>
      <c r="H354" s="85">
        <f>H355</f>
        <v>0</v>
      </c>
      <c r="I354" s="85">
        <f>I355</f>
        <v>20</v>
      </c>
      <c r="J354" s="85">
        <f>J355</f>
        <v>0</v>
      </c>
      <c r="K354" s="86">
        <f t="shared" si="120"/>
        <v>20</v>
      </c>
      <c r="L354" s="965" t="s">
        <v>600</v>
      </c>
      <c r="M354" s="88"/>
      <c r="N354" s="301"/>
      <c r="O354" s="914" t="s">
        <v>601</v>
      </c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68"/>
    </row>
    <row r="355" spans="1:57" s="51" customFormat="1">
      <c r="A355" s="796"/>
      <c r="B355" s="873"/>
      <c r="C355" s="964"/>
      <c r="D355" s="84">
        <v>2020</v>
      </c>
      <c r="E355" s="63">
        <f>F355+G355+H355+I355+J355</f>
        <v>20</v>
      </c>
      <c r="F355" s="63">
        <v>0</v>
      </c>
      <c r="G355" s="63">
        <v>0</v>
      </c>
      <c r="H355" s="63">
        <v>0</v>
      </c>
      <c r="I355" s="63">
        <v>20</v>
      </c>
      <c r="J355" s="63">
        <v>0</v>
      </c>
      <c r="K355" s="86">
        <f t="shared" si="120"/>
        <v>20</v>
      </c>
      <c r="L355" s="966"/>
      <c r="M355" s="88"/>
      <c r="N355" s="301"/>
      <c r="O355" s="952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68"/>
    </row>
    <row r="356" spans="1:57" s="51" customFormat="1">
      <c r="A356" s="794" t="s">
        <v>602</v>
      </c>
      <c r="B356" s="867" t="s">
        <v>603</v>
      </c>
      <c r="C356" s="867" t="s">
        <v>542</v>
      </c>
      <c r="D356" s="84" t="s">
        <v>16</v>
      </c>
      <c r="E356" s="63">
        <f t="shared" ref="E356:J356" si="128">E357</f>
        <v>3.5059999999999998</v>
      </c>
      <c r="F356" s="63">
        <f t="shared" si="128"/>
        <v>0</v>
      </c>
      <c r="G356" s="63">
        <f t="shared" si="128"/>
        <v>0</v>
      </c>
      <c r="H356" s="63">
        <f t="shared" si="128"/>
        <v>3.4359999999999999</v>
      </c>
      <c r="I356" s="63">
        <f t="shared" si="128"/>
        <v>0</v>
      </c>
      <c r="J356" s="63">
        <f t="shared" si="128"/>
        <v>7.0000000000000007E-2</v>
      </c>
      <c r="K356" s="86">
        <f t="shared" si="120"/>
        <v>3.5059999999999998</v>
      </c>
      <c r="L356" s="293"/>
      <c r="M356" s="88"/>
      <c r="N356" s="301"/>
      <c r="O356" s="914" t="s">
        <v>604</v>
      </c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68"/>
    </row>
    <row r="357" spans="1:57" s="51" customFormat="1" ht="30" customHeight="1">
      <c r="A357" s="796"/>
      <c r="B357" s="873"/>
      <c r="C357" s="868"/>
      <c r="D357" s="84">
        <v>2020</v>
      </c>
      <c r="E357" s="63">
        <f>F357+G357+H357+I357+J357</f>
        <v>3.5059999999999998</v>
      </c>
      <c r="F357" s="63">
        <v>0</v>
      </c>
      <c r="G357" s="63">
        <v>0</v>
      </c>
      <c r="H357" s="63">
        <v>3.4359999999999999</v>
      </c>
      <c r="I357" s="63">
        <v>0</v>
      </c>
      <c r="J357" s="63">
        <v>7.0000000000000007E-2</v>
      </c>
      <c r="K357" s="86">
        <f t="shared" si="120"/>
        <v>3.5059999999999998</v>
      </c>
      <c r="L357" s="293" t="s">
        <v>605</v>
      </c>
      <c r="M357" s="88"/>
      <c r="N357" s="301"/>
      <c r="O357" s="952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49"/>
      <c r="BC357" s="49"/>
      <c r="BD357" s="49"/>
      <c r="BE357" s="68"/>
    </row>
    <row r="358" spans="1:57" s="51" customFormat="1" ht="18.75" customHeight="1">
      <c r="A358" s="955">
        <v>5</v>
      </c>
      <c r="B358" s="929" t="s">
        <v>606</v>
      </c>
      <c r="C358" s="987"/>
      <c r="D358" s="84" t="s">
        <v>16</v>
      </c>
      <c r="E358" s="85">
        <f t="shared" ref="E358:J358" si="129">E359+E360+E361+E362+E363+E364+E365+E366+E367</f>
        <v>159.89249999999998</v>
      </c>
      <c r="F358" s="85">
        <f t="shared" si="129"/>
        <v>0</v>
      </c>
      <c r="G358" s="85">
        <f t="shared" si="129"/>
        <v>0</v>
      </c>
      <c r="H358" s="85">
        <f t="shared" si="129"/>
        <v>153.40379999999999</v>
      </c>
      <c r="I358" s="85">
        <f t="shared" si="129"/>
        <v>2.5</v>
      </c>
      <c r="J358" s="85">
        <f t="shared" si="129"/>
        <v>3.9887000000000001</v>
      </c>
      <c r="K358" s="86">
        <f t="shared" si="120"/>
        <v>159.89249999999998</v>
      </c>
      <c r="L358" s="223"/>
      <c r="M358" s="88"/>
      <c r="N358" s="301"/>
      <c r="O358" s="318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49"/>
      <c r="BC358" s="49"/>
      <c r="BD358" s="49"/>
      <c r="BE358" s="68"/>
    </row>
    <row r="359" spans="1:57" s="51" customFormat="1" ht="18.75" customHeight="1">
      <c r="A359" s="956"/>
      <c r="B359" s="953"/>
      <c r="C359" s="868"/>
      <c r="D359" s="84">
        <v>2019</v>
      </c>
      <c r="E359" s="85">
        <f t="shared" ref="E359:J359" si="130">E393</f>
        <v>14.9</v>
      </c>
      <c r="F359" s="85">
        <f t="shared" si="130"/>
        <v>0</v>
      </c>
      <c r="G359" s="85">
        <f t="shared" si="130"/>
        <v>0</v>
      </c>
      <c r="H359" s="85">
        <f t="shared" si="130"/>
        <v>12.4</v>
      </c>
      <c r="I359" s="85">
        <f t="shared" si="130"/>
        <v>2.5</v>
      </c>
      <c r="J359" s="85">
        <f t="shared" si="130"/>
        <v>0</v>
      </c>
      <c r="K359" s="86">
        <f t="shared" si="120"/>
        <v>14.9</v>
      </c>
      <c r="L359" s="142"/>
      <c r="M359" s="88"/>
      <c r="N359" s="301"/>
      <c r="O359" s="28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49"/>
      <c r="BC359" s="49"/>
      <c r="BD359" s="49"/>
      <c r="BE359" s="68"/>
    </row>
    <row r="360" spans="1:57" s="51" customFormat="1" ht="18.75" customHeight="1">
      <c r="A360" s="956"/>
      <c r="B360" s="953"/>
      <c r="C360" s="868"/>
      <c r="D360" s="84">
        <v>2020</v>
      </c>
      <c r="E360" s="85">
        <f t="shared" ref="E360:J360" si="131">E379+E397</f>
        <v>6.83</v>
      </c>
      <c r="F360" s="85">
        <f t="shared" si="131"/>
        <v>0</v>
      </c>
      <c r="G360" s="85">
        <f t="shared" si="131"/>
        <v>0</v>
      </c>
      <c r="H360" s="85">
        <f t="shared" si="131"/>
        <v>6.6099999999999994</v>
      </c>
      <c r="I360" s="85">
        <f t="shared" si="131"/>
        <v>0</v>
      </c>
      <c r="J360" s="85">
        <f t="shared" si="131"/>
        <v>0.22</v>
      </c>
      <c r="K360" s="86">
        <f t="shared" si="120"/>
        <v>6.8299999999999992</v>
      </c>
      <c r="L360" s="142"/>
      <c r="M360" s="88"/>
      <c r="N360" s="301"/>
      <c r="O360" s="28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49"/>
      <c r="BC360" s="49"/>
      <c r="BD360" s="49"/>
      <c r="BE360" s="68"/>
    </row>
    <row r="361" spans="1:57" s="51" customFormat="1" ht="18.75" customHeight="1">
      <c r="A361" s="959"/>
      <c r="B361" s="868"/>
      <c r="C361" s="868"/>
      <c r="D361" s="84">
        <v>2021</v>
      </c>
      <c r="E361" s="85">
        <f t="shared" ref="E361:J361" si="132">E375+E380+E395</f>
        <v>65.362499999999997</v>
      </c>
      <c r="F361" s="85">
        <f t="shared" si="132"/>
        <v>0</v>
      </c>
      <c r="G361" s="85">
        <f t="shared" si="132"/>
        <v>0</v>
      </c>
      <c r="H361" s="85">
        <f t="shared" si="132"/>
        <v>65.022499999999994</v>
      </c>
      <c r="I361" s="85">
        <f t="shared" si="132"/>
        <v>0</v>
      </c>
      <c r="J361" s="85">
        <f t="shared" si="132"/>
        <v>0.34</v>
      </c>
      <c r="K361" s="86">
        <f t="shared" si="120"/>
        <v>65.362499999999997</v>
      </c>
      <c r="L361" s="185"/>
      <c r="M361" s="88"/>
      <c r="N361" s="301"/>
      <c r="O361" s="28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  <c r="BD361" s="49"/>
      <c r="BE361" s="68"/>
    </row>
    <row r="362" spans="1:57" s="51" customFormat="1" ht="18.75" customHeight="1">
      <c r="A362" s="959"/>
      <c r="B362" s="868"/>
      <c r="C362" s="868"/>
      <c r="D362" s="84">
        <v>2022</v>
      </c>
      <c r="E362" s="85">
        <f t="shared" ref="E362:J362" si="133">E373+E390</f>
        <v>3.8</v>
      </c>
      <c r="F362" s="85">
        <f t="shared" si="133"/>
        <v>0</v>
      </c>
      <c r="G362" s="85">
        <f t="shared" si="133"/>
        <v>0</v>
      </c>
      <c r="H362" s="85">
        <f t="shared" si="133"/>
        <v>3.61</v>
      </c>
      <c r="I362" s="85">
        <f t="shared" si="133"/>
        <v>0</v>
      </c>
      <c r="J362" s="85">
        <f t="shared" si="133"/>
        <v>0.19</v>
      </c>
      <c r="K362" s="86">
        <f t="shared" si="120"/>
        <v>3.8</v>
      </c>
      <c r="L362" s="185"/>
      <c r="M362" s="88"/>
      <c r="N362" s="301"/>
      <c r="O362" s="28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  <c r="BD362" s="49"/>
      <c r="BE362" s="68"/>
    </row>
    <row r="363" spans="1:57" s="51" customFormat="1" ht="18" customHeight="1">
      <c r="A363" s="959"/>
      <c r="B363" s="868"/>
      <c r="C363" s="868"/>
      <c r="D363" s="84">
        <v>2023</v>
      </c>
      <c r="E363" s="85">
        <f t="shared" ref="E363:J363" si="134">E382+E386+E391</f>
        <v>7.6</v>
      </c>
      <c r="F363" s="85">
        <f t="shared" si="134"/>
        <v>0</v>
      </c>
      <c r="G363" s="85">
        <f t="shared" si="134"/>
        <v>0</v>
      </c>
      <c r="H363" s="85">
        <f t="shared" si="134"/>
        <v>7.22</v>
      </c>
      <c r="I363" s="85">
        <f t="shared" si="134"/>
        <v>0</v>
      </c>
      <c r="J363" s="85">
        <f t="shared" si="134"/>
        <v>0.38</v>
      </c>
      <c r="K363" s="86">
        <f t="shared" si="120"/>
        <v>7.6</v>
      </c>
      <c r="L363" s="185"/>
      <c r="M363" s="88"/>
      <c r="N363" s="301"/>
      <c r="O363" s="28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49"/>
      <c r="BC363" s="49"/>
      <c r="BD363" s="49"/>
      <c r="BE363" s="68"/>
    </row>
    <row r="364" spans="1:57" s="51" customFormat="1" ht="16.5" customHeight="1">
      <c r="A364" s="959"/>
      <c r="B364" s="868"/>
      <c r="C364" s="868"/>
      <c r="D364" s="84">
        <v>2024</v>
      </c>
      <c r="E364" s="85">
        <f t="shared" ref="E364:J364" si="135">E384</f>
        <v>3.8</v>
      </c>
      <c r="F364" s="85">
        <f t="shared" si="135"/>
        <v>0</v>
      </c>
      <c r="G364" s="85">
        <f t="shared" si="135"/>
        <v>0</v>
      </c>
      <c r="H364" s="85">
        <f t="shared" si="135"/>
        <v>3.61</v>
      </c>
      <c r="I364" s="85">
        <f t="shared" si="135"/>
        <v>0</v>
      </c>
      <c r="J364" s="85">
        <f t="shared" si="135"/>
        <v>0.19</v>
      </c>
      <c r="K364" s="86">
        <f t="shared" si="120"/>
        <v>3.8</v>
      </c>
      <c r="L364" s="185"/>
      <c r="M364" s="88"/>
      <c r="N364" s="301"/>
      <c r="O364" s="28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49"/>
      <c r="BC364" s="49"/>
      <c r="BD364" s="49"/>
      <c r="BE364" s="68"/>
    </row>
    <row r="365" spans="1:57" s="51" customFormat="1" ht="21" customHeight="1">
      <c r="A365" s="959"/>
      <c r="B365" s="868"/>
      <c r="C365" s="868"/>
      <c r="D365" s="84">
        <v>2025</v>
      </c>
      <c r="E365" s="85">
        <f t="shared" ref="E365:J365" si="136">E377</f>
        <v>4.7</v>
      </c>
      <c r="F365" s="85">
        <f t="shared" si="136"/>
        <v>0</v>
      </c>
      <c r="G365" s="85">
        <f t="shared" si="136"/>
        <v>0</v>
      </c>
      <c r="H365" s="85">
        <f t="shared" si="136"/>
        <v>4.5</v>
      </c>
      <c r="I365" s="85">
        <f t="shared" si="136"/>
        <v>0</v>
      </c>
      <c r="J365" s="85">
        <f t="shared" si="136"/>
        <v>0.2</v>
      </c>
      <c r="K365" s="86">
        <f t="shared" si="120"/>
        <v>4.7</v>
      </c>
      <c r="L365" s="185"/>
      <c r="M365" s="88"/>
      <c r="N365" s="301"/>
      <c r="O365" s="28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68"/>
    </row>
    <row r="366" spans="1:57" s="51" customFormat="1" ht="21" customHeight="1">
      <c r="A366" s="959"/>
      <c r="B366" s="868"/>
      <c r="C366" s="868"/>
      <c r="D366" s="84">
        <v>2027</v>
      </c>
      <c r="E366" s="85">
        <f t="shared" ref="E366:J366" si="137">E369+E388</f>
        <v>14.2</v>
      </c>
      <c r="F366" s="85">
        <f t="shared" si="137"/>
        <v>0</v>
      </c>
      <c r="G366" s="85">
        <f t="shared" si="137"/>
        <v>0</v>
      </c>
      <c r="H366" s="85">
        <f t="shared" si="137"/>
        <v>13.6663</v>
      </c>
      <c r="I366" s="85">
        <f t="shared" si="137"/>
        <v>0</v>
      </c>
      <c r="J366" s="85">
        <f t="shared" si="137"/>
        <v>0.53370000000000006</v>
      </c>
      <c r="K366" s="86">
        <f t="shared" si="120"/>
        <v>14.2</v>
      </c>
      <c r="L366" s="185"/>
      <c r="M366" s="88"/>
      <c r="N366" s="301"/>
      <c r="O366" s="28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49"/>
      <c r="BC366" s="49"/>
      <c r="BD366" s="49"/>
      <c r="BE366" s="68"/>
    </row>
    <row r="367" spans="1:57" s="51" customFormat="1" ht="17.25" customHeight="1">
      <c r="A367" s="986"/>
      <c r="B367" s="869"/>
      <c r="C367" s="869"/>
      <c r="D367" s="84">
        <v>2029</v>
      </c>
      <c r="E367" s="85">
        <f t="shared" ref="E367:J367" si="138">E371</f>
        <v>38.700000000000003</v>
      </c>
      <c r="F367" s="85">
        <f t="shared" si="138"/>
        <v>0</v>
      </c>
      <c r="G367" s="85">
        <f t="shared" si="138"/>
        <v>0</v>
      </c>
      <c r="H367" s="85">
        <f t="shared" si="138"/>
        <v>36.765000000000001</v>
      </c>
      <c r="I367" s="85">
        <f t="shared" si="138"/>
        <v>0</v>
      </c>
      <c r="J367" s="85">
        <f t="shared" si="138"/>
        <v>1.9350000000000001</v>
      </c>
      <c r="K367" s="86">
        <f t="shared" si="120"/>
        <v>38.700000000000003</v>
      </c>
      <c r="L367" s="185"/>
      <c r="M367" s="88"/>
      <c r="N367" s="301"/>
      <c r="O367" s="28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49"/>
      <c r="BD367" s="49"/>
      <c r="BE367" s="68"/>
    </row>
    <row r="368" spans="1:57" s="51" customFormat="1">
      <c r="A368" s="794" t="s">
        <v>607</v>
      </c>
      <c r="B368" s="867" t="s">
        <v>608</v>
      </c>
      <c r="C368" s="872" t="s">
        <v>609</v>
      </c>
      <c r="D368" s="84" t="s">
        <v>16</v>
      </c>
      <c r="E368" s="85">
        <f t="shared" ref="E368:J368" si="139">E369</f>
        <v>9.1999999999999993</v>
      </c>
      <c r="F368" s="85">
        <f t="shared" si="139"/>
        <v>0</v>
      </c>
      <c r="G368" s="85">
        <f t="shared" si="139"/>
        <v>0</v>
      </c>
      <c r="H368" s="85">
        <f t="shared" si="139"/>
        <v>8.74</v>
      </c>
      <c r="I368" s="85">
        <f t="shared" si="139"/>
        <v>0</v>
      </c>
      <c r="J368" s="85">
        <f t="shared" si="139"/>
        <v>0.46</v>
      </c>
      <c r="K368" s="86">
        <f t="shared" si="120"/>
        <v>9.2000000000000011</v>
      </c>
      <c r="L368" s="892" t="s">
        <v>610</v>
      </c>
      <c r="M368" s="88"/>
      <c r="N368" s="875">
        <v>0</v>
      </c>
      <c r="O368" s="858" t="s">
        <v>611</v>
      </c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49"/>
      <c r="BC368" s="49"/>
      <c r="BD368" s="49"/>
      <c r="BE368" s="68"/>
    </row>
    <row r="369" spans="1:57" s="51" customFormat="1" ht="16.5" customHeight="1">
      <c r="A369" s="796"/>
      <c r="B369" s="869"/>
      <c r="C369" s="872"/>
      <c r="D369" s="62">
        <v>2027</v>
      </c>
      <c r="E369" s="63">
        <v>9.1999999999999993</v>
      </c>
      <c r="F369" s="63">
        <v>0</v>
      </c>
      <c r="G369" s="63">
        <v>0</v>
      </c>
      <c r="H369" s="63">
        <v>8.74</v>
      </c>
      <c r="I369" s="63">
        <v>0</v>
      </c>
      <c r="J369" s="63">
        <v>0.46</v>
      </c>
      <c r="K369" s="86">
        <f t="shared" si="120"/>
        <v>9.2000000000000011</v>
      </c>
      <c r="L369" s="835"/>
      <c r="M369" s="88"/>
      <c r="N369" s="893"/>
      <c r="O369" s="871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49"/>
      <c r="BC369" s="49"/>
      <c r="BD369" s="49"/>
      <c r="BE369" s="68"/>
    </row>
    <row r="370" spans="1:57" s="51" customFormat="1" ht="10.5" customHeight="1">
      <c r="A370" s="794" t="s">
        <v>612</v>
      </c>
      <c r="B370" s="867" t="s">
        <v>613</v>
      </c>
      <c r="C370" s="872"/>
      <c r="D370" s="84" t="s">
        <v>16</v>
      </c>
      <c r="E370" s="85">
        <f t="shared" ref="E370:J370" si="140">E371</f>
        <v>38.700000000000003</v>
      </c>
      <c r="F370" s="85">
        <f t="shared" si="140"/>
        <v>0</v>
      </c>
      <c r="G370" s="85">
        <f t="shared" si="140"/>
        <v>0</v>
      </c>
      <c r="H370" s="85">
        <f t="shared" si="140"/>
        <v>36.765000000000001</v>
      </c>
      <c r="I370" s="85">
        <f t="shared" si="140"/>
        <v>0</v>
      </c>
      <c r="J370" s="85">
        <f t="shared" si="140"/>
        <v>1.9350000000000001</v>
      </c>
      <c r="K370" s="86">
        <f t="shared" si="120"/>
        <v>38.700000000000003</v>
      </c>
      <c r="L370" s="943" t="s">
        <v>610</v>
      </c>
      <c r="M370" s="88"/>
      <c r="N370" s="875">
        <v>3</v>
      </c>
      <c r="O370" s="871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49"/>
      <c r="BD370" s="49"/>
      <c r="BE370" s="68"/>
    </row>
    <row r="371" spans="1:57" s="51" customFormat="1" ht="18.75" customHeight="1">
      <c r="A371" s="796"/>
      <c r="B371" s="869"/>
      <c r="C371" s="873"/>
      <c r="D371" s="62">
        <v>2029</v>
      </c>
      <c r="E371" s="63">
        <f>F371+G371+H371+I371+J371</f>
        <v>38.700000000000003</v>
      </c>
      <c r="F371" s="63">
        <v>0</v>
      </c>
      <c r="G371" s="63">
        <v>0</v>
      </c>
      <c r="H371" s="63">
        <v>36.765000000000001</v>
      </c>
      <c r="I371" s="63">
        <v>0</v>
      </c>
      <c r="J371" s="63">
        <v>1.9350000000000001</v>
      </c>
      <c r="K371" s="86">
        <f t="shared" si="120"/>
        <v>38.700000000000003</v>
      </c>
      <c r="L371" s="945"/>
      <c r="M371" s="88"/>
      <c r="N371" s="893"/>
      <c r="O371" s="988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  <c r="BD371" s="49"/>
      <c r="BE371" s="68"/>
    </row>
    <row r="372" spans="1:57" s="51" customFormat="1">
      <c r="A372" s="794" t="s">
        <v>614</v>
      </c>
      <c r="B372" s="867" t="s">
        <v>615</v>
      </c>
      <c r="C372" s="867" t="s">
        <v>616</v>
      </c>
      <c r="D372" s="84" t="s">
        <v>16</v>
      </c>
      <c r="E372" s="85">
        <f t="shared" ref="E372:J372" si="141">E373</f>
        <v>3.8</v>
      </c>
      <c r="F372" s="85">
        <f t="shared" si="141"/>
        <v>0</v>
      </c>
      <c r="G372" s="85">
        <f t="shared" si="141"/>
        <v>0</v>
      </c>
      <c r="H372" s="85">
        <f t="shared" si="141"/>
        <v>3.61</v>
      </c>
      <c r="I372" s="85">
        <f t="shared" si="141"/>
        <v>0</v>
      </c>
      <c r="J372" s="85">
        <f t="shared" si="141"/>
        <v>0.19</v>
      </c>
      <c r="K372" s="86">
        <f t="shared" si="120"/>
        <v>3.8</v>
      </c>
      <c r="L372" s="320"/>
      <c r="M372" s="88"/>
      <c r="N372" s="875">
        <v>1</v>
      </c>
      <c r="O372" s="858" t="s">
        <v>617</v>
      </c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49"/>
      <c r="BC372" s="49"/>
      <c r="BD372" s="49"/>
      <c r="BE372" s="68"/>
    </row>
    <row r="373" spans="1:57" s="51" customFormat="1" ht="51.75" customHeight="1">
      <c r="A373" s="796"/>
      <c r="B373" s="869"/>
      <c r="C373" s="869"/>
      <c r="D373" s="62">
        <v>2022</v>
      </c>
      <c r="E373" s="63">
        <f>F373+G373+H373+I373+J373</f>
        <v>3.8</v>
      </c>
      <c r="F373" s="63">
        <v>0</v>
      </c>
      <c r="G373" s="63">
        <v>0</v>
      </c>
      <c r="H373" s="63">
        <v>3.61</v>
      </c>
      <c r="I373" s="63">
        <v>0</v>
      </c>
      <c r="J373" s="63">
        <v>0.19</v>
      </c>
      <c r="K373" s="86">
        <f t="shared" si="120"/>
        <v>3.8</v>
      </c>
      <c r="L373" s="235" t="s">
        <v>618</v>
      </c>
      <c r="M373" s="88"/>
      <c r="N373" s="893"/>
      <c r="O373" s="988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49"/>
      <c r="BC373" s="49"/>
      <c r="BD373" s="49"/>
      <c r="BE373" s="68"/>
    </row>
    <row r="374" spans="1:57" s="51" customFormat="1">
      <c r="A374" s="794" t="s">
        <v>619</v>
      </c>
      <c r="B374" s="867" t="s">
        <v>620</v>
      </c>
      <c r="C374" s="867" t="s">
        <v>532</v>
      </c>
      <c r="D374" s="84" t="s">
        <v>16</v>
      </c>
      <c r="E374" s="85">
        <f t="shared" ref="E374:J374" si="142">E375</f>
        <v>3.8</v>
      </c>
      <c r="F374" s="85">
        <f t="shared" si="142"/>
        <v>0</v>
      </c>
      <c r="G374" s="85">
        <f t="shared" si="142"/>
        <v>0</v>
      </c>
      <c r="H374" s="85">
        <f t="shared" si="142"/>
        <v>3.61</v>
      </c>
      <c r="I374" s="85">
        <f t="shared" si="142"/>
        <v>0</v>
      </c>
      <c r="J374" s="85">
        <f t="shared" si="142"/>
        <v>0.19</v>
      </c>
      <c r="K374" s="86">
        <f t="shared" si="120"/>
        <v>3.8</v>
      </c>
      <c r="L374" s="943" t="s">
        <v>618</v>
      </c>
      <c r="M374" s="88"/>
      <c r="N374" s="875">
        <v>1</v>
      </c>
      <c r="O374" s="858" t="s">
        <v>539</v>
      </c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49"/>
      <c r="BC374" s="49"/>
      <c r="BD374" s="49"/>
      <c r="BE374" s="68"/>
    </row>
    <row r="375" spans="1:57" s="51" customFormat="1" ht="57.75" customHeight="1">
      <c r="A375" s="796"/>
      <c r="B375" s="869"/>
      <c r="C375" s="869"/>
      <c r="D375" s="62">
        <v>2021</v>
      </c>
      <c r="E375" s="63">
        <f>F375+G375+H375+I375+J375</f>
        <v>3.8</v>
      </c>
      <c r="F375" s="63">
        <v>0</v>
      </c>
      <c r="G375" s="63">
        <v>0</v>
      </c>
      <c r="H375" s="63">
        <v>3.61</v>
      </c>
      <c r="I375" s="63">
        <v>0</v>
      </c>
      <c r="J375" s="63">
        <v>0.19</v>
      </c>
      <c r="K375" s="86">
        <f t="shared" si="120"/>
        <v>3.8</v>
      </c>
      <c r="L375" s="846"/>
      <c r="M375" s="88"/>
      <c r="N375" s="989"/>
      <c r="O375" s="871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68"/>
    </row>
    <row r="376" spans="1:57" s="51" customFormat="1">
      <c r="A376" s="794" t="s">
        <v>621</v>
      </c>
      <c r="B376" s="867" t="s">
        <v>622</v>
      </c>
      <c r="C376" s="867" t="s">
        <v>532</v>
      </c>
      <c r="D376" s="84" t="s">
        <v>16</v>
      </c>
      <c r="E376" s="85">
        <f t="shared" ref="E376:J376" si="143">E377</f>
        <v>4.7</v>
      </c>
      <c r="F376" s="85">
        <f t="shared" si="143"/>
        <v>0</v>
      </c>
      <c r="G376" s="85">
        <f t="shared" si="143"/>
        <v>0</v>
      </c>
      <c r="H376" s="85">
        <f t="shared" si="143"/>
        <v>4.5</v>
      </c>
      <c r="I376" s="85">
        <f t="shared" si="143"/>
        <v>0</v>
      </c>
      <c r="J376" s="85">
        <f t="shared" si="143"/>
        <v>0.2</v>
      </c>
      <c r="K376" s="86">
        <f t="shared" si="120"/>
        <v>4.7</v>
      </c>
      <c r="L376" s="320"/>
      <c r="M376" s="88"/>
      <c r="N376" s="844">
        <v>2</v>
      </c>
      <c r="O376" s="858" t="s">
        <v>571</v>
      </c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68"/>
    </row>
    <row r="377" spans="1:57" s="51" customFormat="1" ht="60.75" customHeight="1">
      <c r="A377" s="796"/>
      <c r="B377" s="869"/>
      <c r="C377" s="869"/>
      <c r="D377" s="62">
        <v>2025</v>
      </c>
      <c r="E377" s="63">
        <f>F377+G377+H377+I377+J377</f>
        <v>4.7</v>
      </c>
      <c r="F377" s="63">
        <v>0</v>
      </c>
      <c r="G377" s="63">
        <v>0</v>
      </c>
      <c r="H377" s="63">
        <v>4.5</v>
      </c>
      <c r="I377" s="63">
        <v>0</v>
      </c>
      <c r="J377" s="63">
        <v>0.2</v>
      </c>
      <c r="K377" s="86">
        <f t="shared" si="120"/>
        <v>4.7</v>
      </c>
      <c r="L377" s="235" t="s">
        <v>442</v>
      </c>
      <c r="M377" s="88"/>
      <c r="N377" s="989"/>
      <c r="O377" s="957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68"/>
    </row>
    <row r="378" spans="1:57" s="51" customFormat="1" ht="25.5" customHeight="1">
      <c r="A378" s="794" t="s">
        <v>623</v>
      </c>
      <c r="B378" s="867" t="s">
        <v>624</v>
      </c>
      <c r="C378" s="867" t="s">
        <v>609</v>
      </c>
      <c r="D378" s="84" t="s">
        <v>16</v>
      </c>
      <c r="E378" s="85">
        <f t="shared" ref="E378:J378" si="144">E379+E380</f>
        <v>63.105000000000004</v>
      </c>
      <c r="F378" s="85">
        <f t="shared" si="144"/>
        <v>0</v>
      </c>
      <c r="G378" s="85">
        <f t="shared" si="144"/>
        <v>0</v>
      </c>
      <c r="H378" s="85">
        <f t="shared" si="144"/>
        <v>63</v>
      </c>
      <c r="I378" s="85">
        <f t="shared" si="144"/>
        <v>0</v>
      </c>
      <c r="J378" s="85">
        <f t="shared" si="144"/>
        <v>0.105</v>
      </c>
      <c r="K378" s="86">
        <f t="shared" si="120"/>
        <v>63.104999999999997</v>
      </c>
      <c r="L378" s="943"/>
      <c r="M378" s="88"/>
      <c r="N378" s="321"/>
      <c r="O378" s="957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49"/>
      <c r="BC378" s="49"/>
      <c r="BD378" s="49"/>
      <c r="BE378" s="68"/>
    </row>
    <row r="379" spans="1:57" s="51" customFormat="1">
      <c r="A379" s="795"/>
      <c r="B379" s="872"/>
      <c r="C379" s="872"/>
      <c r="D379" s="62">
        <v>2020</v>
      </c>
      <c r="E379" s="63">
        <f>F379+G379+H379+I379+J379</f>
        <v>3.03</v>
      </c>
      <c r="F379" s="63">
        <v>0</v>
      </c>
      <c r="G379" s="63">
        <v>0</v>
      </c>
      <c r="H379" s="63">
        <v>3</v>
      </c>
      <c r="I379" s="63">
        <v>0</v>
      </c>
      <c r="J379" s="63">
        <v>0.03</v>
      </c>
      <c r="K379" s="86">
        <f t="shared" si="120"/>
        <v>3.03</v>
      </c>
      <c r="L379" s="990"/>
      <c r="M379" s="88"/>
      <c r="N379" s="323"/>
      <c r="O379" s="957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49"/>
      <c r="BC379" s="49"/>
      <c r="BD379" s="49"/>
      <c r="BE379" s="68"/>
    </row>
    <row r="380" spans="1:57" s="51" customFormat="1">
      <c r="A380" s="796"/>
      <c r="B380" s="873"/>
      <c r="C380" s="873"/>
      <c r="D380" s="62">
        <v>2021</v>
      </c>
      <c r="E380" s="63">
        <f>F380+G380+H380+I380+J380</f>
        <v>60.075000000000003</v>
      </c>
      <c r="F380" s="63">
        <v>0</v>
      </c>
      <c r="G380" s="63">
        <v>0</v>
      </c>
      <c r="H380" s="63">
        <v>60</v>
      </c>
      <c r="I380" s="63">
        <v>0</v>
      </c>
      <c r="J380" s="63">
        <v>7.4999999999999997E-2</v>
      </c>
      <c r="K380" s="86">
        <f t="shared" si="120"/>
        <v>60.075000000000003</v>
      </c>
      <c r="L380" s="294"/>
      <c r="M380" s="88"/>
      <c r="N380" s="324"/>
      <c r="O380" s="28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49"/>
      <c r="BC380" s="49"/>
      <c r="BD380" s="49"/>
      <c r="BE380" s="68"/>
    </row>
    <row r="381" spans="1:57" s="51" customFormat="1" ht="18.75" customHeight="1">
      <c r="A381" s="794" t="s">
        <v>625</v>
      </c>
      <c r="B381" s="867" t="s">
        <v>626</v>
      </c>
      <c r="C381" s="867" t="s">
        <v>532</v>
      </c>
      <c r="D381" s="84" t="s">
        <v>16</v>
      </c>
      <c r="E381" s="85">
        <f t="shared" ref="E381:J381" si="145">E382</f>
        <v>3.8</v>
      </c>
      <c r="F381" s="85">
        <f t="shared" si="145"/>
        <v>0</v>
      </c>
      <c r="G381" s="85">
        <f t="shared" si="145"/>
        <v>0</v>
      </c>
      <c r="H381" s="85">
        <f t="shared" si="145"/>
        <v>3.61</v>
      </c>
      <c r="I381" s="85">
        <f t="shared" si="145"/>
        <v>0</v>
      </c>
      <c r="J381" s="85">
        <f t="shared" si="145"/>
        <v>0.19</v>
      </c>
      <c r="K381" s="86">
        <f t="shared" si="120"/>
        <v>3.8</v>
      </c>
      <c r="L381" s="943" t="s">
        <v>618</v>
      </c>
      <c r="M381" s="88"/>
      <c r="N381" s="875">
        <v>1</v>
      </c>
      <c r="O381" s="858" t="s">
        <v>586</v>
      </c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49"/>
      <c r="BD381" s="49"/>
      <c r="BE381" s="68"/>
    </row>
    <row r="382" spans="1:57" s="51" customFormat="1" ht="33.75" customHeight="1">
      <c r="A382" s="796"/>
      <c r="B382" s="869"/>
      <c r="C382" s="869"/>
      <c r="D382" s="62">
        <v>2023</v>
      </c>
      <c r="E382" s="63">
        <f>F382+G382+H382+I382+J382</f>
        <v>3.8</v>
      </c>
      <c r="F382" s="63">
        <v>0</v>
      </c>
      <c r="G382" s="63">
        <v>0</v>
      </c>
      <c r="H382" s="63">
        <v>3.61</v>
      </c>
      <c r="I382" s="63">
        <v>0</v>
      </c>
      <c r="J382" s="63">
        <v>0.19</v>
      </c>
      <c r="K382" s="86">
        <f t="shared" si="120"/>
        <v>3.8</v>
      </c>
      <c r="L382" s="846"/>
      <c r="M382" s="88"/>
      <c r="N382" s="893"/>
      <c r="O382" s="871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49"/>
      <c r="BC382" s="49"/>
      <c r="BD382" s="49"/>
      <c r="BE382" s="68"/>
    </row>
    <row r="383" spans="1:57" s="51" customFormat="1" ht="18.75" customHeight="1">
      <c r="A383" s="794" t="s">
        <v>627</v>
      </c>
      <c r="B383" s="867" t="s">
        <v>628</v>
      </c>
      <c r="C383" s="867" t="s">
        <v>532</v>
      </c>
      <c r="D383" s="84" t="s">
        <v>16</v>
      </c>
      <c r="E383" s="85">
        <f t="shared" ref="E383:J383" si="146">E384</f>
        <v>3.8</v>
      </c>
      <c r="F383" s="85">
        <f t="shared" si="146"/>
        <v>0</v>
      </c>
      <c r="G383" s="85">
        <f t="shared" si="146"/>
        <v>0</v>
      </c>
      <c r="H383" s="85">
        <f t="shared" si="146"/>
        <v>3.61</v>
      </c>
      <c r="I383" s="85">
        <f t="shared" si="146"/>
        <v>0</v>
      </c>
      <c r="J383" s="85">
        <f t="shared" si="146"/>
        <v>0.19</v>
      </c>
      <c r="K383" s="86">
        <f t="shared" si="120"/>
        <v>3.8</v>
      </c>
      <c r="L383" s="943" t="s">
        <v>618</v>
      </c>
      <c r="M383" s="88"/>
      <c r="N383" s="875">
        <v>1</v>
      </c>
      <c r="O383" s="871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68"/>
    </row>
    <row r="384" spans="1:57" s="51" customFormat="1" ht="42" customHeight="1">
      <c r="A384" s="796"/>
      <c r="B384" s="869"/>
      <c r="C384" s="869"/>
      <c r="D384" s="62">
        <v>2024</v>
      </c>
      <c r="E384" s="63">
        <f>F384+G384+H384+I384+J384</f>
        <v>3.8</v>
      </c>
      <c r="F384" s="63">
        <v>0</v>
      </c>
      <c r="G384" s="63">
        <v>0</v>
      </c>
      <c r="H384" s="63">
        <v>3.61</v>
      </c>
      <c r="I384" s="63">
        <v>0</v>
      </c>
      <c r="J384" s="63">
        <v>0.19</v>
      </c>
      <c r="K384" s="86">
        <f t="shared" si="120"/>
        <v>3.8</v>
      </c>
      <c r="L384" s="846"/>
      <c r="M384" s="88"/>
      <c r="N384" s="893"/>
      <c r="O384" s="871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49"/>
      <c r="BC384" s="49"/>
      <c r="BD384" s="49"/>
      <c r="BE384" s="68"/>
    </row>
    <row r="385" spans="1:57" s="51" customFormat="1" ht="21" customHeight="1">
      <c r="A385" s="794" t="s">
        <v>629</v>
      </c>
      <c r="B385" s="867" t="s">
        <v>630</v>
      </c>
      <c r="C385" s="867" t="s">
        <v>532</v>
      </c>
      <c r="D385" s="84" t="s">
        <v>16</v>
      </c>
      <c r="E385" s="85">
        <f t="shared" ref="E385:J385" si="147">E386</f>
        <v>3.8</v>
      </c>
      <c r="F385" s="85">
        <f t="shared" si="147"/>
        <v>0</v>
      </c>
      <c r="G385" s="85">
        <f t="shared" si="147"/>
        <v>0</v>
      </c>
      <c r="H385" s="85">
        <f t="shared" si="147"/>
        <v>3.61</v>
      </c>
      <c r="I385" s="85">
        <f t="shared" si="147"/>
        <v>0</v>
      </c>
      <c r="J385" s="85">
        <f t="shared" si="147"/>
        <v>0.19</v>
      </c>
      <c r="K385" s="86">
        <f t="shared" si="120"/>
        <v>3.8</v>
      </c>
      <c r="L385" s="313" t="s">
        <v>618</v>
      </c>
      <c r="M385" s="88"/>
      <c r="N385" s="875">
        <v>1</v>
      </c>
      <c r="O385" s="858" t="s">
        <v>589</v>
      </c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49"/>
      <c r="BC385" s="49"/>
      <c r="BD385" s="49"/>
      <c r="BE385" s="68"/>
    </row>
    <row r="386" spans="1:57" s="51" customFormat="1" ht="31.5" customHeight="1">
      <c r="A386" s="796"/>
      <c r="B386" s="869"/>
      <c r="C386" s="869"/>
      <c r="D386" s="62">
        <v>2023</v>
      </c>
      <c r="E386" s="63">
        <f>F386+G386+H386+I386+J386</f>
        <v>3.8</v>
      </c>
      <c r="F386" s="63">
        <v>0</v>
      </c>
      <c r="G386" s="63">
        <v>0</v>
      </c>
      <c r="H386" s="63">
        <v>3.61</v>
      </c>
      <c r="I386" s="63">
        <v>0</v>
      </c>
      <c r="J386" s="63">
        <v>0.19</v>
      </c>
      <c r="K386" s="86">
        <f t="shared" si="120"/>
        <v>3.8</v>
      </c>
      <c r="L386" s="240"/>
      <c r="M386" s="88"/>
      <c r="N386" s="893"/>
      <c r="O386" s="871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49"/>
      <c r="BD386" s="49"/>
      <c r="BE386" s="68"/>
    </row>
    <row r="387" spans="1:57" s="51" customFormat="1" ht="19.5" customHeight="1">
      <c r="A387" s="794" t="s">
        <v>631</v>
      </c>
      <c r="B387" s="867" t="s">
        <v>632</v>
      </c>
      <c r="C387" s="867" t="s">
        <v>532</v>
      </c>
      <c r="D387" s="84" t="s">
        <v>16</v>
      </c>
      <c r="E387" s="85">
        <f t="shared" ref="E387:J387" si="148">E388</f>
        <v>5</v>
      </c>
      <c r="F387" s="85">
        <f t="shared" si="148"/>
        <v>0</v>
      </c>
      <c r="G387" s="85">
        <f t="shared" si="148"/>
        <v>0</v>
      </c>
      <c r="H387" s="85">
        <f t="shared" si="148"/>
        <v>4.9263000000000003</v>
      </c>
      <c r="I387" s="85">
        <f t="shared" si="148"/>
        <v>0</v>
      </c>
      <c r="J387" s="85">
        <f t="shared" si="148"/>
        <v>7.3700000000000002E-2</v>
      </c>
      <c r="K387" s="86">
        <f t="shared" si="120"/>
        <v>5</v>
      </c>
      <c r="L387" s="943" t="s">
        <v>618</v>
      </c>
      <c r="M387" s="88"/>
      <c r="N387" s="875">
        <v>1</v>
      </c>
      <c r="O387" s="858" t="s">
        <v>633</v>
      </c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  <c r="AT387" s="49"/>
      <c r="AU387" s="49"/>
      <c r="AV387" s="49"/>
      <c r="AW387" s="49"/>
      <c r="AX387" s="49"/>
      <c r="AY387" s="49"/>
      <c r="AZ387" s="49"/>
      <c r="BA387" s="49"/>
      <c r="BB387" s="49"/>
      <c r="BC387" s="49"/>
      <c r="BD387" s="49"/>
      <c r="BE387" s="68"/>
    </row>
    <row r="388" spans="1:57" s="51" customFormat="1" ht="34.5" customHeight="1">
      <c r="A388" s="796"/>
      <c r="B388" s="873"/>
      <c r="C388" s="869"/>
      <c r="D388" s="62">
        <v>2027</v>
      </c>
      <c r="E388" s="63">
        <f>F388+G388+H388+I388+J388</f>
        <v>5</v>
      </c>
      <c r="F388" s="63">
        <v>0</v>
      </c>
      <c r="G388" s="63">
        <v>0</v>
      </c>
      <c r="H388" s="63">
        <v>4.9263000000000003</v>
      </c>
      <c r="I388" s="63">
        <v>0</v>
      </c>
      <c r="J388" s="63">
        <v>7.3700000000000002E-2</v>
      </c>
      <c r="K388" s="86">
        <f t="shared" si="120"/>
        <v>5</v>
      </c>
      <c r="L388" s="945"/>
      <c r="M388" s="88"/>
      <c r="N388" s="893"/>
      <c r="O388" s="988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68"/>
    </row>
    <row r="389" spans="1:57" s="51" customFormat="1" ht="19.5" customHeight="1">
      <c r="A389" s="794" t="s">
        <v>634</v>
      </c>
      <c r="B389" s="870" t="s">
        <v>635</v>
      </c>
      <c r="C389" s="872" t="s">
        <v>353</v>
      </c>
      <c r="D389" s="84" t="s">
        <v>16</v>
      </c>
      <c r="E389" s="85">
        <f t="shared" ref="E389:J389" si="149">E390+E391</f>
        <v>0</v>
      </c>
      <c r="F389" s="85">
        <f t="shared" si="149"/>
        <v>0</v>
      </c>
      <c r="G389" s="85">
        <f t="shared" si="149"/>
        <v>0</v>
      </c>
      <c r="H389" s="85">
        <f t="shared" si="149"/>
        <v>0</v>
      </c>
      <c r="I389" s="85">
        <f t="shared" si="149"/>
        <v>0</v>
      </c>
      <c r="J389" s="85">
        <f t="shared" si="149"/>
        <v>0</v>
      </c>
      <c r="K389" s="86">
        <f t="shared" si="120"/>
        <v>0</v>
      </c>
      <c r="L389" s="840" t="s">
        <v>636</v>
      </c>
      <c r="M389" s="88"/>
      <c r="N389" s="301"/>
      <c r="O389" s="992" t="s">
        <v>352</v>
      </c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68"/>
    </row>
    <row r="390" spans="1:57" s="51" customFormat="1">
      <c r="A390" s="795"/>
      <c r="B390" s="870"/>
      <c r="C390" s="872"/>
      <c r="D390" s="62">
        <v>2022</v>
      </c>
      <c r="E390" s="63">
        <f>F390+G390+H390+I390+J390</f>
        <v>0</v>
      </c>
      <c r="F390" s="63">
        <v>0</v>
      </c>
      <c r="G390" s="63">
        <v>0</v>
      </c>
      <c r="H390" s="63">
        <v>0</v>
      </c>
      <c r="I390" s="63">
        <v>0</v>
      </c>
      <c r="J390" s="63">
        <v>0</v>
      </c>
      <c r="K390" s="86">
        <f t="shared" si="120"/>
        <v>0</v>
      </c>
      <c r="L390" s="991"/>
      <c r="M390" s="88"/>
      <c r="N390" s="301"/>
      <c r="O390" s="992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68"/>
    </row>
    <row r="391" spans="1:57" s="51" customFormat="1">
      <c r="A391" s="796"/>
      <c r="B391" s="870"/>
      <c r="C391" s="872"/>
      <c r="D391" s="327">
        <v>2023</v>
      </c>
      <c r="E391" s="63">
        <f>F391+G391+H391+I391+J391</f>
        <v>0</v>
      </c>
      <c r="F391" s="63">
        <v>0</v>
      </c>
      <c r="G391" s="63">
        <v>0</v>
      </c>
      <c r="H391" s="328">
        <v>0</v>
      </c>
      <c r="I391" s="63">
        <v>0</v>
      </c>
      <c r="J391" s="63">
        <v>0</v>
      </c>
      <c r="K391" s="86">
        <f t="shared" si="120"/>
        <v>0</v>
      </c>
      <c r="L391" s="841"/>
      <c r="M391" s="88"/>
      <c r="N391" s="301"/>
      <c r="O391" s="993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  <c r="AT391" s="49"/>
      <c r="AU391" s="49"/>
      <c r="AV391" s="49"/>
      <c r="AW391" s="49"/>
      <c r="AX391" s="49"/>
      <c r="AY391" s="49"/>
      <c r="AZ391" s="49"/>
      <c r="BA391" s="49"/>
      <c r="BB391" s="49"/>
      <c r="BC391" s="49"/>
      <c r="BD391" s="49"/>
      <c r="BE391" s="68"/>
    </row>
    <row r="392" spans="1:57" s="51" customFormat="1">
      <c r="A392" s="794" t="s">
        <v>637</v>
      </c>
      <c r="B392" s="867" t="s">
        <v>638</v>
      </c>
      <c r="C392" s="934" t="s">
        <v>639</v>
      </c>
      <c r="D392" s="84" t="s">
        <v>16</v>
      </c>
      <c r="E392" s="85">
        <f t="shared" ref="E392:J392" si="150">E393</f>
        <v>14.9</v>
      </c>
      <c r="F392" s="85">
        <f t="shared" si="150"/>
        <v>0</v>
      </c>
      <c r="G392" s="85">
        <f t="shared" si="150"/>
        <v>0</v>
      </c>
      <c r="H392" s="85">
        <f t="shared" si="150"/>
        <v>12.4</v>
      </c>
      <c r="I392" s="85">
        <f t="shared" si="150"/>
        <v>2.5</v>
      </c>
      <c r="J392" s="85">
        <f t="shared" si="150"/>
        <v>0</v>
      </c>
      <c r="K392" s="86">
        <f t="shared" si="120"/>
        <v>14.9</v>
      </c>
      <c r="L392" s="330"/>
      <c r="M392" s="88"/>
      <c r="N392" s="301"/>
      <c r="O392" s="842" t="s">
        <v>640</v>
      </c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49"/>
      <c r="BD392" s="49"/>
      <c r="BE392" s="68"/>
    </row>
    <row r="393" spans="1:57" s="51" customFormat="1" ht="93" customHeight="1">
      <c r="A393" s="873"/>
      <c r="B393" s="873"/>
      <c r="C393" s="934"/>
      <c r="D393" s="84">
        <v>2019</v>
      </c>
      <c r="E393" s="63">
        <f>F393+G393+H393+I393+J393</f>
        <v>14.9</v>
      </c>
      <c r="F393" s="63">
        <v>0</v>
      </c>
      <c r="G393" s="63">
        <v>0</v>
      </c>
      <c r="H393" s="63">
        <v>12.4</v>
      </c>
      <c r="I393" s="63">
        <v>2.5</v>
      </c>
      <c r="J393" s="63">
        <v>0</v>
      </c>
      <c r="K393" s="86">
        <f t="shared" si="120"/>
        <v>14.9</v>
      </c>
      <c r="L393" s="330"/>
      <c r="M393" s="88"/>
      <c r="N393" s="301"/>
      <c r="O393" s="843"/>
      <c r="P393" s="333"/>
      <c r="Q393" s="333"/>
      <c r="R393" s="333"/>
      <c r="S393" s="333"/>
      <c r="T393" s="333"/>
      <c r="U393" s="333"/>
      <c r="V393" s="333"/>
      <c r="W393" s="333"/>
      <c r="X393" s="333"/>
      <c r="Y393" s="333"/>
      <c r="Z393" s="333"/>
      <c r="AA393" s="333"/>
      <c r="AB393" s="333"/>
      <c r="AC393" s="333"/>
      <c r="AD393" s="333"/>
      <c r="AE393" s="333"/>
      <c r="AF393" s="333"/>
      <c r="AG393" s="333"/>
      <c r="AH393" s="333"/>
      <c r="AI393" s="333"/>
      <c r="AJ393" s="333"/>
      <c r="AK393" s="333"/>
      <c r="AL393" s="333"/>
      <c r="AM393" s="333"/>
      <c r="AN393" s="333"/>
      <c r="AO393" s="333"/>
      <c r="AP393" s="333"/>
      <c r="AQ393" s="333"/>
      <c r="AR393" s="333"/>
      <c r="AS393" s="333"/>
      <c r="AT393" s="333"/>
      <c r="AU393" s="333"/>
      <c r="AV393" s="333"/>
      <c r="AW393" s="333"/>
      <c r="AX393" s="333"/>
      <c r="AY393" s="333"/>
      <c r="AZ393" s="333"/>
      <c r="BA393" s="333"/>
      <c r="BB393" s="333"/>
      <c r="BC393" s="333"/>
      <c r="BD393" s="333"/>
      <c r="BE393" s="68"/>
    </row>
    <row r="394" spans="1:57" s="334" customFormat="1" ht="33" customHeight="1">
      <c r="A394" s="189" t="s">
        <v>641</v>
      </c>
      <c r="B394" s="69" t="s">
        <v>642</v>
      </c>
      <c r="C394" s="838" t="s">
        <v>609</v>
      </c>
      <c r="D394" s="140" t="s">
        <v>16</v>
      </c>
      <c r="E394" s="141">
        <f t="shared" ref="E394:J394" si="151">E395</f>
        <v>1.4875</v>
      </c>
      <c r="F394" s="141">
        <f t="shared" si="151"/>
        <v>0</v>
      </c>
      <c r="G394" s="141">
        <f t="shared" si="151"/>
        <v>0</v>
      </c>
      <c r="H394" s="141">
        <f t="shared" si="151"/>
        <v>1.4125000000000001</v>
      </c>
      <c r="I394" s="141">
        <f t="shared" si="151"/>
        <v>0</v>
      </c>
      <c r="J394" s="141">
        <f t="shared" si="151"/>
        <v>7.4999999999999997E-2</v>
      </c>
      <c r="K394" s="86">
        <f t="shared" si="120"/>
        <v>1.4875</v>
      </c>
      <c r="L394" s="840" t="s">
        <v>410</v>
      </c>
      <c r="M394" s="143"/>
      <c r="N394" s="335"/>
      <c r="O394" s="842" t="s">
        <v>571</v>
      </c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49"/>
      <c r="BC394" s="49"/>
      <c r="BD394" s="49"/>
      <c r="BE394" s="336"/>
    </row>
    <row r="395" spans="1:57" s="334" customFormat="1">
      <c r="A395" s="69"/>
      <c r="B395" s="69"/>
      <c r="C395" s="839"/>
      <c r="D395" s="265">
        <v>2021</v>
      </c>
      <c r="E395" s="314">
        <f>F395+G395+H395+I395+J395</f>
        <v>1.4875</v>
      </c>
      <c r="F395" s="314">
        <v>0</v>
      </c>
      <c r="G395" s="314">
        <v>0</v>
      </c>
      <c r="H395" s="314">
        <v>1.4125000000000001</v>
      </c>
      <c r="I395" s="314">
        <v>0</v>
      </c>
      <c r="J395" s="314">
        <v>7.4999999999999997E-2</v>
      </c>
      <c r="K395" s="86">
        <f t="shared" ref="K395:K458" si="152">F395+G395+H395+I395+J395</f>
        <v>1.4875</v>
      </c>
      <c r="L395" s="841"/>
      <c r="M395" s="143"/>
      <c r="N395" s="335"/>
      <c r="O395" s="843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49"/>
      <c r="BC395" s="49"/>
      <c r="BD395" s="49"/>
      <c r="BE395" s="336"/>
    </row>
    <row r="396" spans="1:57" s="334" customFormat="1" ht="18.75" customHeight="1">
      <c r="A396" s="914" t="s">
        <v>643</v>
      </c>
      <c r="B396" s="867" t="s">
        <v>644</v>
      </c>
      <c r="C396" s="867" t="s">
        <v>532</v>
      </c>
      <c r="D396" s="84" t="s">
        <v>16</v>
      </c>
      <c r="E396" s="141">
        <f t="shared" ref="E396:J396" si="153">E397</f>
        <v>3.8</v>
      </c>
      <c r="F396" s="141">
        <f t="shared" si="153"/>
        <v>0</v>
      </c>
      <c r="G396" s="141">
        <f t="shared" si="153"/>
        <v>0</v>
      </c>
      <c r="H396" s="141">
        <f t="shared" si="153"/>
        <v>3.61</v>
      </c>
      <c r="I396" s="141">
        <f t="shared" si="153"/>
        <v>0</v>
      </c>
      <c r="J396" s="141">
        <f t="shared" si="153"/>
        <v>0.19</v>
      </c>
      <c r="K396" s="86">
        <f t="shared" si="152"/>
        <v>3.8</v>
      </c>
      <c r="L396" s="337"/>
      <c r="M396" s="143"/>
      <c r="N396" s="335"/>
      <c r="O396" s="995" t="s">
        <v>645</v>
      </c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336"/>
    </row>
    <row r="397" spans="1:57" s="334" customFormat="1" ht="35.25" customHeight="1">
      <c r="A397" s="952"/>
      <c r="B397" s="873"/>
      <c r="C397" s="869"/>
      <c r="D397" s="62">
        <v>2020</v>
      </c>
      <c r="E397" s="314">
        <f>F397+G397+H397+I397+J397</f>
        <v>3.8</v>
      </c>
      <c r="F397" s="314">
        <v>0</v>
      </c>
      <c r="G397" s="314">
        <v>0</v>
      </c>
      <c r="H397" s="314">
        <v>3.61</v>
      </c>
      <c r="I397" s="314">
        <v>0</v>
      </c>
      <c r="J397" s="314">
        <v>0.19</v>
      </c>
      <c r="K397" s="86">
        <f t="shared" si="152"/>
        <v>3.8</v>
      </c>
      <c r="L397" s="337"/>
      <c r="M397" s="143"/>
      <c r="N397" s="335"/>
      <c r="O397" s="996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49"/>
      <c r="BC397" s="49"/>
      <c r="BD397" s="49"/>
      <c r="BE397" s="336"/>
    </row>
    <row r="398" spans="1:57" s="334" customFormat="1">
      <c r="A398" s="914" t="s">
        <v>646</v>
      </c>
      <c r="B398" s="69"/>
      <c r="C398" s="94"/>
      <c r="D398" s="84" t="s">
        <v>16</v>
      </c>
      <c r="E398" s="314">
        <f t="shared" ref="E398:J398" si="154">E399</f>
        <v>130</v>
      </c>
      <c r="F398" s="314">
        <f t="shared" si="154"/>
        <v>16.899999999999999</v>
      </c>
      <c r="G398" s="314">
        <f t="shared" si="154"/>
        <v>0</v>
      </c>
      <c r="H398" s="314">
        <f t="shared" si="154"/>
        <v>113.1</v>
      </c>
      <c r="I398" s="314">
        <f t="shared" si="154"/>
        <v>0</v>
      </c>
      <c r="J398" s="314">
        <f t="shared" si="154"/>
        <v>0</v>
      </c>
      <c r="K398" s="86">
        <f t="shared" si="152"/>
        <v>130</v>
      </c>
      <c r="L398" s="337"/>
      <c r="M398" s="143"/>
      <c r="N398" s="335"/>
      <c r="O398" s="995" t="s">
        <v>561</v>
      </c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49"/>
      <c r="BC398" s="49"/>
      <c r="BD398" s="49"/>
      <c r="BE398" s="336"/>
    </row>
    <row r="399" spans="1:57" s="334" customFormat="1" ht="51">
      <c r="A399" s="952"/>
      <c r="B399" s="69" t="s">
        <v>647</v>
      </c>
      <c r="C399" s="69" t="s">
        <v>532</v>
      </c>
      <c r="D399" s="62">
        <v>2021</v>
      </c>
      <c r="E399" s="314">
        <f>F399+G399+H399+I399+J399</f>
        <v>130</v>
      </c>
      <c r="F399" s="314">
        <v>16.899999999999999</v>
      </c>
      <c r="G399" s="314">
        <v>0</v>
      </c>
      <c r="H399" s="314">
        <v>113.1</v>
      </c>
      <c r="I399" s="314">
        <v>0</v>
      </c>
      <c r="J399" s="314">
        <v>0</v>
      </c>
      <c r="K399" s="86">
        <f t="shared" si="152"/>
        <v>130</v>
      </c>
      <c r="L399" s="337"/>
      <c r="M399" s="143"/>
      <c r="N399" s="335"/>
      <c r="O399" s="996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49"/>
      <c r="BD399" s="49"/>
      <c r="BE399" s="336"/>
    </row>
    <row r="400" spans="1:57" s="334" customFormat="1">
      <c r="A400" s="926" t="s">
        <v>648</v>
      </c>
      <c r="B400" s="929" t="s">
        <v>127</v>
      </c>
      <c r="C400" s="929"/>
      <c r="D400" s="140" t="s">
        <v>16</v>
      </c>
      <c r="E400" s="223">
        <f t="shared" ref="E400:J400" si="155">SUM(E401:E406)</f>
        <v>49.351000000000006</v>
      </c>
      <c r="F400" s="223">
        <f t="shared" si="155"/>
        <v>16.106100000000001</v>
      </c>
      <c r="G400" s="223">
        <f t="shared" si="155"/>
        <v>8.366200000000001</v>
      </c>
      <c r="H400" s="223">
        <f t="shared" si="155"/>
        <v>11.213700000000001</v>
      </c>
      <c r="I400" s="223">
        <f t="shared" si="155"/>
        <v>9.9450000000000003</v>
      </c>
      <c r="J400" s="223">
        <f t="shared" si="155"/>
        <v>3.72</v>
      </c>
      <c r="K400" s="86">
        <f t="shared" si="152"/>
        <v>49.351000000000006</v>
      </c>
      <c r="L400" s="142"/>
      <c r="M400" s="143"/>
      <c r="N400" s="144"/>
      <c r="O400" s="997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49"/>
      <c r="BC400" s="49"/>
      <c r="BD400" s="49"/>
      <c r="BE400" s="336"/>
    </row>
    <row r="401" spans="1:57" s="51" customFormat="1">
      <c r="A401" s="927"/>
      <c r="B401" s="868"/>
      <c r="C401" s="868"/>
      <c r="D401" s="84">
        <v>2019</v>
      </c>
      <c r="E401" s="85">
        <f t="shared" ref="E401:J402" si="156">E409+E417+E420</f>
        <v>28.333600000000001</v>
      </c>
      <c r="F401" s="85">
        <f t="shared" si="156"/>
        <v>2.6870000000000003</v>
      </c>
      <c r="G401" s="85">
        <f t="shared" si="156"/>
        <v>5.9143000000000008</v>
      </c>
      <c r="H401" s="85">
        <f t="shared" si="156"/>
        <v>7.9273000000000007</v>
      </c>
      <c r="I401" s="85">
        <f t="shared" si="156"/>
        <v>9.9450000000000003</v>
      </c>
      <c r="J401" s="85">
        <f t="shared" si="156"/>
        <v>1.86</v>
      </c>
      <c r="K401" s="86">
        <f t="shared" si="152"/>
        <v>28.333600000000004</v>
      </c>
      <c r="L401" s="99"/>
      <c r="M401" s="88"/>
      <c r="N401" s="89"/>
      <c r="O401" s="998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AU401" s="49"/>
      <c r="AV401" s="49"/>
      <c r="AW401" s="49"/>
      <c r="AX401" s="49"/>
      <c r="AY401" s="49"/>
      <c r="AZ401" s="49"/>
      <c r="BA401" s="49"/>
      <c r="BB401" s="49"/>
      <c r="BC401" s="49"/>
      <c r="BD401" s="49"/>
      <c r="BE401" s="68"/>
    </row>
    <row r="402" spans="1:57" s="51" customFormat="1">
      <c r="A402" s="927"/>
      <c r="B402" s="868"/>
      <c r="C402" s="868"/>
      <c r="D402" s="84">
        <v>2020</v>
      </c>
      <c r="E402" s="85">
        <f t="shared" si="156"/>
        <v>10.2773</v>
      </c>
      <c r="F402" s="85">
        <f t="shared" si="156"/>
        <v>2.6790000000000003</v>
      </c>
      <c r="G402" s="85">
        <f t="shared" si="156"/>
        <v>2.4519000000000002</v>
      </c>
      <c r="H402" s="85">
        <f t="shared" si="156"/>
        <v>3.2864</v>
      </c>
      <c r="I402" s="85">
        <f t="shared" si="156"/>
        <v>0</v>
      </c>
      <c r="J402" s="85">
        <f t="shared" si="156"/>
        <v>1.86</v>
      </c>
      <c r="K402" s="86">
        <f t="shared" si="152"/>
        <v>10.2773</v>
      </c>
      <c r="L402" s="99"/>
      <c r="M402" s="88"/>
      <c r="N402" s="89"/>
      <c r="O402" s="998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49"/>
      <c r="BC402" s="49"/>
      <c r="BD402" s="49"/>
      <c r="BE402" s="68"/>
    </row>
    <row r="403" spans="1:57" s="51" customFormat="1">
      <c r="A403" s="927"/>
      <c r="B403" s="868"/>
      <c r="C403" s="868"/>
      <c r="D403" s="84">
        <v>2021</v>
      </c>
      <c r="E403" s="85">
        <f t="shared" ref="E403:J404" si="157">E411+E422</f>
        <v>2.68</v>
      </c>
      <c r="F403" s="85">
        <f t="shared" si="157"/>
        <v>2.68</v>
      </c>
      <c r="G403" s="85">
        <f t="shared" si="157"/>
        <v>0</v>
      </c>
      <c r="H403" s="85">
        <f t="shared" si="157"/>
        <v>0</v>
      </c>
      <c r="I403" s="85">
        <f t="shared" si="157"/>
        <v>0</v>
      </c>
      <c r="J403" s="85">
        <f t="shared" si="157"/>
        <v>0</v>
      </c>
      <c r="K403" s="86">
        <f t="shared" si="152"/>
        <v>2.68</v>
      </c>
      <c r="L403" s="99"/>
      <c r="M403" s="88"/>
      <c r="N403" s="89"/>
      <c r="O403" s="998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49"/>
      <c r="BD403" s="49"/>
      <c r="BE403" s="68"/>
    </row>
    <row r="404" spans="1:57" s="51" customFormat="1">
      <c r="A404" s="927"/>
      <c r="B404" s="868"/>
      <c r="C404" s="868"/>
      <c r="D404" s="84">
        <v>2022</v>
      </c>
      <c r="E404" s="85">
        <f t="shared" si="157"/>
        <v>2.68</v>
      </c>
      <c r="F404" s="85">
        <f t="shared" si="157"/>
        <v>2.68</v>
      </c>
      <c r="G404" s="85">
        <f t="shared" si="157"/>
        <v>0</v>
      </c>
      <c r="H404" s="85">
        <f t="shared" si="157"/>
        <v>0</v>
      </c>
      <c r="I404" s="85">
        <f t="shared" si="157"/>
        <v>0</v>
      </c>
      <c r="J404" s="85">
        <f t="shared" si="157"/>
        <v>0</v>
      </c>
      <c r="K404" s="86">
        <f t="shared" si="152"/>
        <v>2.68</v>
      </c>
      <c r="L404" s="99"/>
      <c r="M404" s="88"/>
      <c r="N404" s="89"/>
      <c r="O404" s="998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49"/>
      <c r="BC404" s="49"/>
      <c r="BD404" s="49"/>
      <c r="BE404" s="68"/>
    </row>
    <row r="405" spans="1:57" s="51" customFormat="1">
      <c r="A405" s="927"/>
      <c r="B405" s="868"/>
      <c r="C405" s="868"/>
      <c r="D405" s="84">
        <v>2023</v>
      </c>
      <c r="E405" s="85">
        <f t="shared" ref="E405:I407" si="158">E413+E424</f>
        <v>2.6893000000000002</v>
      </c>
      <c r="F405" s="85">
        <f t="shared" si="158"/>
        <v>2.6893000000000002</v>
      </c>
      <c r="G405" s="85">
        <f t="shared" si="158"/>
        <v>0</v>
      </c>
      <c r="H405" s="85">
        <f t="shared" si="158"/>
        <v>0</v>
      </c>
      <c r="I405" s="85">
        <f t="shared" si="158"/>
        <v>0</v>
      </c>
      <c r="J405" s="85">
        <f>J413</f>
        <v>0</v>
      </c>
      <c r="K405" s="86">
        <f t="shared" si="152"/>
        <v>2.6893000000000002</v>
      </c>
      <c r="L405" s="99"/>
      <c r="M405" s="88"/>
      <c r="N405" s="89"/>
      <c r="O405" s="998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49"/>
      <c r="BC405" s="49"/>
      <c r="BD405" s="49"/>
      <c r="BE405" s="68"/>
    </row>
    <row r="406" spans="1:57" s="51" customFormat="1">
      <c r="A406" s="927"/>
      <c r="B406" s="868"/>
      <c r="C406" s="868"/>
      <c r="D406" s="84">
        <v>2024</v>
      </c>
      <c r="E406" s="85">
        <f t="shared" si="158"/>
        <v>2.6908000000000003</v>
      </c>
      <c r="F406" s="85">
        <f t="shared" si="158"/>
        <v>2.6908000000000003</v>
      </c>
      <c r="G406" s="85">
        <f t="shared" si="158"/>
        <v>0</v>
      </c>
      <c r="H406" s="85">
        <f t="shared" si="158"/>
        <v>0</v>
      </c>
      <c r="I406" s="85">
        <f t="shared" si="158"/>
        <v>0</v>
      </c>
      <c r="J406" s="85">
        <f>J414+J425</f>
        <v>0</v>
      </c>
      <c r="K406" s="86">
        <f t="shared" si="152"/>
        <v>2.6908000000000003</v>
      </c>
      <c r="L406" s="99"/>
      <c r="M406" s="88"/>
      <c r="N406" s="89"/>
      <c r="O406" s="998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68"/>
    </row>
    <row r="407" spans="1:57" s="51" customFormat="1" ht="15.75">
      <c r="A407" s="147"/>
      <c r="B407" s="94"/>
      <c r="C407" s="94"/>
      <c r="D407" s="84">
        <v>2025</v>
      </c>
      <c r="E407" s="85">
        <f t="shared" si="158"/>
        <v>2.6923000000000004</v>
      </c>
      <c r="F407" s="85">
        <f t="shared" si="158"/>
        <v>2.6923000000000004</v>
      </c>
      <c r="G407" s="85">
        <f t="shared" si="158"/>
        <v>0</v>
      </c>
      <c r="H407" s="85">
        <f t="shared" si="158"/>
        <v>0</v>
      </c>
      <c r="I407" s="85">
        <f t="shared" si="158"/>
        <v>0</v>
      </c>
      <c r="J407" s="85">
        <f>J415+J426</f>
        <v>0</v>
      </c>
      <c r="K407" s="86">
        <f t="shared" si="152"/>
        <v>2.6923000000000004</v>
      </c>
      <c r="L407" s="99"/>
      <c r="M407" s="88"/>
      <c r="N407" s="89"/>
      <c r="O407" s="338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AU407" s="49"/>
      <c r="AV407" s="49"/>
      <c r="AW407" s="49"/>
      <c r="AX407" s="49"/>
      <c r="AY407" s="49"/>
      <c r="AZ407" s="49"/>
      <c r="BA407" s="49"/>
      <c r="BB407" s="49"/>
      <c r="BC407" s="49"/>
      <c r="BD407" s="49"/>
      <c r="BE407" s="68"/>
    </row>
    <row r="408" spans="1:57" s="51" customFormat="1" ht="12.75" customHeight="1">
      <c r="A408" s="794" t="s">
        <v>649</v>
      </c>
      <c r="B408" s="867" t="s">
        <v>650</v>
      </c>
      <c r="C408" s="867" t="s">
        <v>651</v>
      </c>
      <c r="D408" s="84" t="s">
        <v>16</v>
      </c>
      <c r="E408" s="136">
        <f t="shared" ref="E408:J408" si="159">E409+E410+E411+E412+E413+E414+E415</f>
        <v>36.612300000000005</v>
      </c>
      <c r="F408" s="136">
        <f t="shared" si="159"/>
        <v>18.564000000000004</v>
      </c>
      <c r="G408" s="136">
        <f t="shared" si="159"/>
        <v>3.4624000000000001</v>
      </c>
      <c r="H408" s="136">
        <f t="shared" si="159"/>
        <v>4.6409000000000002</v>
      </c>
      <c r="I408" s="136">
        <f t="shared" si="159"/>
        <v>9.9450000000000003</v>
      </c>
      <c r="J408" s="136">
        <f t="shared" si="159"/>
        <v>0</v>
      </c>
      <c r="K408" s="86">
        <f t="shared" si="152"/>
        <v>36.612300000000005</v>
      </c>
      <c r="L408" s="99"/>
      <c r="M408" s="88"/>
      <c r="N408" s="89"/>
      <c r="O408" s="858" t="s">
        <v>352</v>
      </c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49"/>
      <c r="BD408" s="49"/>
      <c r="BE408" s="68"/>
    </row>
    <row r="409" spans="1:57" s="202" customFormat="1">
      <c r="A409" s="834"/>
      <c r="B409" s="868"/>
      <c r="C409" s="868"/>
      <c r="D409" s="211">
        <v>2019</v>
      </c>
      <c r="E409" s="212">
        <f t="shared" ref="E409:E415" si="160">F409+G409+H409+I409+J409</f>
        <v>20.700299999999999</v>
      </c>
      <c r="F409" s="212">
        <f t="shared" ref="F409:F415" si="161">2652/1000</f>
        <v>2.6520000000000001</v>
      </c>
      <c r="G409" s="212">
        <v>3.4624000000000001</v>
      </c>
      <c r="H409" s="212">
        <v>4.6409000000000002</v>
      </c>
      <c r="I409" s="212">
        <v>9.9450000000000003</v>
      </c>
      <c r="J409" s="339">
        <v>0</v>
      </c>
      <c r="K409" s="120">
        <f t="shared" si="152"/>
        <v>20.700299999999999</v>
      </c>
      <c r="L409" s="340"/>
      <c r="M409" s="206"/>
      <c r="N409" s="263"/>
      <c r="O409" s="871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  <c r="AB409" s="207"/>
      <c r="AC409" s="207"/>
      <c r="AD409" s="207"/>
      <c r="AE409" s="207"/>
      <c r="AF409" s="207"/>
      <c r="AG409" s="207"/>
      <c r="AH409" s="207"/>
      <c r="AI409" s="207"/>
      <c r="AJ409" s="207"/>
      <c r="AK409" s="207"/>
      <c r="AL409" s="207"/>
      <c r="AM409" s="207"/>
      <c r="AN409" s="207"/>
      <c r="AO409" s="207"/>
      <c r="AP409" s="207"/>
      <c r="AQ409" s="207"/>
      <c r="AR409" s="207"/>
      <c r="AS409" s="207"/>
      <c r="AT409" s="207"/>
      <c r="AU409" s="207"/>
      <c r="AV409" s="207"/>
      <c r="AW409" s="207"/>
      <c r="AX409" s="207"/>
      <c r="AY409" s="207"/>
      <c r="AZ409" s="207"/>
      <c r="BA409" s="207"/>
      <c r="BB409" s="207"/>
      <c r="BC409" s="207"/>
      <c r="BD409" s="207"/>
      <c r="BE409" s="208"/>
    </row>
    <row r="410" spans="1:57" s="202" customFormat="1" ht="12.75" customHeight="1">
      <c r="A410" s="834"/>
      <c r="B410" s="868"/>
      <c r="C410" s="915"/>
      <c r="D410" s="211">
        <v>2020</v>
      </c>
      <c r="E410" s="212">
        <f t="shared" si="160"/>
        <v>2.6520000000000001</v>
      </c>
      <c r="F410" s="212">
        <f t="shared" si="161"/>
        <v>2.6520000000000001</v>
      </c>
      <c r="G410" s="212">
        <v>0</v>
      </c>
      <c r="H410" s="212">
        <v>0</v>
      </c>
      <c r="I410" s="212">
        <v>0</v>
      </c>
      <c r="J410" s="339">
        <v>0</v>
      </c>
      <c r="K410" s="120">
        <f t="shared" si="152"/>
        <v>2.6520000000000001</v>
      </c>
      <c r="L410" s="340"/>
      <c r="M410" s="206"/>
      <c r="N410" s="263"/>
      <c r="O410" s="868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  <c r="AB410" s="207"/>
      <c r="AC410" s="207"/>
      <c r="AD410" s="207"/>
      <c r="AE410" s="207"/>
      <c r="AF410" s="207"/>
      <c r="AG410" s="207"/>
      <c r="AH410" s="207"/>
      <c r="AI410" s="207"/>
      <c r="AJ410" s="207"/>
      <c r="AK410" s="207"/>
      <c r="AL410" s="207"/>
      <c r="AM410" s="207"/>
      <c r="AN410" s="207"/>
      <c r="AO410" s="207"/>
      <c r="AP410" s="207"/>
      <c r="AQ410" s="207"/>
      <c r="AR410" s="207"/>
      <c r="AS410" s="207"/>
      <c r="AT410" s="207"/>
      <c r="AU410" s="207"/>
      <c r="AV410" s="207"/>
      <c r="AW410" s="207"/>
      <c r="AX410" s="207"/>
      <c r="AY410" s="207"/>
      <c r="AZ410" s="207"/>
      <c r="BA410" s="207"/>
      <c r="BB410" s="207"/>
      <c r="BC410" s="207"/>
      <c r="BD410" s="207"/>
      <c r="BE410" s="208"/>
    </row>
    <row r="411" spans="1:57" s="202" customFormat="1" ht="15.75" customHeight="1">
      <c r="A411" s="834"/>
      <c r="B411" s="868"/>
      <c r="C411" s="916"/>
      <c r="D411" s="211">
        <v>2021</v>
      </c>
      <c r="E411" s="212">
        <f t="shared" si="160"/>
        <v>2.6520000000000001</v>
      </c>
      <c r="F411" s="212">
        <f t="shared" si="161"/>
        <v>2.6520000000000001</v>
      </c>
      <c r="G411" s="212">
        <v>0</v>
      </c>
      <c r="H411" s="212">
        <v>0</v>
      </c>
      <c r="I411" s="212">
        <v>0</v>
      </c>
      <c r="J411" s="339">
        <v>0</v>
      </c>
      <c r="K411" s="120">
        <f t="shared" si="152"/>
        <v>2.6520000000000001</v>
      </c>
      <c r="L411" s="340"/>
      <c r="M411" s="206"/>
      <c r="N411" s="263"/>
      <c r="O411" s="868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  <c r="AB411" s="207"/>
      <c r="AC411" s="207"/>
      <c r="AD411" s="207"/>
      <c r="AE411" s="207"/>
      <c r="AF411" s="207"/>
      <c r="AG411" s="207"/>
      <c r="AH411" s="207"/>
      <c r="AI411" s="207"/>
      <c r="AJ411" s="207"/>
      <c r="AK411" s="207"/>
      <c r="AL411" s="207"/>
      <c r="AM411" s="207"/>
      <c r="AN411" s="207"/>
      <c r="AO411" s="207"/>
      <c r="AP411" s="207"/>
      <c r="AQ411" s="207"/>
      <c r="AR411" s="207"/>
      <c r="AS411" s="207"/>
      <c r="AT411" s="207"/>
      <c r="AU411" s="207"/>
      <c r="AV411" s="207"/>
      <c r="AW411" s="207"/>
      <c r="AX411" s="207"/>
      <c r="AY411" s="207"/>
      <c r="AZ411" s="207"/>
      <c r="BA411" s="207"/>
      <c r="BB411" s="207"/>
      <c r="BC411" s="207"/>
      <c r="BD411" s="207"/>
      <c r="BE411" s="208"/>
    </row>
    <row r="412" spans="1:57" s="202" customFormat="1">
      <c r="A412" s="834"/>
      <c r="B412" s="868"/>
      <c r="C412" s="916"/>
      <c r="D412" s="211">
        <v>2022</v>
      </c>
      <c r="E412" s="212">
        <f t="shared" si="160"/>
        <v>2.6520000000000001</v>
      </c>
      <c r="F412" s="212">
        <f t="shared" si="161"/>
        <v>2.6520000000000001</v>
      </c>
      <c r="G412" s="212">
        <v>0</v>
      </c>
      <c r="H412" s="212">
        <v>0</v>
      </c>
      <c r="I412" s="212">
        <v>0</v>
      </c>
      <c r="J412" s="339">
        <v>0</v>
      </c>
      <c r="K412" s="120">
        <f t="shared" si="152"/>
        <v>2.6520000000000001</v>
      </c>
      <c r="L412" s="340"/>
      <c r="M412" s="206"/>
      <c r="N412" s="263"/>
      <c r="O412" s="868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8"/>
    </row>
    <row r="413" spans="1:57" s="51" customFormat="1">
      <c r="A413" s="834"/>
      <c r="B413" s="868"/>
      <c r="C413" s="916"/>
      <c r="D413" s="62">
        <v>2023</v>
      </c>
      <c r="E413" s="63">
        <f t="shared" si="160"/>
        <v>2.6520000000000001</v>
      </c>
      <c r="F413" s="63">
        <f t="shared" si="161"/>
        <v>2.6520000000000001</v>
      </c>
      <c r="G413" s="63">
        <v>0</v>
      </c>
      <c r="H413" s="63">
        <v>0</v>
      </c>
      <c r="I413" s="63">
        <v>0</v>
      </c>
      <c r="J413" s="341">
        <v>0</v>
      </c>
      <c r="K413" s="86">
        <f t="shared" si="152"/>
        <v>2.6520000000000001</v>
      </c>
      <c r="L413" s="185"/>
      <c r="M413" s="88"/>
      <c r="N413" s="89"/>
      <c r="O413" s="868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49"/>
      <c r="BD413" s="49"/>
      <c r="BE413" s="68"/>
    </row>
    <row r="414" spans="1:57" s="51" customFormat="1">
      <c r="A414" s="834"/>
      <c r="B414" s="868"/>
      <c r="C414" s="916"/>
      <c r="D414" s="62">
        <v>2024</v>
      </c>
      <c r="E414" s="63">
        <f t="shared" si="160"/>
        <v>2.6520000000000001</v>
      </c>
      <c r="F414" s="63">
        <f t="shared" si="161"/>
        <v>2.6520000000000001</v>
      </c>
      <c r="G414" s="63">
        <v>0</v>
      </c>
      <c r="H414" s="63">
        <v>0</v>
      </c>
      <c r="I414" s="63">
        <v>0</v>
      </c>
      <c r="J414" s="341">
        <v>0</v>
      </c>
      <c r="K414" s="86">
        <f t="shared" si="152"/>
        <v>2.6520000000000001</v>
      </c>
      <c r="L414" s="185"/>
      <c r="M414" s="88"/>
      <c r="N414" s="89"/>
      <c r="O414" s="868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68"/>
    </row>
    <row r="415" spans="1:57" s="51" customFormat="1">
      <c r="A415" s="93"/>
      <c r="B415" s="94"/>
      <c r="C415" s="999"/>
      <c r="D415" s="62">
        <v>2025</v>
      </c>
      <c r="E415" s="63">
        <f t="shared" si="160"/>
        <v>2.6520000000000001</v>
      </c>
      <c r="F415" s="63">
        <f t="shared" si="161"/>
        <v>2.6520000000000001</v>
      </c>
      <c r="G415" s="63">
        <v>0</v>
      </c>
      <c r="H415" s="63">
        <v>0</v>
      </c>
      <c r="I415" s="63">
        <v>0</v>
      </c>
      <c r="J415" s="341">
        <v>0</v>
      </c>
      <c r="K415" s="86">
        <f t="shared" si="152"/>
        <v>2.6520000000000001</v>
      </c>
      <c r="L415" s="185"/>
      <c r="M415" s="88"/>
      <c r="N415" s="89"/>
      <c r="O415" s="94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68"/>
    </row>
    <row r="416" spans="1:57" s="51" customFormat="1" ht="13.5" customHeight="1">
      <c r="A416" s="921" t="s">
        <v>652</v>
      </c>
      <c r="B416" s="867" t="s">
        <v>653</v>
      </c>
      <c r="C416" s="61"/>
      <c r="D416" s="84" t="s">
        <v>16</v>
      </c>
      <c r="E416" s="136">
        <f t="shared" ref="E416:J416" si="162">E417+E418</f>
        <v>15.196600000000002</v>
      </c>
      <c r="F416" s="136">
        <f t="shared" si="162"/>
        <v>0</v>
      </c>
      <c r="G416" s="136">
        <f t="shared" si="162"/>
        <v>4.9038000000000004</v>
      </c>
      <c r="H416" s="136">
        <f t="shared" si="162"/>
        <v>6.5728</v>
      </c>
      <c r="I416" s="136">
        <f t="shared" si="162"/>
        <v>0</v>
      </c>
      <c r="J416" s="136">
        <f t="shared" si="162"/>
        <v>3.72</v>
      </c>
      <c r="K416" s="86">
        <f t="shared" si="152"/>
        <v>15.196600000000002</v>
      </c>
      <c r="L416" s="99"/>
      <c r="M416" s="88"/>
      <c r="N416" s="89"/>
      <c r="O416" s="907" t="s">
        <v>654</v>
      </c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AU416" s="49"/>
      <c r="AV416" s="49"/>
      <c r="AW416" s="49"/>
      <c r="AX416" s="49"/>
      <c r="AY416" s="49"/>
      <c r="AZ416" s="49"/>
      <c r="BA416" s="49"/>
      <c r="BB416" s="49"/>
      <c r="BC416" s="49"/>
      <c r="BD416" s="49"/>
      <c r="BE416" s="68"/>
    </row>
    <row r="417" spans="1:57" s="51" customFormat="1" ht="25.5" customHeight="1">
      <c r="A417" s="921"/>
      <c r="B417" s="872"/>
      <c r="C417" s="867" t="s">
        <v>655</v>
      </c>
      <c r="D417" s="62">
        <v>2019</v>
      </c>
      <c r="E417" s="63">
        <f>F417+G417+H417+I417+J417</f>
        <v>7.5983000000000009</v>
      </c>
      <c r="F417" s="63">
        <v>0</v>
      </c>
      <c r="G417" s="341">
        <v>2.4519000000000002</v>
      </c>
      <c r="H417" s="63">
        <v>3.2864</v>
      </c>
      <c r="I417" s="341">
        <v>0</v>
      </c>
      <c r="J417" s="341">
        <v>1.86</v>
      </c>
      <c r="K417" s="86">
        <f t="shared" si="152"/>
        <v>7.5983000000000009</v>
      </c>
      <c r="L417" s="99"/>
      <c r="M417" s="88"/>
      <c r="N417" s="89"/>
      <c r="O417" s="908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  <c r="AT417" s="49"/>
      <c r="AU417" s="49"/>
      <c r="AV417" s="49"/>
      <c r="AW417" s="49"/>
      <c r="AX417" s="49"/>
      <c r="AY417" s="49"/>
      <c r="AZ417" s="49"/>
      <c r="BA417" s="49"/>
      <c r="BB417" s="49"/>
      <c r="BC417" s="49"/>
      <c r="BD417" s="49"/>
      <c r="BE417" s="68"/>
    </row>
    <row r="418" spans="1:57" s="51" customFormat="1" ht="24.75" customHeight="1">
      <c r="A418" s="921"/>
      <c r="B418" s="872"/>
      <c r="C418" s="873"/>
      <c r="D418" s="62">
        <v>2020</v>
      </c>
      <c r="E418" s="63">
        <f>F418+G418+H418+I418+J418</f>
        <v>7.5983000000000009</v>
      </c>
      <c r="F418" s="63">
        <v>0</v>
      </c>
      <c r="G418" s="341">
        <v>2.4519000000000002</v>
      </c>
      <c r="H418" s="63">
        <v>3.2864</v>
      </c>
      <c r="I418" s="341">
        <v>0</v>
      </c>
      <c r="J418" s="341">
        <v>1.86</v>
      </c>
      <c r="K418" s="86">
        <f t="shared" si="152"/>
        <v>7.5983000000000009</v>
      </c>
      <c r="L418" s="99"/>
      <c r="M418" s="88"/>
      <c r="N418" s="89"/>
      <c r="O418" s="90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  <c r="AT418" s="49"/>
      <c r="AU418" s="49"/>
      <c r="AV418" s="49"/>
      <c r="AW418" s="49"/>
      <c r="AX418" s="49"/>
      <c r="AY418" s="49"/>
      <c r="AZ418" s="49"/>
      <c r="BA418" s="49"/>
      <c r="BB418" s="49"/>
      <c r="BC418" s="49"/>
      <c r="BD418" s="49"/>
      <c r="BE418" s="68"/>
    </row>
    <row r="419" spans="1:57" s="51" customFormat="1" ht="22.5" customHeight="1">
      <c r="A419" s="189" t="s">
        <v>656</v>
      </c>
      <c r="B419" s="981" t="s">
        <v>657</v>
      </c>
      <c r="C419" s="94"/>
      <c r="D419" s="84" t="s">
        <v>16</v>
      </c>
      <c r="E419" s="85">
        <f t="shared" ref="E419:J419" si="163">E420+E421+E422+E423+E424+E425+E426</f>
        <v>0.2344</v>
      </c>
      <c r="F419" s="85">
        <f t="shared" si="163"/>
        <v>0.2344</v>
      </c>
      <c r="G419" s="85">
        <f t="shared" si="163"/>
        <v>0</v>
      </c>
      <c r="H419" s="85">
        <f t="shared" si="163"/>
        <v>0</v>
      </c>
      <c r="I419" s="85">
        <f t="shared" si="163"/>
        <v>0</v>
      </c>
      <c r="J419" s="85">
        <f t="shared" si="163"/>
        <v>0</v>
      </c>
      <c r="K419" s="86">
        <f t="shared" si="152"/>
        <v>0.2344</v>
      </c>
      <c r="L419" s="99"/>
      <c r="M419" s="88"/>
      <c r="N419" s="89"/>
      <c r="O419" s="907" t="s">
        <v>352</v>
      </c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  <c r="AT419" s="49"/>
      <c r="AU419" s="49"/>
      <c r="AV419" s="49"/>
      <c r="AW419" s="49"/>
      <c r="AX419" s="49"/>
      <c r="AY419" s="49"/>
      <c r="AZ419" s="49"/>
      <c r="BA419" s="49"/>
      <c r="BB419" s="49"/>
      <c r="BC419" s="49"/>
      <c r="BD419" s="49"/>
      <c r="BE419" s="68"/>
    </row>
    <row r="420" spans="1:57" s="202" customFormat="1" ht="12" customHeight="1">
      <c r="A420" s="342"/>
      <c r="B420" s="982"/>
      <c r="C420" s="343" t="s">
        <v>351</v>
      </c>
      <c r="D420" s="211">
        <v>2019</v>
      </c>
      <c r="E420" s="212">
        <f t="shared" ref="E420:E426" si="164">F420+G420+H420+I420+J420</f>
        <v>3.5000000000000003E-2</v>
      </c>
      <c r="F420" s="212">
        <v>3.5000000000000003E-2</v>
      </c>
      <c r="G420" s="344">
        <v>0</v>
      </c>
      <c r="H420" s="212">
        <v>0</v>
      </c>
      <c r="I420" s="339">
        <v>0</v>
      </c>
      <c r="J420" s="339">
        <v>0</v>
      </c>
      <c r="K420" s="120">
        <f t="shared" si="152"/>
        <v>3.5000000000000003E-2</v>
      </c>
      <c r="L420" s="120"/>
      <c r="M420" s="206"/>
      <c r="N420" s="263"/>
      <c r="O420" s="908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  <c r="AB420" s="207"/>
      <c r="AC420" s="207"/>
      <c r="AD420" s="207"/>
      <c r="AE420" s="207"/>
      <c r="AF420" s="207"/>
      <c r="AG420" s="207"/>
      <c r="AH420" s="207"/>
      <c r="AI420" s="207"/>
      <c r="AJ420" s="207"/>
      <c r="AK420" s="207"/>
      <c r="AL420" s="207"/>
      <c r="AM420" s="207"/>
      <c r="AN420" s="207"/>
      <c r="AO420" s="207"/>
      <c r="AP420" s="207"/>
      <c r="AQ420" s="207"/>
      <c r="AR420" s="207"/>
      <c r="AS420" s="207"/>
      <c r="AT420" s="207"/>
      <c r="AU420" s="207"/>
      <c r="AV420" s="207"/>
      <c r="AW420" s="207"/>
      <c r="AX420" s="207"/>
      <c r="AY420" s="207"/>
      <c r="AZ420" s="207"/>
      <c r="BA420" s="207"/>
      <c r="BB420" s="207"/>
      <c r="BC420" s="207"/>
      <c r="BD420" s="207"/>
      <c r="BE420" s="208"/>
    </row>
    <row r="421" spans="1:57" s="202" customFormat="1">
      <c r="A421" s="342"/>
      <c r="B421" s="982"/>
      <c r="C421" s="870" t="s">
        <v>560</v>
      </c>
      <c r="D421" s="211">
        <v>2020</v>
      </c>
      <c r="E421" s="212">
        <f t="shared" si="164"/>
        <v>2.7E-2</v>
      </c>
      <c r="F421" s="212">
        <v>2.7E-2</v>
      </c>
      <c r="G421" s="344">
        <v>0</v>
      </c>
      <c r="H421" s="212">
        <v>0</v>
      </c>
      <c r="I421" s="339">
        <v>0</v>
      </c>
      <c r="J421" s="339">
        <v>0</v>
      </c>
      <c r="K421" s="120">
        <f t="shared" si="152"/>
        <v>2.7E-2</v>
      </c>
      <c r="L421" s="120"/>
      <c r="M421" s="206"/>
      <c r="N421" s="263"/>
      <c r="O421" s="908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  <c r="AB421" s="207"/>
      <c r="AC421" s="207"/>
      <c r="AD421" s="207"/>
      <c r="AE421" s="207"/>
      <c r="AF421" s="207"/>
      <c r="AG421" s="207"/>
      <c r="AH421" s="207"/>
      <c r="AI421" s="207"/>
      <c r="AJ421" s="207"/>
      <c r="AK421" s="207"/>
      <c r="AL421" s="207"/>
      <c r="AM421" s="207"/>
      <c r="AN421" s="207"/>
      <c r="AO421" s="207"/>
      <c r="AP421" s="207"/>
      <c r="AQ421" s="207"/>
      <c r="AR421" s="207"/>
      <c r="AS421" s="207"/>
      <c r="AT421" s="207"/>
      <c r="AU421" s="207"/>
      <c r="AV421" s="207"/>
      <c r="AW421" s="207"/>
      <c r="AX421" s="207"/>
      <c r="AY421" s="207"/>
      <c r="AZ421" s="207"/>
      <c r="BA421" s="207"/>
      <c r="BB421" s="207"/>
      <c r="BC421" s="207"/>
      <c r="BD421" s="207"/>
      <c r="BE421" s="208"/>
    </row>
    <row r="422" spans="1:57" s="202" customFormat="1">
      <c r="A422" s="342"/>
      <c r="B422" s="982"/>
      <c r="C422" s="870"/>
      <c r="D422" s="211">
        <v>2021</v>
      </c>
      <c r="E422" s="212">
        <f t="shared" si="164"/>
        <v>2.8000000000000001E-2</v>
      </c>
      <c r="F422" s="212">
        <v>2.8000000000000001E-2</v>
      </c>
      <c r="G422" s="339">
        <v>0</v>
      </c>
      <c r="H422" s="212">
        <v>0</v>
      </c>
      <c r="I422" s="339">
        <v>0</v>
      </c>
      <c r="J422" s="339">
        <v>0</v>
      </c>
      <c r="K422" s="120">
        <f t="shared" si="152"/>
        <v>2.8000000000000001E-2</v>
      </c>
      <c r="L422" s="120"/>
      <c r="M422" s="206"/>
      <c r="N422" s="263"/>
      <c r="O422" s="909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  <c r="AB422" s="207"/>
      <c r="AC422" s="207"/>
      <c r="AD422" s="207"/>
      <c r="AE422" s="207"/>
      <c r="AF422" s="207"/>
      <c r="AG422" s="207"/>
      <c r="AH422" s="207"/>
      <c r="AI422" s="207"/>
      <c r="AJ422" s="207"/>
      <c r="AK422" s="207"/>
      <c r="AL422" s="207"/>
      <c r="AM422" s="207"/>
      <c r="AN422" s="207"/>
      <c r="AO422" s="207"/>
      <c r="AP422" s="207"/>
      <c r="AQ422" s="207"/>
      <c r="AR422" s="207"/>
      <c r="AS422" s="207"/>
      <c r="AT422" s="207"/>
      <c r="AU422" s="207"/>
      <c r="AV422" s="207"/>
      <c r="AW422" s="207"/>
      <c r="AX422" s="207"/>
      <c r="AY422" s="207"/>
      <c r="AZ422" s="207"/>
      <c r="BA422" s="207"/>
      <c r="BB422" s="207"/>
      <c r="BC422" s="207"/>
      <c r="BD422" s="207"/>
      <c r="BE422" s="208"/>
    </row>
    <row r="423" spans="1:57" s="202" customFormat="1">
      <c r="A423" s="342"/>
      <c r="B423" s="982"/>
      <c r="C423" s="870"/>
      <c r="D423" s="211">
        <v>2022</v>
      </c>
      <c r="E423" s="212">
        <f t="shared" si="164"/>
        <v>2.8000000000000001E-2</v>
      </c>
      <c r="F423" s="212">
        <v>2.8000000000000001E-2</v>
      </c>
      <c r="G423" s="339">
        <v>0</v>
      </c>
      <c r="H423" s="212">
        <v>0</v>
      </c>
      <c r="I423" s="339">
        <v>0</v>
      </c>
      <c r="J423" s="339">
        <v>0</v>
      </c>
      <c r="K423" s="120">
        <f t="shared" si="152"/>
        <v>2.8000000000000001E-2</v>
      </c>
      <c r="L423" s="120"/>
      <c r="M423" s="206"/>
      <c r="N423" s="263"/>
      <c r="O423" s="345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  <c r="AB423" s="207"/>
      <c r="AC423" s="207"/>
      <c r="AD423" s="207"/>
      <c r="AE423" s="207"/>
      <c r="AF423" s="207"/>
      <c r="AG423" s="207"/>
      <c r="AH423" s="207"/>
      <c r="AI423" s="207"/>
      <c r="AJ423" s="207"/>
      <c r="AK423" s="207"/>
      <c r="AL423" s="207"/>
      <c r="AM423" s="207"/>
      <c r="AN423" s="207"/>
      <c r="AO423" s="207"/>
      <c r="AP423" s="207"/>
      <c r="AQ423" s="207"/>
      <c r="AR423" s="207"/>
      <c r="AS423" s="207"/>
      <c r="AT423" s="207"/>
      <c r="AU423" s="207"/>
      <c r="AV423" s="207"/>
      <c r="AW423" s="207"/>
      <c r="AX423" s="207"/>
      <c r="AY423" s="207"/>
      <c r="AZ423" s="207"/>
      <c r="BA423" s="207"/>
      <c r="BB423" s="207"/>
      <c r="BC423" s="207"/>
      <c r="BD423" s="207"/>
      <c r="BE423" s="208"/>
    </row>
    <row r="424" spans="1:57" s="51" customFormat="1">
      <c r="A424" s="346"/>
      <c r="B424" s="982"/>
      <c r="C424" s="870"/>
      <c r="D424" s="62">
        <v>2023</v>
      </c>
      <c r="E424" s="63">
        <f t="shared" si="164"/>
        <v>3.73E-2</v>
      </c>
      <c r="F424" s="63">
        <v>3.73E-2</v>
      </c>
      <c r="G424" s="341">
        <v>0</v>
      </c>
      <c r="H424" s="63">
        <v>0</v>
      </c>
      <c r="I424" s="341">
        <v>0</v>
      </c>
      <c r="J424" s="341">
        <v>0</v>
      </c>
      <c r="K424" s="86">
        <f t="shared" si="152"/>
        <v>3.73E-2</v>
      </c>
      <c r="L424" s="99"/>
      <c r="M424" s="88"/>
      <c r="N424" s="89"/>
      <c r="O424" s="157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68"/>
    </row>
    <row r="425" spans="1:57" s="51" customFormat="1">
      <c r="A425" s="346"/>
      <c r="B425" s="982"/>
      <c r="C425" s="870"/>
      <c r="D425" s="62">
        <v>2024</v>
      </c>
      <c r="E425" s="63">
        <f t="shared" si="164"/>
        <v>3.8800000000000001E-2</v>
      </c>
      <c r="F425" s="63">
        <v>3.8800000000000001E-2</v>
      </c>
      <c r="G425" s="341">
        <v>0</v>
      </c>
      <c r="H425" s="63">
        <v>0</v>
      </c>
      <c r="I425" s="341">
        <v>0</v>
      </c>
      <c r="J425" s="341">
        <v>0</v>
      </c>
      <c r="K425" s="86">
        <f t="shared" si="152"/>
        <v>3.8800000000000001E-2</v>
      </c>
      <c r="L425" s="99"/>
      <c r="M425" s="88"/>
      <c r="N425" s="89"/>
      <c r="O425" s="157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68"/>
    </row>
    <row r="426" spans="1:57" s="51" customFormat="1">
      <c r="A426" s="346"/>
      <c r="B426" s="994"/>
      <c r="C426" s="870"/>
      <c r="D426" s="62">
        <v>2025</v>
      </c>
      <c r="E426" s="63">
        <f t="shared" si="164"/>
        <v>4.0300000000000002E-2</v>
      </c>
      <c r="F426" s="63">
        <v>4.0300000000000002E-2</v>
      </c>
      <c r="G426" s="341">
        <v>0</v>
      </c>
      <c r="H426" s="63">
        <v>0</v>
      </c>
      <c r="I426" s="341">
        <v>0</v>
      </c>
      <c r="J426" s="341">
        <v>0</v>
      </c>
      <c r="K426" s="86">
        <f t="shared" si="152"/>
        <v>4.0300000000000002E-2</v>
      </c>
      <c r="L426" s="99"/>
      <c r="M426" s="88"/>
      <c r="N426" s="89"/>
      <c r="O426" s="157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68"/>
    </row>
    <row r="427" spans="1:57" s="51" customFormat="1">
      <c r="A427" s="955">
        <v>7</v>
      </c>
      <c r="B427" s="929" t="s">
        <v>658</v>
      </c>
      <c r="C427" s="987"/>
      <c r="D427" s="84" t="s">
        <v>16</v>
      </c>
      <c r="E427" s="85">
        <f t="shared" ref="E427:J439" si="165">E440</f>
        <v>8.2785999999999991</v>
      </c>
      <c r="F427" s="85">
        <f t="shared" si="165"/>
        <v>8.2785999999999991</v>
      </c>
      <c r="G427" s="85">
        <f t="shared" si="165"/>
        <v>0</v>
      </c>
      <c r="H427" s="85">
        <f t="shared" si="165"/>
        <v>0</v>
      </c>
      <c r="I427" s="85">
        <f t="shared" si="165"/>
        <v>0</v>
      </c>
      <c r="J427" s="85">
        <f t="shared" si="165"/>
        <v>0</v>
      </c>
      <c r="K427" s="86">
        <f t="shared" si="152"/>
        <v>8.2785999999999991</v>
      </c>
      <c r="L427" s="99"/>
      <c r="M427" s="88"/>
      <c r="N427" s="89"/>
      <c r="O427" s="157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68"/>
    </row>
    <row r="428" spans="1:57" s="51" customFormat="1">
      <c r="A428" s="834"/>
      <c r="B428" s="868"/>
      <c r="C428" s="868"/>
      <c r="D428" s="84">
        <v>2019</v>
      </c>
      <c r="E428" s="85">
        <f t="shared" si="165"/>
        <v>6.7699999999999996E-2</v>
      </c>
      <c r="F428" s="85">
        <f t="shared" si="165"/>
        <v>6.7699999999999996E-2</v>
      </c>
      <c r="G428" s="85">
        <f t="shared" si="165"/>
        <v>0</v>
      </c>
      <c r="H428" s="85">
        <f t="shared" si="165"/>
        <v>0</v>
      </c>
      <c r="I428" s="85">
        <f t="shared" si="165"/>
        <v>0</v>
      </c>
      <c r="J428" s="85">
        <f t="shared" si="165"/>
        <v>0</v>
      </c>
      <c r="K428" s="86">
        <f t="shared" si="152"/>
        <v>6.7699999999999996E-2</v>
      </c>
      <c r="L428" s="99"/>
      <c r="M428" s="88"/>
      <c r="N428" s="89"/>
      <c r="O428" s="157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68"/>
    </row>
    <row r="429" spans="1:57" s="202" customFormat="1">
      <c r="A429" s="834"/>
      <c r="B429" s="868"/>
      <c r="C429" s="868"/>
      <c r="D429" s="204">
        <v>2020</v>
      </c>
      <c r="E429" s="205">
        <f t="shared" si="165"/>
        <v>0.61060000000000003</v>
      </c>
      <c r="F429" s="205">
        <f t="shared" si="165"/>
        <v>0.61060000000000003</v>
      </c>
      <c r="G429" s="205">
        <f t="shared" si="165"/>
        <v>0</v>
      </c>
      <c r="H429" s="205">
        <f t="shared" si="165"/>
        <v>0</v>
      </c>
      <c r="I429" s="205">
        <f t="shared" si="165"/>
        <v>0</v>
      </c>
      <c r="J429" s="205">
        <f t="shared" si="165"/>
        <v>0</v>
      </c>
      <c r="K429" s="120">
        <f t="shared" si="152"/>
        <v>0.61060000000000003</v>
      </c>
      <c r="L429" s="120"/>
      <c r="M429" s="206"/>
      <c r="N429" s="263"/>
      <c r="O429" s="345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  <c r="AS429" s="207"/>
      <c r="AT429" s="207"/>
      <c r="AU429" s="207"/>
      <c r="AV429" s="207"/>
      <c r="AW429" s="207"/>
      <c r="AX429" s="207"/>
      <c r="AY429" s="207"/>
      <c r="AZ429" s="207"/>
      <c r="BA429" s="207"/>
      <c r="BB429" s="207"/>
      <c r="BC429" s="207"/>
      <c r="BD429" s="207"/>
      <c r="BE429" s="208"/>
    </row>
    <row r="430" spans="1:57" s="202" customFormat="1">
      <c r="A430" s="834"/>
      <c r="B430" s="868"/>
      <c r="C430" s="868"/>
      <c r="D430" s="204">
        <v>2021</v>
      </c>
      <c r="E430" s="205">
        <f t="shared" si="165"/>
        <v>0.59160000000000001</v>
      </c>
      <c r="F430" s="205">
        <f t="shared" si="165"/>
        <v>0.59160000000000001</v>
      </c>
      <c r="G430" s="205">
        <f t="shared" si="165"/>
        <v>0</v>
      </c>
      <c r="H430" s="205">
        <f t="shared" si="165"/>
        <v>0</v>
      </c>
      <c r="I430" s="205">
        <f t="shared" si="165"/>
        <v>0</v>
      </c>
      <c r="J430" s="205">
        <f t="shared" si="165"/>
        <v>0</v>
      </c>
      <c r="K430" s="120">
        <f t="shared" si="152"/>
        <v>0.59160000000000001</v>
      </c>
      <c r="L430" s="120"/>
      <c r="M430" s="206"/>
      <c r="N430" s="263"/>
      <c r="O430" s="345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7"/>
      <c r="BB430" s="207"/>
      <c r="BC430" s="207"/>
      <c r="BD430" s="207"/>
      <c r="BE430" s="208"/>
    </row>
    <row r="431" spans="1:57" s="202" customFormat="1">
      <c r="A431" s="834"/>
      <c r="B431" s="868"/>
      <c r="C431" s="868"/>
      <c r="D431" s="204">
        <v>2022</v>
      </c>
      <c r="E431" s="205">
        <f t="shared" si="165"/>
        <v>0.58599999999999997</v>
      </c>
      <c r="F431" s="205">
        <f t="shared" si="165"/>
        <v>0.58599999999999997</v>
      </c>
      <c r="G431" s="205">
        <f t="shared" si="165"/>
        <v>0</v>
      </c>
      <c r="H431" s="205">
        <f t="shared" si="165"/>
        <v>0</v>
      </c>
      <c r="I431" s="205">
        <f t="shared" si="165"/>
        <v>0</v>
      </c>
      <c r="J431" s="205">
        <f t="shared" si="165"/>
        <v>0</v>
      </c>
      <c r="K431" s="120">
        <f t="shared" si="152"/>
        <v>0.58599999999999997</v>
      </c>
      <c r="L431" s="120"/>
      <c r="M431" s="206"/>
      <c r="N431" s="263"/>
      <c r="O431" s="345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  <c r="AB431" s="207"/>
      <c r="AC431" s="207"/>
      <c r="AD431" s="207"/>
      <c r="AE431" s="207"/>
      <c r="AF431" s="207"/>
      <c r="AG431" s="207"/>
      <c r="AH431" s="207"/>
      <c r="AI431" s="207"/>
      <c r="AJ431" s="207"/>
      <c r="AK431" s="207"/>
      <c r="AL431" s="207"/>
      <c r="AM431" s="207"/>
      <c r="AN431" s="207"/>
      <c r="AO431" s="207"/>
      <c r="AP431" s="207"/>
      <c r="AQ431" s="207"/>
      <c r="AR431" s="207"/>
      <c r="AS431" s="207"/>
      <c r="AT431" s="207"/>
      <c r="AU431" s="207"/>
      <c r="AV431" s="207"/>
      <c r="AW431" s="207"/>
      <c r="AX431" s="207"/>
      <c r="AY431" s="207"/>
      <c r="AZ431" s="207"/>
      <c r="BA431" s="207"/>
      <c r="BB431" s="207"/>
      <c r="BC431" s="207"/>
      <c r="BD431" s="207"/>
      <c r="BE431" s="208"/>
    </row>
    <row r="432" spans="1:57" s="51" customFormat="1">
      <c r="A432" s="834"/>
      <c r="B432" s="868"/>
      <c r="C432" s="868"/>
      <c r="D432" s="84">
        <v>2023</v>
      </c>
      <c r="E432" s="85">
        <f t="shared" si="165"/>
        <v>1.5003</v>
      </c>
      <c r="F432" s="85">
        <f t="shared" si="165"/>
        <v>1.5003</v>
      </c>
      <c r="G432" s="85">
        <f t="shared" si="165"/>
        <v>0</v>
      </c>
      <c r="H432" s="85">
        <f t="shared" si="165"/>
        <v>0</v>
      </c>
      <c r="I432" s="85">
        <f t="shared" si="165"/>
        <v>0</v>
      </c>
      <c r="J432" s="85">
        <f t="shared" si="165"/>
        <v>0</v>
      </c>
      <c r="K432" s="86">
        <f t="shared" si="152"/>
        <v>1.5003</v>
      </c>
      <c r="L432" s="99"/>
      <c r="M432" s="88"/>
      <c r="N432" s="89"/>
      <c r="O432" s="157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49"/>
      <c r="BC432" s="49"/>
      <c r="BD432" s="49"/>
      <c r="BE432" s="68"/>
    </row>
    <row r="433" spans="1:57" s="51" customFormat="1">
      <c r="A433" s="834"/>
      <c r="B433" s="868"/>
      <c r="C433" s="868"/>
      <c r="D433" s="84">
        <v>2024</v>
      </c>
      <c r="E433" s="85">
        <f t="shared" si="165"/>
        <v>0.54079999999999995</v>
      </c>
      <c r="F433" s="85">
        <f t="shared" si="165"/>
        <v>0.54079999999999995</v>
      </c>
      <c r="G433" s="85">
        <f t="shared" si="165"/>
        <v>0</v>
      </c>
      <c r="H433" s="85">
        <f t="shared" si="165"/>
        <v>0</v>
      </c>
      <c r="I433" s="85">
        <f t="shared" si="165"/>
        <v>0</v>
      </c>
      <c r="J433" s="85">
        <f t="shared" si="165"/>
        <v>0</v>
      </c>
      <c r="K433" s="86">
        <f t="shared" si="152"/>
        <v>0.54079999999999995</v>
      </c>
      <c r="L433" s="99"/>
      <c r="M433" s="88"/>
      <c r="N433" s="89"/>
      <c r="O433" s="157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49"/>
      <c r="BC433" s="49"/>
      <c r="BD433" s="49"/>
      <c r="BE433" s="68"/>
    </row>
    <row r="434" spans="1:57" s="51" customFormat="1">
      <c r="A434" s="834"/>
      <c r="B434" s="868"/>
      <c r="C434" s="868"/>
      <c r="D434" s="84">
        <v>2025</v>
      </c>
      <c r="E434" s="85">
        <f t="shared" si="165"/>
        <v>0.3992</v>
      </c>
      <c r="F434" s="85">
        <f t="shared" si="165"/>
        <v>0.3992</v>
      </c>
      <c r="G434" s="85">
        <f t="shared" si="165"/>
        <v>0</v>
      </c>
      <c r="H434" s="85">
        <f t="shared" si="165"/>
        <v>0</v>
      </c>
      <c r="I434" s="85">
        <f t="shared" si="165"/>
        <v>0</v>
      </c>
      <c r="J434" s="85">
        <f t="shared" si="165"/>
        <v>0</v>
      </c>
      <c r="K434" s="86">
        <f t="shared" si="152"/>
        <v>0.3992</v>
      </c>
      <c r="L434" s="99"/>
      <c r="M434" s="88"/>
      <c r="N434" s="89"/>
      <c r="O434" s="157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49"/>
      <c r="BC434" s="49"/>
      <c r="BD434" s="49"/>
      <c r="BE434" s="68"/>
    </row>
    <row r="435" spans="1:57" s="51" customFormat="1">
      <c r="A435" s="834"/>
      <c r="B435" s="868"/>
      <c r="C435" s="868"/>
      <c r="D435" s="84">
        <v>2026</v>
      </c>
      <c r="E435" s="85">
        <f t="shared" si="165"/>
        <v>0.63500000000000001</v>
      </c>
      <c r="F435" s="85">
        <f t="shared" si="165"/>
        <v>0.63500000000000001</v>
      </c>
      <c r="G435" s="85">
        <f t="shared" si="165"/>
        <v>0</v>
      </c>
      <c r="H435" s="85">
        <f t="shared" si="165"/>
        <v>0</v>
      </c>
      <c r="I435" s="85">
        <f t="shared" si="165"/>
        <v>0</v>
      </c>
      <c r="J435" s="85">
        <f t="shared" si="165"/>
        <v>0</v>
      </c>
      <c r="K435" s="86">
        <f t="shared" si="152"/>
        <v>0.63500000000000001</v>
      </c>
      <c r="L435" s="99"/>
      <c r="M435" s="88"/>
      <c r="N435" s="89"/>
      <c r="O435" s="157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49"/>
      <c r="BC435" s="49"/>
      <c r="BD435" s="49"/>
      <c r="BE435" s="68"/>
    </row>
    <row r="436" spans="1:57" s="51" customFormat="1">
      <c r="A436" s="834"/>
      <c r="B436" s="868"/>
      <c r="C436" s="868"/>
      <c r="D436" s="84">
        <v>2027</v>
      </c>
      <c r="E436" s="85">
        <f t="shared" si="165"/>
        <v>0.61529999999999996</v>
      </c>
      <c r="F436" s="85">
        <f t="shared" si="165"/>
        <v>0.61529999999999996</v>
      </c>
      <c r="G436" s="85">
        <f t="shared" si="165"/>
        <v>0</v>
      </c>
      <c r="H436" s="85">
        <f t="shared" si="165"/>
        <v>0</v>
      </c>
      <c r="I436" s="85">
        <f t="shared" si="165"/>
        <v>0</v>
      </c>
      <c r="J436" s="85">
        <f t="shared" si="165"/>
        <v>0</v>
      </c>
      <c r="K436" s="86">
        <f t="shared" si="152"/>
        <v>0.61529999999999996</v>
      </c>
      <c r="L436" s="99"/>
      <c r="M436" s="88"/>
      <c r="N436" s="89"/>
      <c r="O436" s="157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49"/>
      <c r="BC436" s="49"/>
      <c r="BD436" s="49"/>
      <c r="BE436" s="68"/>
    </row>
    <row r="437" spans="1:57" s="51" customFormat="1">
      <c r="A437" s="834"/>
      <c r="B437" s="868"/>
      <c r="C437" s="868"/>
      <c r="D437" s="84">
        <v>2028</v>
      </c>
      <c r="E437" s="85">
        <f t="shared" si="165"/>
        <v>0.60940000000000005</v>
      </c>
      <c r="F437" s="85">
        <f t="shared" si="165"/>
        <v>0.60940000000000005</v>
      </c>
      <c r="G437" s="85">
        <f t="shared" si="165"/>
        <v>0</v>
      </c>
      <c r="H437" s="85">
        <f t="shared" si="165"/>
        <v>0</v>
      </c>
      <c r="I437" s="85">
        <f t="shared" si="165"/>
        <v>0</v>
      </c>
      <c r="J437" s="85">
        <f t="shared" si="165"/>
        <v>0</v>
      </c>
      <c r="K437" s="86">
        <f t="shared" si="152"/>
        <v>0.60940000000000005</v>
      </c>
      <c r="L437" s="99"/>
      <c r="M437" s="88"/>
      <c r="N437" s="89"/>
      <c r="O437" s="157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49"/>
      <c r="BC437" s="49"/>
      <c r="BD437" s="49"/>
      <c r="BE437" s="68"/>
    </row>
    <row r="438" spans="1:57" s="51" customFormat="1">
      <c r="A438" s="834"/>
      <c r="B438" s="868"/>
      <c r="C438" s="868"/>
      <c r="D438" s="84">
        <v>2029</v>
      </c>
      <c r="E438" s="85">
        <f t="shared" si="165"/>
        <v>1.5603</v>
      </c>
      <c r="F438" s="85">
        <f t="shared" si="165"/>
        <v>1.5603</v>
      </c>
      <c r="G438" s="85">
        <f t="shared" si="165"/>
        <v>0</v>
      </c>
      <c r="H438" s="85">
        <f t="shared" si="165"/>
        <v>0</v>
      </c>
      <c r="I438" s="85">
        <f t="shared" si="165"/>
        <v>0</v>
      </c>
      <c r="J438" s="85">
        <f t="shared" si="165"/>
        <v>0</v>
      </c>
      <c r="K438" s="86">
        <f t="shared" si="152"/>
        <v>1.5603</v>
      </c>
      <c r="L438" s="99"/>
      <c r="M438" s="88"/>
      <c r="N438" s="89"/>
      <c r="O438" s="157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68"/>
    </row>
    <row r="439" spans="1:57" s="51" customFormat="1">
      <c r="A439" s="835"/>
      <c r="B439" s="869"/>
      <c r="C439" s="869"/>
      <c r="D439" s="84">
        <v>2030</v>
      </c>
      <c r="E439" s="85">
        <f t="shared" si="165"/>
        <v>0.56240000000000001</v>
      </c>
      <c r="F439" s="85">
        <f t="shared" si="165"/>
        <v>0.56240000000000001</v>
      </c>
      <c r="G439" s="85">
        <f t="shared" si="165"/>
        <v>0</v>
      </c>
      <c r="H439" s="85">
        <f t="shared" si="165"/>
        <v>0</v>
      </c>
      <c r="I439" s="85">
        <f t="shared" si="165"/>
        <v>0</v>
      </c>
      <c r="J439" s="85">
        <f t="shared" si="165"/>
        <v>0</v>
      </c>
      <c r="K439" s="86">
        <f t="shared" si="152"/>
        <v>0.56240000000000001</v>
      </c>
      <c r="L439" s="99"/>
      <c r="M439" s="88"/>
      <c r="N439" s="89"/>
      <c r="O439" s="157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49"/>
      <c r="BC439" s="49"/>
      <c r="BD439" s="49"/>
      <c r="BE439" s="68"/>
    </row>
    <row r="440" spans="1:57" s="51" customFormat="1" ht="12.75" customHeight="1">
      <c r="A440" s="900" t="s">
        <v>659</v>
      </c>
      <c r="B440" s="867" t="s">
        <v>660</v>
      </c>
      <c r="C440" s="96"/>
      <c r="D440" s="84" t="s">
        <v>16</v>
      </c>
      <c r="E440" s="85">
        <f t="shared" ref="E440:J440" si="166">SUM(E441:E452)</f>
        <v>8.2785999999999991</v>
      </c>
      <c r="F440" s="85">
        <f t="shared" si="166"/>
        <v>8.2785999999999991</v>
      </c>
      <c r="G440" s="85">
        <f t="shared" si="166"/>
        <v>0</v>
      </c>
      <c r="H440" s="85">
        <f t="shared" si="166"/>
        <v>0</v>
      </c>
      <c r="I440" s="85">
        <f t="shared" si="166"/>
        <v>0</v>
      </c>
      <c r="J440" s="85">
        <f t="shared" si="166"/>
        <v>0</v>
      </c>
      <c r="K440" s="86">
        <f t="shared" si="152"/>
        <v>8.2785999999999991</v>
      </c>
      <c r="L440" s="99"/>
      <c r="M440" s="88"/>
      <c r="N440" s="89"/>
      <c r="O440" s="858" t="s">
        <v>527</v>
      </c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49"/>
      <c r="BC440" s="49"/>
      <c r="BD440" s="49"/>
      <c r="BE440" s="68"/>
    </row>
    <row r="441" spans="1:57" s="202" customFormat="1" ht="20.25" customHeight="1">
      <c r="A441" s="834"/>
      <c r="B441" s="872"/>
      <c r="C441" s="343" t="s">
        <v>526</v>
      </c>
      <c r="D441" s="211">
        <v>2019</v>
      </c>
      <c r="E441" s="212">
        <f t="shared" ref="E441:E452" si="167">F441+G441+H441+I441+J441</f>
        <v>6.7699999999999996E-2</v>
      </c>
      <c r="F441" s="212">
        <v>6.7699999999999996E-2</v>
      </c>
      <c r="G441" s="344">
        <v>0</v>
      </c>
      <c r="H441" s="212">
        <v>0</v>
      </c>
      <c r="I441" s="339">
        <v>0</v>
      </c>
      <c r="J441" s="339">
        <v>0</v>
      </c>
      <c r="K441" s="120">
        <f t="shared" si="152"/>
        <v>6.7699999999999996E-2</v>
      </c>
      <c r="L441" s="120"/>
      <c r="M441" s="206"/>
      <c r="N441" s="263"/>
      <c r="O441" s="868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  <c r="AB441" s="207"/>
      <c r="AC441" s="207"/>
      <c r="AD441" s="207"/>
      <c r="AE441" s="207"/>
      <c r="AF441" s="207"/>
      <c r="AG441" s="207"/>
      <c r="AH441" s="207"/>
      <c r="AI441" s="207"/>
      <c r="AJ441" s="207"/>
      <c r="AK441" s="207"/>
      <c r="AL441" s="207"/>
      <c r="AM441" s="207"/>
      <c r="AN441" s="207"/>
      <c r="AO441" s="207"/>
      <c r="AP441" s="207"/>
      <c r="AQ441" s="207"/>
      <c r="AR441" s="207"/>
      <c r="AS441" s="207"/>
      <c r="AT441" s="207"/>
      <c r="AU441" s="207"/>
      <c r="AV441" s="207"/>
      <c r="AW441" s="207"/>
      <c r="AX441" s="207"/>
      <c r="AY441" s="207"/>
      <c r="AZ441" s="207"/>
      <c r="BA441" s="207"/>
      <c r="BB441" s="207"/>
      <c r="BC441" s="207"/>
      <c r="BD441" s="207"/>
      <c r="BE441" s="208"/>
    </row>
    <row r="442" spans="1:57" s="202" customFormat="1">
      <c r="A442" s="834"/>
      <c r="B442" s="872"/>
      <c r="C442" s="867" t="s">
        <v>661</v>
      </c>
      <c r="D442" s="211">
        <v>2020</v>
      </c>
      <c r="E442" s="212">
        <f t="shared" si="167"/>
        <v>0.61060000000000003</v>
      </c>
      <c r="F442" s="212">
        <v>0.61060000000000003</v>
      </c>
      <c r="G442" s="344">
        <v>0</v>
      </c>
      <c r="H442" s="212">
        <v>0</v>
      </c>
      <c r="I442" s="339">
        <v>0</v>
      </c>
      <c r="J442" s="339">
        <v>0</v>
      </c>
      <c r="K442" s="120">
        <f t="shared" si="152"/>
        <v>0.61060000000000003</v>
      </c>
      <c r="L442" s="120"/>
      <c r="M442" s="206"/>
      <c r="N442" s="263"/>
      <c r="O442" s="868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  <c r="AB442" s="207"/>
      <c r="AC442" s="207"/>
      <c r="AD442" s="207"/>
      <c r="AE442" s="207"/>
      <c r="AF442" s="207"/>
      <c r="AG442" s="207"/>
      <c r="AH442" s="207"/>
      <c r="AI442" s="207"/>
      <c r="AJ442" s="207"/>
      <c r="AK442" s="207"/>
      <c r="AL442" s="207"/>
      <c r="AM442" s="207"/>
      <c r="AN442" s="207"/>
      <c r="AO442" s="207"/>
      <c r="AP442" s="207"/>
      <c r="AQ442" s="207"/>
      <c r="AR442" s="207"/>
      <c r="AS442" s="207"/>
      <c r="AT442" s="207"/>
      <c r="AU442" s="207"/>
      <c r="AV442" s="207"/>
      <c r="AW442" s="207"/>
      <c r="AX442" s="207"/>
      <c r="AY442" s="207"/>
      <c r="AZ442" s="207"/>
      <c r="BA442" s="207"/>
      <c r="BB442" s="207"/>
      <c r="BC442" s="207"/>
      <c r="BD442" s="207"/>
      <c r="BE442" s="208"/>
    </row>
    <row r="443" spans="1:57" s="202" customFormat="1" ht="12.75" customHeight="1">
      <c r="A443" s="834"/>
      <c r="B443" s="872"/>
      <c r="C443" s="872"/>
      <c r="D443" s="211">
        <v>2021</v>
      </c>
      <c r="E443" s="212">
        <f t="shared" si="167"/>
        <v>0.59160000000000001</v>
      </c>
      <c r="F443" s="212">
        <v>0.59160000000000001</v>
      </c>
      <c r="G443" s="344">
        <v>0</v>
      </c>
      <c r="H443" s="212">
        <v>0</v>
      </c>
      <c r="I443" s="339">
        <v>0</v>
      </c>
      <c r="J443" s="339">
        <v>0</v>
      </c>
      <c r="K443" s="120">
        <f t="shared" si="152"/>
        <v>0.59160000000000001</v>
      </c>
      <c r="L443" s="120"/>
      <c r="M443" s="206"/>
      <c r="N443" s="263"/>
      <c r="O443" s="868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  <c r="AB443" s="207"/>
      <c r="AC443" s="207"/>
      <c r="AD443" s="207"/>
      <c r="AE443" s="207"/>
      <c r="AF443" s="207"/>
      <c r="AG443" s="207"/>
      <c r="AH443" s="207"/>
      <c r="AI443" s="207"/>
      <c r="AJ443" s="207"/>
      <c r="AK443" s="207"/>
      <c r="AL443" s="207"/>
      <c r="AM443" s="207"/>
      <c r="AN443" s="207"/>
      <c r="AO443" s="207"/>
      <c r="AP443" s="207"/>
      <c r="AQ443" s="207"/>
      <c r="AR443" s="207"/>
      <c r="AS443" s="207"/>
      <c r="AT443" s="207"/>
      <c r="AU443" s="207"/>
      <c r="AV443" s="207"/>
      <c r="AW443" s="207"/>
      <c r="AX443" s="207"/>
      <c r="AY443" s="207"/>
      <c r="AZ443" s="207"/>
      <c r="BA443" s="207"/>
      <c r="BB443" s="207"/>
      <c r="BC443" s="207"/>
      <c r="BD443" s="207"/>
      <c r="BE443" s="208"/>
    </row>
    <row r="444" spans="1:57" s="202" customFormat="1">
      <c r="A444" s="834"/>
      <c r="B444" s="872"/>
      <c r="C444" s="872"/>
      <c r="D444" s="211">
        <v>2022</v>
      </c>
      <c r="E444" s="212">
        <f t="shared" si="167"/>
        <v>0.58599999999999997</v>
      </c>
      <c r="F444" s="212">
        <v>0.58599999999999997</v>
      </c>
      <c r="G444" s="344">
        <v>0</v>
      </c>
      <c r="H444" s="212">
        <v>0</v>
      </c>
      <c r="I444" s="339">
        <v>0</v>
      </c>
      <c r="J444" s="339">
        <v>0</v>
      </c>
      <c r="K444" s="120">
        <f t="shared" si="152"/>
        <v>0.58599999999999997</v>
      </c>
      <c r="L444" s="120"/>
      <c r="M444" s="206"/>
      <c r="N444" s="263"/>
      <c r="O444" s="868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  <c r="AB444" s="207"/>
      <c r="AC444" s="207"/>
      <c r="AD444" s="207"/>
      <c r="AE444" s="207"/>
      <c r="AF444" s="207"/>
      <c r="AG444" s="207"/>
      <c r="AH444" s="207"/>
      <c r="AI444" s="207"/>
      <c r="AJ444" s="207"/>
      <c r="AK444" s="207"/>
      <c r="AL444" s="207"/>
      <c r="AM444" s="207"/>
      <c r="AN444" s="207"/>
      <c r="AO444" s="207"/>
      <c r="AP444" s="207"/>
      <c r="AQ444" s="207"/>
      <c r="AR444" s="207"/>
      <c r="AS444" s="207"/>
      <c r="AT444" s="207"/>
      <c r="AU444" s="207"/>
      <c r="AV444" s="207"/>
      <c r="AW444" s="207"/>
      <c r="AX444" s="207"/>
      <c r="AY444" s="207"/>
      <c r="AZ444" s="207"/>
      <c r="BA444" s="207"/>
      <c r="BB444" s="207"/>
      <c r="BC444" s="207"/>
      <c r="BD444" s="207"/>
      <c r="BE444" s="208"/>
    </row>
    <row r="445" spans="1:57" s="51" customFormat="1">
      <c r="A445" s="834"/>
      <c r="B445" s="872"/>
      <c r="C445" s="872"/>
      <c r="D445" s="62">
        <v>2023</v>
      </c>
      <c r="E445" s="63">
        <f t="shared" si="167"/>
        <v>1.5003</v>
      </c>
      <c r="F445" s="63">
        <v>1.5003</v>
      </c>
      <c r="G445" s="347">
        <v>0</v>
      </c>
      <c r="H445" s="63">
        <v>0</v>
      </c>
      <c r="I445" s="341">
        <v>0</v>
      </c>
      <c r="J445" s="341">
        <v>0</v>
      </c>
      <c r="K445" s="86">
        <f t="shared" si="152"/>
        <v>1.5003</v>
      </c>
      <c r="L445" s="99"/>
      <c r="M445" s="88"/>
      <c r="N445" s="89"/>
      <c r="O445" s="868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  <c r="AY445" s="49"/>
      <c r="AZ445" s="49"/>
      <c r="BA445" s="49"/>
      <c r="BB445" s="49"/>
      <c r="BC445" s="49"/>
      <c r="BD445" s="49"/>
      <c r="BE445" s="68"/>
    </row>
    <row r="446" spans="1:57" s="51" customFormat="1">
      <c r="A446" s="834"/>
      <c r="B446" s="872"/>
      <c r="C446" s="872"/>
      <c r="D446" s="62">
        <v>2024</v>
      </c>
      <c r="E446" s="63">
        <f t="shared" si="167"/>
        <v>0.54079999999999995</v>
      </c>
      <c r="F446" s="63">
        <v>0.54079999999999995</v>
      </c>
      <c r="G446" s="347">
        <v>0</v>
      </c>
      <c r="H446" s="63">
        <v>0</v>
      </c>
      <c r="I446" s="341">
        <v>0</v>
      </c>
      <c r="J446" s="341">
        <v>0</v>
      </c>
      <c r="K446" s="86">
        <f t="shared" si="152"/>
        <v>0.54079999999999995</v>
      </c>
      <c r="L446" s="99"/>
      <c r="M446" s="88"/>
      <c r="N446" s="89"/>
      <c r="O446" s="868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68"/>
    </row>
    <row r="447" spans="1:57" s="51" customFormat="1">
      <c r="A447" s="834"/>
      <c r="B447" s="872"/>
      <c r="C447" s="873"/>
      <c r="D447" s="62">
        <v>2025</v>
      </c>
      <c r="E447" s="63">
        <f t="shared" si="167"/>
        <v>0.3992</v>
      </c>
      <c r="F447" s="63">
        <v>0.3992</v>
      </c>
      <c r="G447" s="347">
        <v>0</v>
      </c>
      <c r="H447" s="63">
        <v>0</v>
      </c>
      <c r="I447" s="341">
        <v>0</v>
      </c>
      <c r="J447" s="341">
        <v>0</v>
      </c>
      <c r="K447" s="86">
        <f t="shared" si="152"/>
        <v>0.3992</v>
      </c>
      <c r="L447" s="99"/>
      <c r="M447" s="88"/>
      <c r="N447" s="89"/>
      <c r="O447" s="86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68"/>
    </row>
    <row r="448" spans="1:57" s="51" customFormat="1">
      <c r="A448" s="834"/>
      <c r="B448" s="872"/>
      <c r="C448" s="867" t="s">
        <v>662</v>
      </c>
      <c r="D448" s="62">
        <v>2026</v>
      </c>
      <c r="E448" s="63">
        <f t="shared" si="167"/>
        <v>0.63500000000000001</v>
      </c>
      <c r="F448" s="63">
        <v>0.63500000000000001</v>
      </c>
      <c r="G448" s="347">
        <v>0</v>
      </c>
      <c r="H448" s="63">
        <v>0</v>
      </c>
      <c r="I448" s="341">
        <v>0</v>
      </c>
      <c r="J448" s="341">
        <v>0</v>
      </c>
      <c r="K448" s="86">
        <f t="shared" si="152"/>
        <v>0.63500000000000001</v>
      </c>
      <c r="L448" s="99"/>
      <c r="M448" s="88"/>
      <c r="N448" s="89"/>
      <c r="O448" s="868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49"/>
      <c r="BC448" s="49"/>
      <c r="BD448" s="49"/>
      <c r="BE448" s="68"/>
    </row>
    <row r="449" spans="1:57" s="51" customFormat="1">
      <c r="A449" s="834"/>
      <c r="B449" s="872"/>
      <c r="C449" s="872"/>
      <c r="D449" s="62">
        <v>2027</v>
      </c>
      <c r="E449" s="63">
        <f t="shared" si="167"/>
        <v>0.61529999999999996</v>
      </c>
      <c r="F449" s="63">
        <v>0.61529999999999996</v>
      </c>
      <c r="G449" s="347">
        <v>0</v>
      </c>
      <c r="H449" s="63">
        <v>0</v>
      </c>
      <c r="I449" s="341">
        <v>0</v>
      </c>
      <c r="J449" s="341">
        <v>0</v>
      </c>
      <c r="K449" s="86">
        <f t="shared" si="152"/>
        <v>0.61529999999999996</v>
      </c>
      <c r="L449" s="99"/>
      <c r="M449" s="88"/>
      <c r="N449" s="89"/>
      <c r="O449" s="868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  <c r="AT449" s="49"/>
      <c r="AU449" s="49"/>
      <c r="AV449" s="49"/>
      <c r="AW449" s="49"/>
      <c r="AX449" s="49"/>
      <c r="AY449" s="49"/>
      <c r="AZ449" s="49"/>
      <c r="BA449" s="49"/>
      <c r="BB449" s="49"/>
      <c r="BC449" s="49"/>
      <c r="BD449" s="49"/>
      <c r="BE449" s="68"/>
    </row>
    <row r="450" spans="1:57" s="51" customFormat="1">
      <c r="A450" s="834"/>
      <c r="B450" s="872"/>
      <c r="C450" s="872"/>
      <c r="D450" s="62">
        <v>2028</v>
      </c>
      <c r="E450" s="63">
        <f t="shared" si="167"/>
        <v>0.60940000000000005</v>
      </c>
      <c r="F450" s="63">
        <v>0.60940000000000005</v>
      </c>
      <c r="G450" s="347">
        <v>0</v>
      </c>
      <c r="H450" s="63">
        <v>0</v>
      </c>
      <c r="I450" s="341">
        <v>0</v>
      </c>
      <c r="J450" s="341">
        <v>0</v>
      </c>
      <c r="K450" s="86">
        <f t="shared" si="152"/>
        <v>0.60940000000000005</v>
      </c>
      <c r="L450" s="99"/>
      <c r="M450" s="88"/>
      <c r="N450" s="89"/>
      <c r="O450" s="868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  <c r="AT450" s="49"/>
      <c r="AU450" s="49"/>
      <c r="AV450" s="49"/>
      <c r="AW450" s="49"/>
      <c r="AX450" s="49"/>
      <c r="AY450" s="49"/>
      <c r="AZ450" s="49"/>
      <c r="BA450" s="49"/>
      <c r="BB450" s="49"/>
      <c r="BC450" s="49"/>
      <c r="BD450" s="49"/>
      <c r="BE450" s="68"/>
    </row>
    <row r="451" spans="1:57" s="51" customFormat="1">
      <c r="A451" s="834"/>
      <c r="B451" s="872"/>
      <c r="C451" s="872"/>
      <c r="D451" s="62">
        <v>2029</v>
      </c>
      <c r="E451" s="63">
        <f t="shared" si="167"/>
        <v>1.5603</v>
      </c>
      <c r="F451" s="63">
        <v>1.5603</v>
      </c>
      <c r="G451" s="347">
        <v>0</v>
      </c>
      <c r="H451" s="63">
        <v>0</v>
      </c>
      <c r="I451" s="341">
        <v>0</v>
      </c>
      <c r="J451" s="341">
        <v>0</v>
      </c>
      <c r="K451" s="86">
        <f t="shared" si="152"/>
        <v>1.5603</v>
      </c>
      <c r="L451" s="99"/>
      <c r="M451" s="88"/>
      <c r="N451" s="89"/>
      <c r="O451" s="868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49"/>
      <c r="BC451" s="49"/>
      <c r="BD451" s="49"/>
      <c r="BE451" s="68"/>
    </row>
    <row r="452" spans="1:57" s="51" customFormat="1">
      <c r="A452" s="835"/>
      <c r="B452" s="873"/>
      <c r="C452" s="873"/>
      <c r="D452" s="62">
        <v>2030</v>
      </c>
      <c r="E452" s="63">
        <f t="shared" si="167"/>
        <v>0.56240000000000001</v>
      </c>
      <c r="F452" s="63">
        <v>0.56240000000000001</v>
      </c>
      <c r="G452" s="347">
        <v>0</v>
      </c>
      <c r="H452" s="63">
        <v>0</v>
      </c>
      <c r="I452" s="341">
        <v>0</v>
      </c>
      <c r="J452" s="341">
        <v>0</v>
      </c>
      <c r="K452" s="86">
        <f t="shared" si="152"/>
        <v>0.56240000000000001</v>
      </c>
      <c r="L452" s="99"/>
      <c r="M452" s="88"/>
      <c r="N452" s="89"/>
      <c r="O452" s="86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49"/>
      <c r="BC452" s="49"/>
      <c r="BD452" s="49"/>
      <c r="BE452" s="68"/>
    </row>
    <row r="453" spans="1:57" s="51" customFormat="1" ht="12.75" customHeight="1">
      <c r="A453" s="926" t="s">
        <v>663</v>
      </c>
      <c r="B453" s="1000" t="s">
        <v>664</v>
      </c>
      <c r="C453" s="955"/>
      <c r="D453" s="84" t="s">
        <v>16</v>
      </c>
      <c r="E453" s="136">
        <f t="shared" ref="E453:J453" si="168">E454+E455+E456+E457+E458+E459+E460</f>
        <v>8135.0630999999985</v>
      </c>
      <c r="F453" s="136">
        <f t="shared" si="168"/>
        <v>87.203599999999994</v>
      </c>
      <c r="G453" s="136">
        <f t="shared" si="168"/>
        <v>211.04910000000001</v>
      </c>
      <c r="H453" s="136">
        <f t="shared" si="168"/>
        <v>1034.8088</v>
      </c>
      <c r="I453" s="136">
        <f t="shared" si="168"/>
        <v>6798.12</v>
      </c>
      <c r="J453" s="136">
        <f t="shared" si="168"/>
        <v>3.8815999999999997</v>
      </c>
      <c r="K453" s="86">
        <f t="shared" si="152"/>
        <v>8135.0630999999994</v>
      </c>
      <c r="L453" s="99"/>
      <c r="M453" s="88"/>
      <c r="N453" s="89"/>
      <c r="O453" s="90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49"/>
      <c r="BC453" s="49"/>
      <c r="BD453" s="49"/>
      <c r="BE453" s="68"/>
    </row>
    <row r="454" spans="1:57" s="51" customFormat="1" ht="12.75" customHeight="1">
      <c r="A454" s="1003"/>
      <c r="B454" s="1001"/>
      <c r="C454" s="956"/>
      <c r="D454" s="84">
        <v>2019</v>
      </c>
      <c r="E454" s="136">
        <f t="shared" ref="E454:J454" si="169">E483+E487+E496+E499+E507</f>
        <v>929.09609999999998</v>
      </c>
      <c r="F454" s="136">
        <f t="shared" si="169"/>
        <v>17.819900000000001</v>
      </c>
      <c r="G454" s="136">
        <f t="shared" si="169"/>
        <v>99.615399999999994</v>
      </c>
      <c r="H454" s="136">
        <f t="shared" si="169"/>
        <v>221.95830000000001</v>
      </c>
      <c r="I454" s="136">
        <f t="shared" si="169"/>
        <v>589.02</v>
      </c>
      <c r="J454" s="136">
        <f t="shared" si="169"/>
        <v>0.6825</v>
      </c>
      <c r="K454" s="86">
        <f t="shared" si="152"/>
        <v>929.09609999999998</v>
      </c>
      <c r="L454" s="99"/>
      <c r="M454" s="88"/>
      <c r="N454" s="89"/>
      <c r="O454" s="90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/>
      <c r="AX454" s="49"/>
      <c r="AY454" s="49"/>
      <c r="AZ454" s="49"/>
      <c r="BA454" s="49"/>
      <c r="BB454" s="49"/>
      <c r="BC454" s="49"/>
      <c r="BD454" s="49"/>
      <c r="BE454" s="68"/>
    </row>
    <row r="455" spans="1:57" s="51" customFormat="1" ht="12.75" customHeight="1">
      <c r="A455" s="1003"/>
      <c r="B455" s="1001"/>
      <c r="C455" s="956"/>
      <c r="D455" s="84">
        <v>2020</v>
      </c>
      <c r="E455" s="136">
        <f t="shared" ref="E455:J455" si="170">E462+E484+E488+E494+E497+E500+E508</f>
        <v>5477.0097999999998</v>
      </c>
      <c r="F455" s="136">
        <f t="shared" si="170"/>
        <v>11.309699999999999</v>
      </c>
      <c r="G455" s="136">
        <f t="shared" si="170"/>
        <v>111.4337</v>
      </c>
      <c r="H455" s="136">
        <f t="shared" si="170"/>
        <v>732.74489999999992</v>
      </c>
      <c r="I455" s="136">
        <f t="shared" si="170"/>
        <v>4620.8</v>
      </c>
      <c r="J455" s="136">
        <f t="shared" si="170"/>
        <v>0.72150000000000003</v>
      </c>
      <c r="K455" s="86">
        <f t="shared" si="152"/>
        <v>5477.0097999999998</v>
      </c>
      <c r="L455" s="99"/>
      <c r="M455" s="88"/>
      <c r="N455" s="89"/>
      <c r="O455" s="90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49"/>
      <c r="BC455" s="49"/>
      <c r="BD455" s="49"/>
      <c r="BE455" s="68"/>
    </row>
    <row r="456" spans="1:57" s="51" customFormat="1" ht="12.75" customHeight="1">
      <c r="A456" s="1003"/>
      <c r="B456" s="1001"/>
      <c r="C456" s="956"/>
      <c r="D456" s="84">
        <v>2021</v>
      </c>
      <c r="E456" s="136">
        <f t="shared" ref="E456:J456" si="171">E463+E485+E489+E501</f>
        <v>510.77420000000001</v>
      </c>
      <c r="F456" s="136">
        <f t="shared" si="171"/>
        <v>8.391</v>
      </c>
      <c r="G456" s="136">
        <f t="shared" si="171"/>
        <v>0</v>
      </c>
      <c r="H456" s="136">
        <f t="shared" si="171"/>
        <v>80.105599999999995</v>
      </c>
      <c r="I456" s="136">
        <f t="shared" si="171"/>
        <v>419.8</v>
      </c>
      <c r="J456" s="136">
        <f t="shared" si="171"/>
        <v>2.4775999999999998</v>
      </c>
      <c r="K456" s="86">
        <f t="shared" si="152"/>
        <v>510.77420000000001</v>
      </c>
      <c r="L456" s="99"/>
      <c r="M456" s="88"/>
      <c r="N456" s="89"/>
      <c r="O456" s="90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49"/>
      <c r="BC456" s="49"/>
      <c r="BD456" s="49"/>
      <c r="BE456" s="68"/>
    </row>
    <row r="457" spans="1:57" s="51" customFormat="1" ht="12.75" customHeight="1">
      <c r="A457" s="1003"/>
      <c r="B457" s="1001"/>
      <c r="C457" s="956"/>
      <c r="D457" s="84">
        <v>2022</v>
      </c>
      <c r="E457" s="136">
        <f t="shared" ref="E457:J459" si="172">E464+E490+E502</f>
        <v>604.0951</v>
      </c>
      <c r="F457" s="136">
        <f t="shared" si="172"/>
        <v>8.7950999999999997</v>
      </c>
      <c r="G457" s="136">
        <f t="shared" si="172"/>
        <v>0</v>
      </c>
      <c r="H457" s="136">
        <f t="shared" si="172"/>
        <v>0</v>
      </c>
      <c r="I457" s="136">
        <f t="shared" si="172"/>
        <v>595.29999999999995</v>
      </c>
      <c r="J457" s="136">
        <f t="shared" si="172"/>
        <v>0</v>
      </c>
      <c r="K457" s="86">
        <f t="shared" si="152"/>
        <v>604.0951</v>
      </c>
      <c r="L457" s="99"/>
      <c r="M457" s="88"/>
      <c r="N457" s="89"/>
      <c r="O457" s="90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  <c r="AY457" s="49"/>
      <c r="AZ457" s="49"/>
      <c r="BA457" s="49"/>
      <c r="BB457" s="49"/>
      <c r="BC457" s="49"/>
      <c r="BD457" s="49"/>
      <c r="BE457" s="68"/>
    </row>
    <row r="458" spans="1:57" s="51" customFormat="1" ht="15.75" customHeight="1">
      <c r="A458" s="1003"/>
      <c r="B458" s="1001"/>
      <c r="C458" s="956"/>
      <c r="D458" s="84">
        <v>2023</v>
      </c>
      <c r="E458" s="136">
        <f t="shared" si="172"/>
        <v>546.59839999999997</v>
      </c>
      <c r="F458" s="136">
        <f t="shared" si="172"/>
        <v>13.0984</v>
      </c>
      <c r="G458" s="136">
        <f t="shared" si="172"/>
        <v>0</v>
      </c>
      <c r="H458" s="136">
        <f t="shared" si="172"/>
        <v>0</v>
      </c>
      <c r="I458" s="136">
        <f t="shared" si="172"/>
        <v>533.5</v>
      </c>
      <c r="J458" s="136">
        <f t="shared" si="172"/>
        <v>0</v>
      </c>
      <c r="K458" s="86">
        <f t="shared" si="152"/>
        <v>546.59839999999997</v>
      </c>
      <c r="L458" s="99"/>
      <c r="M458" s="88"/>
      <c r="N458" s="89"/>
      <c r="O458" s="3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  <c r="AY458" s="49"/>
      <c r="AZ458" s="49"/>
      <c r="BA458" s="49"/>
      <c r="BB458" s="49"/>
      <c r="BC458" s="49"/>
      <c r="BD458" s="49"/>
      <c r="BE458" s="68"/>
    </row>
    <row r="459" spans="1:57" s="51" customFormat="1" ht="15.75" customHeight="1">
      <c r="A459" s="1003"/>
      <c r="B459" s="1001"/>
      <c r="C459" s="956"/>
      <c r="D459" s="84">
        <v>2024</v>
      </c>
      <c r="E459" s="136">
        <f t="shared" si="172"/>
        <v>53.322299999999998</v>
      </c>
      <c r="F459" s="136">
        <f t="shared" si="172"/>
        <v>13.622299999999999</v>
      </c>
      <c r="G459" s="136">
        <f t="shared" si="172"/>
        <v>0</v>
      </c>
      <c r="H459" s="136">
        <f t="shared" si="172"/>
        <v>0</v>
      </c>
      <c r="I459" s="136">
        <f t="shared" si="172"/>
        <v>39.700000000000003</v>
      </c>
      <c r="J459" s="136">
        <f t="shared" si="172"/>
        <v>0</v>
      </c>
      <c r="K459" s="86">
        <f t="shared" ref="K459:K522" si="173">F459+G459+H459+I459+J459</f>
        <v>53.322299999999998</v>
      </c>
      <c r="L459" s="99"/>
      <c r="M459" s="88"/>
      <c r="N459" s="89"/>
      <c r="O459" s="3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AU459" s="49"/>
      <c r="AV459" s="49"/>
      <c r="AW459" s="49"/>
      <c r="AX459" s="49"/>
      <c r="AY459" s="49"/>
      <c r="AZ459" s="49"/>
      <c r="BA459" s="49"/>
      <c r="BB459" s="49"/>
      <c r="BC459" s="49"/>
      <c r="BD459" s="49"/>
      <c r="BE459" s="68"/>
    </row>
    <row r="460" spans="1:57" s="51" customFormat="1" ht="15.75" customHeight="1">
      <c r="A460" s="1004"/>
      <c r="B460" s="1002"/>
      <c r="C460" s="1005"/>
      <c r="D460" s="84">
        <v>2025</v>
      </c>
      <c r="E460" s="136">
        <f t="shared" ref="E460:J460" si="174">E467+E505</f>
        <v>14.167199999999999</v>
      </c>
      <c r="F460" s="136">
        <f t="shared" si="174"/>
        <v>14.167199999999999</v>
      </c>
      <c r="G460" s="136">
        <f t="shared" si="174"/>
        <v>0</v>
      </c>
      <c r="H460" s="136">
        <f t="shared" si="174"/>
        <v>0</v>
      </c>
      <c r="I460" s="136">
        <f t="shared" si="174"/>
        <v>0</v>
      </c>
      <c r="J460" s="136">
        <f t="shared" si="174"/>
        <v>0</v>
      </c>
      <c r="K460" s="86">
        <f t="shared" si="173"/>
        <v>14.167199999999999</v>
      </c>
      <c r="L460" s="99"/>
      <c r="M460" s="88"/>
      <c r="N460" s="89"/>
      <c r="O460" s="3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/>
      <c r="AX460" s="49"/>
      <c r="AY460" s="49"/>
      <c r="AZ460" s="49"/>
      <c r="BA460" s="49"/>
      <c r="BB460" s="49"/>
      <c r="BC460" s="49"/>
      <c r="BD460" s="49"/>
      <c r="BE460" s="68"/>
    </row>
    <row r="461" spans="1:57" s="51" customFormat="1" ht="27.75" customHeight="1">
      <c r="A461" s="794" t="s">
        <v>665</v>
      </c>
      <c r="B461" s="867" t="s">
        <v>666</v>
      </c>
      <c r="C461" s="838" t="s">
        <v>667</v>
      </c>
      <c r="D461" s="84" t="s">
        <v>16</v>
      </c>
      <c r="E461" s="85">
        <f t="shared" ref="E461:J461" si="175">E462+E463+E464+E465+E466+E467</f>
        <v>0</v>
      </c>
      <c r="F461" s="85">
        <f t="shared" si="175"/>
        <v>0</v>
      </c>
      <c r="G461" s="85">
        <f t="shared" si="175"/>
        <v>0</v>
      </c>
      <c r="H461" s="85">
        <f t="shared" si="175"/>
        <v>0</v>
      </c>
      <c r="I461" s="85">
        <f t="shared" si="175"/>
        <v>0</v>
      </c>
      <c r="J461" s="85">
        <f t="shared" si="175"/>
        <v>0</v>
      </c>
      <c r="K461" s="86">
        <f t="shared" si="173"/>
        <v>0</v>
      </c>
      <c r="L461" s="99"/>
      <c r="M461" s="88"/>
      <c r="N461" s="301"/>
      <c r="O461" s="858" t="s">
        <v>405</v>
      </c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49"/>
      <c r="BC461" s="49"/>
      <c r="BD461" s="49"/>
      <c r="BE461" s="68"/>
    </row>
    <row r="462" spans="1:57" s="51" customFormat="1">
      <c r="A462" s="834"/>
      <c r="B462" s="874"/>
      <c r="C462" s="839"/>
      <c r="D462" s="62">
        <v>2020</v>
      </c>
      <c r="E462" s="63">
        <f t="shared" ref="E462:J467" si="176">E469+E476</f>
        <v>0</v>
      </c>
      <c r="F462" s="63">
        <f t="shared" si="176"/>
        <v>0</v>
      </c>
      <c r="G462" s="63">
        <f t="shared" si="176"/>
        <v>0</v>
      </c>
      <c r="H462" s="63">
        <f t="shared" si="176"/>
        <v>0</v>
      </c>
      <c r="I462" s="63">
        <f t="shared" si="176"/>
        <v>0</v>
      </c>
      <c r="J462" s="63">
        <f t="shared" si="176"/>
        <v>0</v>
      </c>
      <c r="K462" s="86">
        <f t="shared" si="173"/>
        <v>0</v>
      </c>
      <c r="L462" s="99"/>
      <c r="M462" s="88"/>
      <c r="N462" s="301"/>
      <c r="O462" s="868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  <c r="AY462" s="49"/>
      <c r="AZ462" s="49"/>
      <c r="BA462" s="49"/>
      <c r="BB462" s="49"/>
      <c r="BC462" s="49"/>
      <c r="BD462" s="49"/>
      <c r="BE462" s="68"/>
    </row>
    <row r="463" spans="1:57" s="51" customFormat="1">
      <c r="A463" s="834"/>
      <c r="B463" s="874"/>
      <c r="C463" s="839"/>
      <c r="D463" s="62">
        <v>2021</v>
      </c>
      <c r="E463" s="63">
        <f t="shared" si="176"/>
        <v>0</v>
      </c>
      <c r="F463" s="63">
        <f t="shared" si="176"/>
        <v>0</v>
      </c>
      <c r="G463" s="63">
        <f t="shared" si="176"/>
        <v>0</v>
      </c>
      <c r="H463" s="63">
        <f t="shared" si="176"/>
        <v>0</v>
      </c>
      <c r="I463" s="63">
        <f t="shared" si="176"/>
        <v>0</v>
      </c>
      <c r="J463" s="63">
        <f t="shared" si="176"/>
        <v>0</v>
      </c>
      <c r="K463" s="86">
        <f t="shared" si="173"/>
        <v>0</v>
      </c>
      <c r="L463" s="99"/>
      <c r="M463" s="88"/>
      <c r="N463" s="301"/>
      <c r="O463" s="868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  <c r="AY463" s="49"/>
      <c r="AZ463" s="49"/>
      <c r="BA463" s="49"/>
      <c r="BB463" s="49"/>
      <c r="BC463" s="49"/>
      <c r="BD463" s="49"/>
      <c r="BE463" s="68"/>
    </row>
    <row r="464" spans="1:57" s="51" customFormat="1">
      <c r="A464" s="834"/>
      <c r="B464" s="874"/>
      <c r="C464" s="839"/>
      <c r="D464" s="62">
        <v>2022</v>
      </c>
      <c r="E464" s="63">
        <f t="shared" si="176"/>
        <v>0</v>
      </c>
      <c r="F464" s="63">
        <f t="shared" si="176"/>
        <v>0</v>
      </c>
      <c r="G464" s="63">
        <f t="shared" si="176"/>
        <v>0</v>
      </c>
      <c r="H464" s="63">
        <f t="shared" si="176"/>
        <v>0</v>
      </c>
      <c r="I464" s="63">
        <f t="shared" si="176"/>
        <v>0</v>
      </c>
      <c r="J464" s="63">
        <f t="shared" si="176"/>
        <v>0</v>
      </c>
      <c r="K464" s="86">
        <f t="shared" si="173"/>
        <v>0</v>
      </c>
      <c r="L464" s="99"/>
      <c r="M464" s="88"/>
      <c r="N464" s="301"/>
      <c r="O464" s="868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49"/>
      <c r="BD464" s="49"/>
      <c r="BE464" s="68"/>
    </row>
    <row r="465" spans="1:57" s="51" customFormat="1">
      <c r="A465" s="834"/>
      <c r="B465" s="874"/>
      <c r="C465" s="839"/>
      <c r="D465" s="62">
        <v>2023</v>
      </c>
      <c r="E465" s="63">
        <f t="shared" si="176"/>
        <v>0</v>
      </c>
      <c r="F465" s="63">
        <f t="shared" si="176"/>
        <v>0</v>
      </c>
      <c r="G465" s="63">
        <f t="shared" si="176"/>
        <v>0</v>
      </c>
      <c r="H465" s="63">
        <f t="shared" si="176"/>
        <v>0</v>
      </c>
      <c r="I465" s="63">
        <f t="shared" si="176"/>
        <v>0</v>
      </c>
      <c r="J465" s="63">
        <f t="shared" si="176"/>
        <v>0</v>
      </c>
      <c r="K465" s="86">
        <f t="shared" si="173"/>
        <v>0</v>
      </c>
      <c r="L465" s="99"/>
      <c r="M465" s="88"/>
      <c r="N465" s="301"/>
      <c r="O465" s="868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49"/>
      <c r="BC465" s="49"/>
      <c r="BD465" s="49"/>
      <c r="BE465" s="68"/>
    </row>
    <row r="466" spans="1:57" s="51" customFormat="1">
      <c r="A466" s="834"/>
      <c r="B466" s="874"/>
      <c r="C466" s="839"/>
      <c r="D466" s="62">
        <v>2024</v>
      </c>
      <c r="E466" s="63">
        <f t="shared" si="176"/>
        <v>0</v>
      </c>
      <c r="F466" s="63">
        <f t="shared" si="176"/>
        <v>0</v>
      </c>
      <c r="G466" s="63">
        <f t="shared" si="176"/>
        <v>0</v>
      </c>
      <c r="H466" s="63">
        <f t="shared" si="176"/>
        <v>0</v>
      </c>
      <c r="I466" s="63">
        <f t="shared" si="176"/>
        <v>0</v>
      </c>
      <c r="J466" s="63">
        <f t="shared" si="176"/>
        <v>0</v>
      </c>
      <c r="K466" s="86">
        <f t="shared" si="173"/>
        <v>0</v>
      </c>
      <c r="L466" s="99"/>
      <c r="M466" s="88"/>
      <c r="N466" s="301"/>
      <c r="O466" s="868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  <c r="AY466" s="49"/>
      <c r="AZ466" s="49"/>
      <c r="BA466" s="49"/>
      <c r="BB466" s="49"/>
      <c r="BC466" s="49"/>
      <c r="BD466" s="49"/>
      <c r="BE466" s="68"/>
    </row>
    <row r="467" spans="1:57" s="51" customFormat="1">
      <c r="A467" s="835"/>
      <c r="B467" s="1008"/>
      <c r="C467" s="839"/>
      <c r="D467" s="62">
        <v>2025</v>
      </c>
      <c r="E467" s="63">
        <f t="shared" si="176"/>
        <v>0</v>
      </c>
      <c r="F467" s="63">
        <f t="shared" si="176"/>
        <v>0</v>
      </c>
      <c r="G467" s="63">
        <f t="shared" si="176"/>
        <v>0</v>
      </c>
      <c r="H467" s="63">
        <f t="shared" si="176"/>
        <v>0</v>
      </c>
      <c r="I467" s="63">
        <f t="shared" si="176"/>
        <v>0</v>
      </c>
      <c r="J467" s="63">
        <f t="shared" si="176"/>
        <v>0</v>
      </c>
      <c r="K467" s="86">
        <f t="shared" si="173"/>
        <v>0</v>
      </c>
      <c r="L467" s="99"/>
      <c r="M467" s="88"/>
      <c r="N467" s="301"/>
      <c r="O467" s="868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  <c r="AY467" s="49"/>
      <c r="AZ467" s="49"/>
      <c r="BA467" s="49"/>
      <c r="BB467" s="49"/>
      <c r="BC467" s="49"/>
      <c r="BD467" s="49"/>
      <c r="BE467" s="68"/>
    </row>
    <row r="468" spans="1:57" s="51" customFormat="1" ht="20.25" customHeight="1">
      <c r="A468" s="794" t="s">
        <v>668</v>
      </c>
      <c r="B468" s="867" t="s">
        <v>669</v>
      </c>
      <c r="C468" s="839"/>
      <c r="D468" s="84" t="s">
        <v>16</v>
      </c>
      <c r="E468" s="85">
        <f t="shared" ref="E468:J468" si="177">E469+E470+E471+E472+E473+E474</f>
        <v>0</v>
      </c>
      <c r="F468" s="85">
        <f t="shared" si="177"/>
        <v>0</v>
      </c>
      <c r="G468" s="85">
        <f t="shared" si="177"/>
        <v>0</v>
      </c>
      <c r="H468" s="85">
        <f t="shared" si="177"/>
        <v>0</v>
      </c>
      <c r="I468" s="85">
        <f t="shared" si="177"/>
        <v>0</v>
      </c>
      <c r="J468" s="85">
        <f t="shared" si="177"/>
        <v>0</v>
      </c>
      <c r="K468" s="86">
        <f t="shared" si="173"/>
        <v>0</v>
      </c>
      <c r="L468" s="943" t="s">
        <v>670</v>
      </c>
      <c r="M468" s="88"/>
      <c r="N468" s="301"/>
      <c r="O468" s="868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  <c r="AY468" s="49"/>
      <c r="AZ468" s="49"/>
      <c r="BA468" s="49"/>
      <c r="BB468" s="49"/>
      <c r="BC468" s="49"/>
      <c r="BD468" s="49"/>
      <c r="BE468" s="68"/>
    </row>
    <row r="469" spans="1:57" s="51" customFormat="1">
      <c r="A469" s="795"/>
      <c r="B469" s="872"/>
      <c r="C469" s="839"/>
      <c r="D469" s="62">
        <v>2020</v>
      </c>
      <c r="E469" s="63">
        <f t="shared" ref="E469:E474" si="178">F469+G469+H469+I469+J469</f>
        <v>0</v>
      </c>
      <c r="F469" s="63">
        <v>0</v>
      </c>
      <c r="G469" s="63">
        <v>0</v>
      </c>
      <c r="H469" s="63">
        <v>0</v>
      </c>
      <c r="I469" s="63">
        <v>0</v>
      </c>
      <c r="J469" s="63">
        <v>0</v>
      </c>
      <c r="K469" s="86">
        <f t="shared" si="173"/>
        <v>0</v>
      </c>
      <c r="L469" s="970"/>
      <c r="M469" s="88"/>
      <c r="N469" s="301"/>
      <c r="O469" s="868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49"/>
      <c r="BC469" s="49"/>
      <c r="BD469" s="49"/>
      <c r="BE469" s="68"/>
    </row>
    <row r="470" spans="1:57" s="51" customFormat="1">
      <c r="A470" s="795"/>
      <c r="B470" s="872"/>
      <c r="C470" s="839"/>
      <c r="D470" s="62">
        <v>2021</v>
      </c>
      <c r="E470" s="63">
        <f t="shared" si="178"/>
        <v>0</v>
      </c>
      <c r="F470" s="63">
        <v>0</v>
      </c>
      <c r="G470" s="63">
        <v>0</v>
      </c>
      <c r="H470" s="63">
        <v>0</v>
      </c>
      <c r="I470" s="63">
        <v>0</v>
      </c>
      <c r="J470" s="63">
        <v>0</v>
      </c>
      <c r="K470" s="86">
        <f t="shared" si="173"/>
        <v>0</v>
      </c>
      <c r="L470" s="970"/>
      <c r="M470" s="88"/>
      <c r="N470" s="301"/>
      <c r="O470" s="868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  <c r="AT470" s="49"/>
      <c r="AU470" s="49"/>
      <c r="AV470" s="49"/>
      <c r="AW470" s="49"/>
      <c r="AX470" s="49"/>
      <c r="AY470" s="49"/>
      <c r="AZ470" s="49"/>
      <c r="BA470" s="49"/>
      <c r="BB470" s="49"/>
      <c r="BC470" s="49"/>
      <c r="BD470" s="49"/>
      <c r="BE470" s="68"/>
    </row>
    <row r="471" spans="1:57" s="51" customFormat="1">
      <c r="A471" s="795"/>
      <c r="B471" s="872"/>
      <c r="C471" s="839"/>
      <c r="D471" s="62">
        <v>2022</v>
      </c>
      <c r="E471" s="63">
        <f t="shared" si="178"/>
        <v>0</v>
      </c>
      <c r="F471" s="63">
        <v>0</v>
      </c>
      <c r="G471" s="63">
        <v>0</v>
      </c>
      <c r="H471" s="63">
        <v>0</v>
      </c>
      <c r="I471" s="63">
        <v>0</v>
      </c>
      <c r="J471" s="63">
        <v>0</v>
      </c>
      <c r="K471" s="86">
        <f t="shared" si="173"/>
        <v>0</v>
      </c>
      <c r="L471" s="970"/>
      <c r="M471" s="88"/>
      <c r="N471" s="301"/>
      <c r="O471" s="868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AU471" s="49"/>
      <c r="AV471" s="49"/>
      <c r="AW471" s="49"/>
      <c r="AX471" s="49"/>
      <c r="AY471" s="49"/>
      <c r="AZ471" s="49"/>
      <c r="BA471" s="49"/>
      <c r="BB471" s="49"/>
      <c r="BC471" s="49"/>
      <c r="BD471" s="49"/>
      <c r="BE471" s="68"/>
    </row>
    <row r="472" spans="1:57" s="51" customFormat="1">
      <c r="A472" s="795"/>
      <c r="B472" s="872"/>
      <c r="C472" s="839"/>
      <c r="D472" s="62">
        <v>2023</v>
      </c>
      <c r="E472" s="63">
        <f t="shared" si="178"/>
        <v>0</v>
      </c>
      <c r="F472" s="63">
        <v>0</v>
      </c>
      <c r="G472" s="63">
        <v>0</v>
      </c>
      <c r="H472" s="63">
        <v>0</v>
      </c>
      <c r="I472" s="63">
        <v>0</v>
      </c>
      <c r="J472" s="63">
        <v>0</v>
      </c>
      <c r="K472" s="86">
        <f t="shared" si="173"/>
        <v>0</v>
      </c>
      <c r="L472" s="970"/>
      <c r="M472" s="88"/>
      <c r="N472" s="301"/>
      <c r="O472" s="868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  <c r="AY472" s="49"/>
      <c r="AZ472" s="49"/>
      <c r="BA472" s="49"/>
      <c r="BB472" s="49"/>
      <c r="BC472" s="49"/>
      <c r="BD472" s="49"/>
      <c r="BE472" s="68"/>
    </row>
    <row r="473" spans="1:57" s="51" customFormat="1">
      <c r="A473" s="795"/>
      <c r="B473" s="872"/>
      <c r="C473" s="839"/>
      <c r="D473" s="62">
        <v>2024</v>
      </c>
      <c r="E473" s="63">
        <f t="shared" si="178"/>
        <v>0</v>
      </c>
      <c r="F473" s="63">
        <v>0</v>
      </c>
      <c r="G473" s="63">
        <v>0</v>
      </c>
      <c r="H473" s="63">
        <v>0</v>
      </c>
      <c r="I473" s="63">
        <v>0</v>
      </c>
      <c r="J473" s="63">
        <v>0</v>
      </c>
      <c r="K473" s="86">
        <f t="shared" si="173"/>
        <v>0</v>
      </c>
      <c r="L473" s="970"/>
      <c r="M473" s="88"/>
      <c r="N473" s="301"/>
      <c r="O473" s="86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AU473" s="49"/>
      <c r="AV473" s="49"/>
      <c r="AW473" s="49"/>
      <c r="AX473" s="49"/>
      <c r="AY473" s="49"/>
      <c r="AZ473" s="49"/>
      <c r="BA473" s="49"/>
      <c r="BB473" s="49"/>
      <c r="BC473" s="49"/>
      <c r="BD473" s="49"/>
      <c r="BE473" s="68"/>
    </row>
    <row r="474" spans="1:57" s="51" customFormat="1">
      <c r="A474" s="796"/>
      <c r="B474" s="873"/>
      <c r="C474" s="839"/>
      <c r="D474" s="62">
        <v>2025</v>
      </c>
      <c r="E474" s="63">
        <f t="shared" si="178"/>
        <v>0</v>
      </c>
      <c r="F474" s="63">
        <v>0</v>
      </c>
      <c r="G474" s="63">
        <v>0</v>
      </c>
      <c r="H474" s="63">
        <v>0</v>
      </c>
      <c r="I474" s="63">
        <v>0</v>
      </c>
      <c r="J474" s="63">
        <v>0</v>
      </c>
      <c r="K474" s="86">
        <f t="shared" si="173"/>
        <v>0</v>
      </c>
      <c r="L474" s="990"/>
      <c r="M474" s="88"/>
      <c r="N474" s="301"/>
      <c r="O474" s="868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  <c r="AY474" s="49"/>
      <c r="AZ474" s="49"/>
      <c r="BA474" s="49"/>
      <c r="BB474" s="49"/>
      <c r="BC474" s="49"/>
      <c r="BD474" s="49"/>
      <c r="BE474" s="68"/>
    </row>
    <row r="475" spans="1:57" s="51" customFormat="1">
      <c r="A475" s="794" t="s">
        <v>671</v>
      </c>
      <c r="B475" s="867" t="s">
        <v>672</v>
      </c>
      <c r="C475" s="839"/>
      <c r="D475" s="84" t="s">
        <v>16</v>
      </c>
      <c r="E475" s="85">
        <f t="shared" ref="E475:J475" si="179">E476+E477+E478+E479+E480+E481</f>
        <v>0</v>
      </c>
      <c r="F475" s="85">
        <f t="shared" si="179"/>
        <v>0</v>
      </c>
      <c r="G475" s="85">
        <f t="shared" si="179"/>
        <v>0</v>
      </c>
      <c r="H475" s="85">
        <f t="shared" si="179"/>
        <v>0</v>
      </c>
      <c r="I475" s="85">
        <f t="shared" si="179"/>
        <v>0</v>
      </c>
      <c r="J475" s="85">
        <f t="shared" si="179"/>
        <v>0</v>
      </c>
      <c r="K475" s="86">
        <f t="shared" si="173"/>
        <v>0</v>
      </c>
      <c r="L475" s="943" t="s">
        <v>673</v>
      </c>
      <c r="M475" s="88"/>
      <c r="N475" s="301"/>
      <c r="O475" s="868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AU475" s="49"/>
      <c r="AV475" s="49"/>
      <c r="AW475" s="49"/>
      <c r="AX475" s="49"/>
      <c r="AY475" s="49"/>
      <c r="AZ475" s="49"/>
      <c r="BA475" s="49"/>
      <c r="BB475" s="49"/>
      <c r="BC475" s="49"/>
      <c r="BD475" s="49"/>
      <c r="BE475" s="68"/>
    </row>
    <row r="476" spans="1:57" s="51" customFormat="1">
      <c r="A476" s="834"/>
      <c r="B476" s="868"/>
      <c r="C476" s="839"/>
      <c r="D476" s="62">
        <v>2020</v>
      </c>
      <c r="E476" s="63">
        <f>F476+G476+H476+I476+J476</f>
        <v>0</v>
      </c>
      <c r="F476" s="63">
        <v>0</v>
      </c>
      <c r="G476" s="63">
        <v>0</v>
      </c>
      <c r="H476" s="63">
        <v>0</v>
      </c>
      <c r="I476" s="63">
        <v>0</v>
      </c>
      <c r="J476" s="63">
        <v>0</v>
      </c>
      <c r="K476" s="86">
        <f t="shared" si="173"/>
        <v>0</v>
      </c>
      <c r="L476" s="944"/>
      <c r="M476" s="88"/>
      <c r="N476" s="301"/>
      <c r="O476" s="868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68"/>
    </row>
    <row r="477" spans="1:57" s="51" customFormat="1">
      <c r="A477" s="834"/>
      <c r="B477" s="868"/>
      <c r="C477" s="839"/>
      <c r="D477" s="62">
        <v>2021</v>
      </c>
      <c r="E477" s="63">
        <f>F477+G477+H477+I477+J477</f>
        <v>0</v>
      </c>
      <c r="F477" s="63">
        <v>0</v>
      </c>
      <c r="G477" s="63">
        <v>0</v>
      </c>
      <c r="H477" s="63">
        <v>0</v>
      </c>
      <c r="I477" s="63">
        <v>0</v>
      </c>
      <c r="J477" s="63">
        <v>0</v>
      </c>
      <c r="K477" s="86">
        <f t="shared" si="173"/>
        <v>0</v>
      </c>
      <c r="L477" s="944"/>
      <c r="M477" s="88"/>
      <c r="N477" s="301"/>
      <c r="O477" s="868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49"/>
      <c r="BC477" s="49"/>
      <c r="BD477" s="49"/>
      <c r="BE477" s="68"/>
    </row>
    <row r="478" spans="1:57" s="51" customFormat="1">
      <c r="A478" s="834"/>
      <c r="B478" s="868"/>
      <c r="C478" s="839"/>
      <c r="D478" s="62">
        <v>2022</v>
      </c>
      <c r="E478" s="63">
        <f>F478+G478+H478</f>
        <v>0</v>
      </c>
      <c r="F478" s="63">
        <v>0</v>
      </c>
      <c r="G478" s="63">
        <v>0</v>
      </c>
      <c r="H478" s="63">
        <v>0</v>
      </c>
      <c r="I478" s="63">
        <v>0</v>
      </c>
      <c r="J478" s="63">
        <v>0</v>
      </c>
      <c r="K478" s="86">
        <f t="shared" si="173"/>
        <v>0</v>
      </c>
      <c r="L478" s="944"/>
      <c r="M478" s="88"/>
      <c r="N478" s="301"/>
      <c r="O478" s="868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  <c r="AY478" s="49"/>
      <c r="AZ478" s="49"/>
      <c r="BA478" s="49"/>
      <c r="BB478" s="49"/>
      <c r="BC478" s="49"/>
      <c r="BD478" s="49"/>
      <c r="BE478" s="68"/>
    </row>
    <row r="479" spans="1:57" s="51" customFormat="1">
      <c r="A479" s="834"/>
      <c r="B479" s="868"/>
      <c r="C479" s="839"/>
      <c r="D479" s="62">
        <v>2023</v>
      </c>
      <c r="E479" s="63">
        <f>F479+G479+H479+I479+J479</f>
        <v>0</v>
      </c>
      <c r="F479" s="63">
        <v>0</v>
      </c>
      <c r="G479" s="63">
        <v>0</v>
      </c>
      <c r="H479" s="63">
        <v>0</v>
      </c>
      <c r="I479" s="63">
        <v>0</v>
      </c>
      <c r="J479" s="63">
        <v>0</v>
      </c>
      <c r="K479" s="86">
        <f t="shared" si="173"/>
        <v>0</v>
      </c>
      <c r="L479" s="944"/>
      <c r="M479" s="88"/>
      <c r="N479" s="301"/>
      <c r="O479" s="868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AU479" s="49"/>
      <c r="AV479" s="49"/>
      <c r="AW479" s="49"/>
      <c r="AX479" s="49"/>
      <c r="AY479" s="49"/>
      <c r="AZ479" s="49"/>
      <c r="BA479" s="49"/>
      <c r="BB479" s="49"/>
      <c r="BC479" s="49"/>
      <c r="BD479" s="49"/>
      <c r="BE479" s="68"/>
    </row>
    <row r="480" spans="1:57" s="51" customFormat="1">
      <c r="A480" s="834"/>
      <c r="B480" s="868"/>
      <c r="C480" s="839"/>
      <c r="D480" s="62">
        <v>2024</v>
      </c>
      <c r="E480" s="63">
        <f>F480+G480+H480+I480+J480</f>
        <v>0</v>
      </c>
      <c r="F480" s="63">
        <v>0</v>
      </c>
      <c r="G480" s="63">
        <v>0</v>
      </c>
      <c r="H480" s="63">
        <v>0</v>
      </c>
      <c r="I480" s="63">
        <v>0</v>
      </c>
      <c r="J480" s="63">
        <v>0</v>
      </c>
      <c r="K480" s="86">
        <f t="shared" si="173"/>
        <v>0</v>
      </c>
      <c r="L480" s="944"/>
      <c r="M480" s="88"/>
      <c r="N480" s="301"/>
      <c r="O480" s="868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  <c r="AT480" s="49"/>
      <c r="AU480" s="49"/>
      <c r="AV480" s="49"/>
      <c r="AW480" s="49"/>
      <c r="AX480" s="49"/>
      <c r="AY480" s="49"/>
      <c r="AZ480" s="49"/>
      <c r="BA480" s="49"/>
      <c r="BB480" s="49"/>
      <c r="BC480" s="49"/>
      <c r="BD480" s="49"/>
      <c r="BE480" s="68"/>
    </row>
    <row r="481" spans="1:57" s="51" customFormat="1">
      <c r="A481" s="835"/>
      <c r="B481" s="869"/>
      <c r="C481" s="839"/>
      <c r="D481" s="62">
        <v>2025</v>
      </c>
      <c r="E481" s="63">
        <f>F481+G481+H481+I481+J481</f>
        <v>0</v>
      </c>
      <c r="F481" s="63">
        <v>0</v>
      </c>
      <c r="G481" s="63">
        <v>0</v>
      </c>
      <c r="H481" s="63">
        <v>0</v>
      </c>
      <c r="I481" s="63">
        <v>0</v>
      </c>
      <c r="J481" s="63">
        <v>0</v>
      </c>
      <c r="K481" s="86">
        <f t="shared" si="173"/>
        <v>0</v>
      </c>
      <c r="L481" s="945"/>
      <c r="M481" s="88"/>
      <c r="N481" s="301"/>
      <c r="O481" s="86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68"/>
    </row>
    <row r="482" spans="1:57" s="51" customFormat="1" ht="12.75" customHeight="1">
      <c r="A482" s="794" t="s">
        <v>204</v>
      </c>
      <c r="B482" s="867" t="s">
        <v>674</v>
      </c>
      <c r="C482" s="839"/>
      <c r="D482" s="84" t="s">
        <v>16</v>
      </c>
      <c r="E482" s="85">
        <f t="shared" ref="E482:J482" si="180">E483+E484+E485</f>
        <v>127.71299999999999</v>
      </c>
      <c r="F482" s="85">
        <f t="shared" si="180"/>
        <v>0</v>
      </c>
      <c r="G482" s="85">
        <f t="shared" si="180"/>
        <v>0</v>
      </c>
      <c r="H482" s="85">
        <f t="shared" si="180"/>
        <v>123.8814</v>
      </c>
      <c r="I482" s="85">
        <f t="shared" si="180"/>
        <v>0</v>
      </c>
      <c r="J482" s="85">
        <f t="shared" si="180"/>
        <v>3.8315999999999999</v>
      </c>
      <c r="K482" s="86">
        <f t="shared" si="173"/>
        <v>127.71299999999999</v>
      </c>
      <c r="L482" s="191"/>
      <c r="M482" s="110"/>
      <c r="N482" s="305"/>
      <c r="O482" s="867" t="s">
        <v>640</v>
      </c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49"/>
      <c r="BD482" s="49"/>
      <c r="BE482" s="68"/>
    </row>
    <row r="483" spans="1:57" s="51" customFormat="1" ht="17.25" customHeight="1">
      <c r="A483" s="795"/>
      <c r="B483" s="872"/>
      <c r="C483" s="839"/>
      <c r="D483" s="62">
        <v>2019</v>
      </c>
      <c r="E483" s="63">
        <f>F483+G483+H483+I483+J483</f>
        <v>22.7471</v>
      </c>
      <c r="F483" s="63">
        <v>0</v>
      </c>
      <c r="G483" s="63">
        <v>0</v>
      </c>
      <c r="H483" s="63">
        <v>22.064599999999999</v>
      </c>
      <c r="I483" s="63">
        <v>0</v>
      </c>
      <c r="J483" s="63">
        <v>0.6825</v>
      </c>
      <c r="K483" s="86">
        <f t="shared" si="173"/>
        <v>22.7471</v>
      </c>
      <c r="L483" s="191"/>
      <c r="M483" s="110"/>
      <c r="N483" s="305"/>
      <c r="O483" s="872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  <c r="AY483" s="49"/>
      <c r="AZ483" s="49"/>
      <c r="BA483" s="49"/>
      <c r="BB483" s="49"/>
      <c r="BC483" s="49"/>
      <c r="BD483" s="49"/>
      <c r="BE483" s="68"/>
    </row>
    <row r="484" spans="1:57" s="51" customFormat="1" ht="13.5" customHeight="1">
      <c r="A484" s="795"/>
      <c r="B484" s="872"/>
      <c r="C484" s="839"/>
      <c r="D484" s="62">
        <v>2020</v>
      </c>
      <c r="E484" s="63">
        <f>F484+G484+H484+I484+J484</f>
        <v>22.3827</v>
      </c>
      <c r="F484" s="63">
        <v>0</v>
      </c>
      <c r="G484" s="63">
        <v>0</v>
      </c>
      <c r="H484" s="63">
        <v>21.711200000000002</v>
      </c>
      <c r="I484" s="63">
        <v>0</v>
      </c>
      <c r="J484" s="63">
        <v>0.67149999999999999</v>
      </c>
      <c r="K484" s="86">
        <f t="shared" si="173"/>
        <v>22.3827</v>
      </c>
      <c r="L484" s="191"/>
      <c r="M484" s="110"/>
      <c r="N484" s="305"/>
      <c r="O484" s="872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49"/>
      <c r="BC484" s="49"/>
      <c r="BD484" s="49"/>
      <c r="BE484" s="68"/>
    </row>
    <row r="485" spans="1:57" s="51" customFormat="1" ht="18.75" customHeight="1">
      <c r="A485" s="795"/>
      <c r="B485" s="872"/>
      <c r="C485" s="854"/>
      <c r="D485" s="62">
        <v>2021</v>
      </c>
      <c r="E485" s="63">
        <f>F485+G485+H485+I485+J485</f>
        <v>82.583199999999991</v>
      </c>
      <c r="F485" s="63">
        <v>0</v>
      </c>
      <c r="G485" s="63">
        <v>0</v>
      </c>
      <c r="H485" s="63">
        <v>80.105599999999995</v>
      </c>
      <c r="I485" s="63">
        <v>0</v>
      </c>
      <c r="J485" s="63">
        <v>2.4775999999999998</v>
      </c>
      <c r="K485" s="86">
        <f t="shared" si="173"/>
        <v>82.583199999999991</v>
      </c>
      <c r="L485" s="191"/>
      <c r="M485" s="110"/>
      <c r="N485" s="305"/>
      <c r="O485" s="872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  <c r="AY485" s="49"/>
      <c r="AZ485" s="49"/>
      <c r="BA485" s="49"/>
      <c r="BB485" s="49"/>
      <c r="BC485" s="49"/>
      <c r="BD485" s="49"/>
      <c r="BE485" s="68"/>
    </row>
    <row r="486" spans="1:57" s="51" customFormat="1" ht="18" customHeight="1">
      <c r="A486" s="794" t="s">
        <v>206</v>
      </c>
      <c r="B486" s="867" t="s">
        <v>675</v>
      </c>
      <c r="C486" s="867" t="s">
        <v>599</v>
      </c>
      <c r="D486" s="84" t="s">
        <v>16</v>
      </c>
      <c r="E486" s="85">
        <f>E487+E488+E489+E490+E491+E492</f>
        <v>6798.12</v>
      </c>
      <c r="F486" s="85">
        <f>F487</f>
        <v>0</v>
      </c>
      <c r="G486" s="85">
        <f>G487</f>
        <v>0</v>
      </c>
      <c r="H486" s="85">
        <f>H487</f>
        <v>0</v>
      </c>
      <c r="I486" s="85">
        <f>I487+I488+I489+I490+I491+I492</f>
        <v>6798.12</v>
      </c>
      <c r="J486" s="85">
        <f>J487</f>
        <v>0</v>
      </c>
      <c r="K486" s="86">
        <f t="shared" si="173"/>
        <v>6798.12</v>
      </c>
      <c r="L486" s="1009"/>
      <c r="M486" s="1011">
        <v>50</v>
      </c>
      <c r="N486" s="1006"/>
      <c r="O486" s="858" t="s">
        <v>676</v>
      </c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  <c r="AY486" s="49"/>
      <c r="AZ486" s="49"/>
      <c r="BA486" s="49"/>
      <c r="BB486" s="49"/>
      <c r="BC486" s="49"/>
      <c r="BD486" s="49"/>
      <c r="BE486" s="68"/>
    </row>
    <row r="487" spans="1:57" s="51" customFormat="1">
      <c r="A487" s="826"/>
      <c r="B487" s="872"/>
      <c r="C487" s="868"/>
      <c r="D487" s="62">
        <v>2019</v>
      </c>
      <c r="E487" s="63">
        <f t="shared" ref="E487:E492" si="181">F487+G487+H487+I487+J487</f>
        <v>589.02</v>
      </c>
      <c r="F487" s="63">
        <v>0</v>
      </c>
      <c r="G487" s="63">
        <v>0</v>
      </c>
      <c r="H487" s="63">
        <v>0</v>
      </c>
      <c r="I487" s="63">
        <v>589.02</v>
      </c>
      <c r="J487" s="63">
        <v>0</v>
      </c>
      <c r="K487" s="86">
        <f t="shared" si="173"/>
        <v>589.02</v>
      </c>
      <c r="L487" s="1010"/>
      <c r="M487" s="1011"/>
      <c r="N487" s="1007"/>
      <c r="O487" s="988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  <c r="AY487" s="49"/>
      <c r="AZ487" s="49"/>
      <c r="BA487" s="49"/>
      <c r="BB487" s="49"/>
      <c r="BC487" s="49"/>
      <c r="BD487" s="49"/>
      <c r="BE487" s="68"/>
    </row>
    <row r="488" spans="1:57" s="51" customFormat="1">
      <c r="A488" s="265"/>
      <c r="B488" s="872"/>
      <c r="C488" s="94"/>
      <c r="D488" s="62">
        <v>2020</v>
      </c>
      <c r="E488" s="63">
        <f t="shared" si="181"/>
        <v>4620.8</v>
      </c>
      <c r="F488" s="63">
        <v>0</v>
      </c>
      <c r="G488" s="63">
        <v>0</v>
      </c>
      <c r="H488" s="63">
        <v>0</v>
      </c>
      <c r="I488" s="63">
        <v>4620.8</v>
      </c>
      <c r="J488" s="63">
        <v>0</v>
      </c>
      <c r="K488" s="86">
        <f t="shared" si="173"/>
        <v>4620.8</v>
      </c>
      <c r="L488" s="353"/>
      <c r="M488" s="354"/>
      <c r="N488" s="355"/>
      <c r="O488" s="172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49"/>
      <c r="BC488" s="49"/>
      <c r="BD488" s="49"/>
      <c r="BE488" s="68"/>
    </row>
    <row r="489" spans="1:57" s="51" customFormat="1">
      <c r="A489" s="265"/>
      <c r="B489" s="872"/>
      <c r="C489" s="94"/>
      <c r="D489" s="62">
        <v>2021</v>
      </c>
      <c r="E489" s="63">
        <f t="shared" si="181"/>
        <v>419.8</v>
      </c>
      <c r="F489" s="63">
        <v>0</v>
      </c>
      <c r="G489" s="63">
        <v>0</v>
      </c>
      <c r="H489" s="63">
        <v>0</v>
      </c>
      <c r="I489" s="63">
        <v>419.8</v>
      </c>
      <c r="J489" s="63">
        <v>0</v>
      </c>
      <c r="K489" s="86">
        <f t="shared" si="173"/>
        <v>419.8</v>
      </c>
      <c r="L489" s="353"/>
      <c r="M489" s="354"/>
      <c r="N489" s="355"/>
      <c r="O489" s="172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49"/>
      <c r="BD489" s="49"/>
      <c r="BE489" s="68"/>
    </row>
    <row r="490" spans="1:57" s="51" customFormat="1">
      <c r="A490" s="265"/>
      <c r="B490" s="872"/>
      <c r="C490" s="94"/>
      <c r="D490" s="62">
        <v>2022</v>
      </c>
      <c r="E490" s="63">
        <f t="shared" si="181"/>
        <v>595.29999999999995</v>
      </c>
      <c r="F490" s="63">
        <v>0</v>
      </c>
      <c r="G490" s="63">
        <v>0</v>
      </c>
      <c r="H490" s="63">
        <v>0</v>
      </c>
      <c r="I490" s="63">
        <v>595.29999999999995</v>
      </c>
      <c r="J490" s="63">
        <v>0</v>
      </c>
      <c r="K490" s="86">
        <f t="shared" si="173"/>
        <v>595.29999999999995</v>
      </c>
      <c r="L490" s="353"/>
      <c r="M490" s="354"/>
      <c r="N490" s="355"/>
      <c r="O490" s="172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49"/>
      <c r="BC490" s="49"/>
      <c r="BD490" s="49"/>
      <c r="BE490" s="68"/>
    </row>
    <row r="491" spans="1:57" s="51" customFormat="1">
      <c r="A491" s="265"/>
      <c r="B491" s="872"/>
      <c r="C491" s="94"/>
      <c r="D491" s="62">
        <v>2023</v>
      </c>
      <c r="E491" s="63">
        <f t="shared" si="181"/>
        <v>533.5</v>
      </c>
      <c r="F491" s="63">
        <v>0</v>
      </c>
      <c r="G491" s="63">
        <v>0</v>
      </c>
      <c r="H491" s="63">
        <v>0</v>
      </c>
      <c r="I491" s="63">
        <v>533.5</v>
      </c>
      <c r="J491" s="63">
        <v>0</v>
      </c>
      <c r="K491" s="86">
        <f t="shared" si="173"/>
        <v>533.5</v>
      </c>
      <c r="L491" s="353"/>
      <c r="M491" s="354"/>
      <c r="N491" s="355"/>
      <c r="O491" s="172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  <c r="AY491" s="49"/>
      <c r="AZ491" s="49"/>
      <c r="BA491" s="49"/>
      <c r="BB491" s="49"/>
      <c r="BC491" s="49"/>
      <c r="BD491" s="49"/>
      <c r="BE491" s="68"/>
    </row>
    <row r="492" spans="1:57" s="51" customFormat="1">
      <c r="A492" s="265"/>
      <c r="B492" s="873"/>
      <c r="C492" s="94"/>
      <c r="D492" s="62">
        <v>2024</v>
      </c>
      <c r="E492" s="63">
        <f t="shared" si="181"/>
        <v>39.700000000000003</v>
      </c>
      <c r="F492" s="63">
        <v>0</v>
      </c>
      <c r="G492" s="63">
        <v>0</v>
      </c>
      <c r="H492" s="63">
        <v>0</v>
      </c>
      <c r="I492" s="63">
        <v>39.700000000000003</v>
      </c>
      <c r="J492" s="63">
        <v>0</v>
      </c>
      <c r="K492" s="86">
        <f t="shared" si="173"/>
        <v>39.700000000000003</v>
      </c>
      <c r="L492" s="353"/>
      <c r="M492" s="354"/>
      <c r="N492" s="355"/>
      <c r="O492" s="172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/>
      <c r="AX492" s="49"/>
      <c r="AY492" s="49"/>
      <c r="AZ492" s="49"/>
      <c r="BA492" s="49"/>
      <c r="BB492" s="49"/>
      <c r="BC492" s="49"/>
      <c r="BD492" s="49"/>
      <c r="BE492" s="68"/>
    </row>
    <row r="493" spans="1:57" s="51" customFormat="1" ht="12.75" customHeight="1">
      <c r="A493" s="900" t="s">
        <v>677</v>
      </c>
      <c r="B493" s="867" t="s">
        <v>678</v>
      </c>
      <c r="C493" s="867" t="s">
        <v>679</v>
      </c>
      <c r="D493" s="84" t="s">
        <v>16</v>
      </c>
      <c r="E493" s="85">
        <f t="shared" ref="E493:J493" si="182">E494</f>
        <v>5.05</v>
      </c>
      <c r="F493" s="85">
        <f t="shared" si="182"/>
        <v>0</v>
      </c>
      <c r="G493" s="85">
        <f t="shared" si="182"/>
        <v>0</v>
      </c>
      <c r="H493" s="85">
        <f t="shared" si="182"/>
        <v>5</v>
      </c>
      <c r="I493" s="85">
        <f t="shared" si="182"/>
        <v>0</v>
      </c>
      <c r="J493" s="85">
        <f t="shared" si="182"/>
        <v>0.05</v>
      </c>
      <c r="K493" s="86">
        <f t="shared" si="173"/>
        <v>5.05</v>
      </c>
      <c r="L493" s="356"/>
      <c r="M493" s="70"/>
      <c r="N493" s="355"/>
      <c r="O493" s="165" t="s">
        <v>571</v>
      </c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49"/>
      <c r="BC493" s="49"/>
      <c r="BD493" s="49"/>
      <c r="BE493" s="68"/>
    </row>
    <row r="494" spans="1:57" s="51" customFormat="1" ht="42" customHeight="1">
      <c r="A494" s="1015"/>
      <c r="B494" s="873"/>
      <c r="C494" s="873"/>
      <c r="D494" s="62">
        <v>2020</v>
      </c>
      <c r="E494" s="63">
        <f>F494+G494+H494+I494+J494</f>
        <v>5.05</v>
      </c>
      <c r="F494" s="63">
        <v>0</v>
      </c>
      <c r="G494" s="63">
        <v>0</v>
      </c>
      <c r="H494" s="63">
        <v>5</v>
      </c>
      <c r="I494" s="63">
        <v>0</v>
      </c>
      <c r="J494" s="63">
        <v>0.05</v>
      </c>
      <c r="K494" s="86">
        <f t="shared" si="173"/>
        <v>5.05</v>
      </c>
      <c r="L494" s="357" t="s">
        <v>680</v>
      </c>
      <c r="M494" s="70"/>
      <c r="N494" s="355"/>
      <c r="O494" s="172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49"/>
      <c r="BC494" s="49"/>
      <c r="BD494" s="49"/>
      <c r="BE494" s="68"/>
    </row>
    <row r="495" spans="1:57" s="51" customFormat="1" ht="51" customHeight="1">
      <c r="A495" s="900" t="s">
        <v>681</v>
      </c>
      <c r="B495" s="867" t="s">
        <v>682</v>
      </c>
      <c r="C495" s="867" t="s">
        <v>683</v>
      </c>
      <c r="D495" s="84" t="s">
        <v>16</v>
      </c>
      <c r="E495" s="85">
        <f t="shared" ref="E495:J495" si="183">E496+E497</f>
        <v>1116.9765</v>
      </c>
      <c r="F495" s="85">
        <f t="shared" si="183"/>
        <v>0</v>
      </c>
      <c r="G495" s="85">
        <f t="shared" si="183"/>
        <v>211.04910000000001</v>
      </c>
      <c r="H495" s="85">
        <f t="shared" si="183"/>
        <v>905.92739999999992</v>
      </c>
      <c r="I495" s="85">
        <f t="shared" si="183"/>
        <v>0</v>
      </c>
      <c r="J495" s="85">
        <f t="shared" si="183"/>
        <v>0</v>
      </c>
      <c r="K495" s="86">
        <f t="shared" si="173"/>
        <v>1116.9765</v>
      </c>
      <c r="L495" s="1012" t="s">
        <v>684</v>
      </c>
      <c r="M495" s="70"/>
      <c r="N495" s="355"/>
      <c r="O495" s="858" t="s">
        <v>685</v>
      </c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  <c r="AY495" s="49"/>
      <c r="AZ495" s="49"/>
      <c r="BA495" s="49"/>
      <c r="BB495" s="49"/>
      <c r="BC495" s="49"/>
      <c r="BD495" s="49"/>
      <c r="BE495" s="68"/>
    </row>
    <row r="496" spans="1:57" s="51" customFormat="1" ht="21" customHeight="1">
      <c r="A496" s="930"/>
      <c r="B496" s="872"/>
      <c r="C496" s="872"/>
      <c r="D496" s="62">
        <v>2019</v>
      </c>
      <c r="E496" s="63">
        <f>F496+G496+H496+I496+J496</f>
        <v>299.50909999999999</v>
      </c>
      <c r="F496" s="63">
        <v>0</v>
      </c>
      <c r="G496" s="63">
        <v>99.615399999999994</v>
      </c>
      <c r="H496" s="63">
        <v>199.8937</v>
      </c>
      <c r="I496" s="63">
        <v>0</v>
      </c>
      <c r="J496" s="63">
        <v>0</v>
      </c>
      <c r="K496" s="86">
        <f t="shared" si="173"/>
        <v>299.50909999999999</v>
      </c>
      <c r="L496" s="1013"/>
      <c r="M496" s="70"/>
      <c r="N496" s="355"/>
      <c r="O496" s="871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/>
      <c r="AX496" s="49"/>
      <c r="AY496" s="49"/>
      <c r="AZ496" s="49"/>
      <c r="BA496" s="49"/>
      <c r="BB496" s="49"/>
      <c r="BC496" s="49"/>
      <c r="BD496" s="49"/>
      <c r="BE496" s="68"/>
    </row>
    <row r="497" spans="1:57" s="51" customFormat="1">
      <c r="A497" s="1015"/>
      <c r="B497" s="873"/>
      <c r="C497" s="873"/>
      <c r="D497" s="62">
        <v>2020</v>
      </c>
      <c r="E497" s="63">
        <f>F497+G497+H497+I497+J497</f>
        <v>817.4674</v>
      </c>
      <c r="F497" s="63">
        <v>0</v>
      </c>
      <c r="G497" s="63">
        <v>111.4337</v>
      </c>
      <c r="H497" s="63">
        <v>706.03369999999995</v>
      </c>
      <c r="I497" s="63">
        <v>0</v>
      </c>
      <c r="J497" s="63">
        <v>0</v>
      </c>
      <c r="K497" s="86">
        <f t="shared" si="173"/>
        <v>817.4674</v>
      </c>
      <c r="L497" s="1014"/>
      <c r="M497" s="70"/>
      <c r="N497" s="355"/>
      <c r="O497" s="988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  <c r="AY497" s="49"/>
      <c r="AZ497" s="49"/>
      <c r="BA497" s="49"/>
      <c r="BB497" s="49"/>
      <c r="BC497" s="49"/>
      <c r="BD497" s="49"/>
      <c r="BE497" s="68"/>
    </row>
    <row r="498" spans="1:57" s="51" customFormat="1" ht="21" customHeight="1">
      <c r="A498" s="900" t="s">
        <v>686</v>
      </c>
      <c r="B498" s="1019" t="s">
        <v>687</v>
      </c>
      <c r="D498" s="84" t="s">
        <v>16</v>
      </c>
      <c r="E498" s="85">
        <f>E499+E500+E501+E502+E503+E504+E505</f>
        <v>74.303599999999989</v>
      </c>
      <c r="F498" s="85">
        <f>F499+F500+F501+F502+F503+F504+F505</f>
        <v>74.303599999999989</v>
      </c>
      <c r="G498" s="85">
        <f>G499+G500+G501</f>
        <v>0</v>
      </c>
      <c r="H498" s="85">
        <f>H499+H500+H501</f>
        <v>0</v>
      </c>
      <c r="I498" s="85">
        <f>I499+I500+I501</f>
        <v>0</v>
      </c>
      <c r="J498" s="85">
        <f>J499+J500+J501</f>
        <v>0</v>
      </c>
      <c r="K498" s="86">
        <f t="shared" si="173"/>
        <v>74.303599999999989</v>
      </c>
      <c r="L498" s="359"/>
      <c r="M498" s="70"/>
      <c r="N498" s="355"/>
      <c r="O498" s="842" t="s">
        <v>405</v>
      </c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  <c r="AY498" s="49"/>
      <c r="AZ498" s="49"/>
      <c r="BA498" s="49"/>
      <c r="BB498" s="49"/>
      <c r="BC498" s="49"/>
      <c r="BD498" s="49"/>
      <c r="BE498" s="68"/>
    </row>
    <row r="499" spans="1:57" s="51" customFormat="1" ht="51">
      <c r="A499" s="930"/>
      <c r="B499" s="1019"/>
      <c r="C499" s="60" t="s">
        <v>362</v>
      </c>
      <c r="D499" s="62">
        <v>2019</v>
      </c>
      <c r="E499" s="63">
        <f t="shared" ref="E499:E505" si="184">F499+G499+H499+I499+J499</f>
        <v>7.9199000000000002</v>
      </c>
      <c r="F499" s="63">
        <v>7.9199000000000002</v>
      </c>
      <c r="G499" s="63">
        <v>0</v>
      </c>
      <c r="H499" s="63">
        <v>0</v>
      </c>
      <c r="I499" s="63">
        <v>0</v>
      </c>
      <c r="J499" s="63">
        <v>0</v>
      </c>
      <c r="K499" s="86">
        <f t="shared" si="173"/>
        <v>7.9199000000000002</v>
      </c>
      <c r="L499" s="359"/>
      <c r="M499" s="70"/>
      <c r="N499" s="355"/>
      <c r="O499" s="1016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  <c r="AY499" s="49"/>
      <c r="AZ499" s="49"/>
      <c r="BA499" s="49"/>
      <c r="BB499" s="49"/>
      <c r="BC499" s="49"/>
      <c r="BD499" s="49"/>
      <c r="BE499" s="68"/>
    </row>
    <row r="500" spans="1:57" s="219" customFormat="1">
      <c r="A500" s="930"/>
      <c r="B500" s="881" t="s">
        <v>688</v>
      </c>
      <c r="C500" s="881" t="s">
        <v>689</v>
      </c>
      <c r="D500" s="197">
        <v>2020</v>
      </c>
      <c r="E500" s="198">
        <f t="shared" si="184"/>
        <v>8.3096999999999994</v>
      </c>
      <c r="F500" s="198">
        <v>8.3096999999999994</v>
      </c>
      <c r="G500" s="198">
        <v>0</v>
      </c>
      <c r="H500" s="198">
        <v>0</v>
      </c>
      <c r="I500" s="198">
        <v>0</v>
      </c>
      <c r="J500" s="198">
        <v>0</v>
      </c>
      <c r="K500" s="129">
        <f t="shared" si="173"/>
        <v>8.3096999999999994</v>
      </c>
      <c r="L500" s="361"/>
      <c r="M500" s="362"/>
      <c r="N500" s="363"/>
      <c r="O500" s="1016"/>
      <c r="P500" s="221"/>
      <c r="Q500" s="221"/>
      <c r="R500" s="221"/>
      <c r="S500" s="221"/>
      <c r="T500" s="221"/>
      <c r="U500" s="221"/>
      <c r="V500" s="221"/>
      <c r="W500" s="221"/>
      <c r="X500" s="221"/>
      <c r="Y500" s="221"/>
      <c r="Z500" s="221"/>
      <c r="AA500" s="221"/>
      <c r="AB500" s="221"/>
      <c r="AC500" s="221"/>
      <c r="AD500" s="221"/>
      <c r="AE500" s="221"/>
      <c r="AF500" s="221"/>
      <c r="AG500" s="221"/>
      <c r="AH500" s="221"/>
      <c r="AI500" s="221"/>
      <c r="AJ500" s="221"/>
      <c r="AK500" s="221"/>
      <c r="AL500" s="221"/>
      <c r="AM500" s="221"/>
      <c r="AN500" s="221"/>
      <c r="AO500" s="221"/>
      <c r="AP500" s="221"/>
      <c r="AQ500" s="221"/>
      <c r="AR500" s="221"/>
      <c r="AS500" s="221"/>
      <c r="AT500" s="221"/>
      <c r="AU500" s="221"/>
      <c r="AV500" s="221"/>
      <c r="AW500" s="221"/>
      <c r="AX500" s="221"/>
      <c r="AY500" s="221"/>
      <c r="AZ500" s="221"/>
      <c r="BA500" s="221"/>
      <c r="BB500" s="221"/>
      <c r="BC500" s="221"/>
      <c r="BD500" s="221"/>
      <c r="BE500" s="222"/>
    </row>
    <row r="501" spans="1:57" s="219" customFormat="1" ht="12.75" customHeight="1">
      <c r="A501" s="930"/>
      <c r="B501" s="882"/>
      <c r="C501" s="882"/>
      <c r="D501" s="197">
        <v>2021</v>
      </c>
      <c r="E501" s="198">
        <f t="shared" si="184"/>
        <v>8.391</v>
      </c>
      <c r="F501" s="198">
        <v>8.391</v>
      </c>
      <c r="G501" s="198">
        <v>0</v>
      </c>
      <c r="H501" s="198">
        <v>0</v>
      </c>
      <c r="I501" s="198">
        <v>0</v>
      </c>
      <c r="J501" s="198">
        <v>0</v>
      </c>
      <c r="K501" s="129">
        <f t="shared" si="173"/>
        <v>8.391</v>
      </c>
      <c r="L501" s="361"/>
      <c r="M501" s="362"/>
      <c r="N501" s="363"/>
      <c r="O501" s="1016"/>
      <c r="P501" s="221"/>
      <c r="Q501" s="221"/>
      <c r="R501" s="221"/>
      <c r="S501" s="221"/>
      <c r="T501" s="221"/>
      <c r="U501" s="221"/>
      <c r="V501" s="221"/>
      <c r="W501" s="221"/>
      <c r="X501" s="221"/>
      <c r="Y501" s="221"/>
      <c r="Z501" s="221"/>
      <c r="AA501" s="221"/>
      <c r="AB501" s="221"/>
      <c r="AC501" s="221"/>
      <c r="AD501" s="221"/>
      <c r="AE501" s="221"/>
      <c r="AF501" s="221"/>
      <c r="AG501" s="221"/>
      <c r="AH501" s="221"/>
      <c r="AI501" s="221"/>
      <c r="AJ501" s="221"/>
      <c r="AK501" s="221"/>
      <c r="AL501" s="221"/>
      <c r="AM501" s="221"/>
      <c r="AN501" s="221"/>
      <c r="AO501" s="221"/>
      <c r="AP501" s="221"/>
      <c r="AQ501" s="221"/>
      <c r="AR501" s="221"/>
      <c r="AS501" s="221"/>
      <c r="AT501" s="221"/>
      <c r="AU501" s="221"/>
      <c r="AV501" s="221"/>
      <c r="AW501" s="221"/>
      <c r="AX501" s="221"/>
      <c r="AY501" s="221"/>
      <c r="AZ501" s="221"/>
      <c r="BA501" s="221"/>
      <c r="BB501" s="221"/>
      <c r="BC501" s="221"/>
      <c r="BD501" s="221"/>
      <c r="BE501" s="222"/>
    </row>
    <row r="502" spans="1:57" s="219" customFormat="1">
      <c r="A502" s="930"/>
      <c r="B502" s="882"/>
      <c r="C502" s="882"/>
      <c r="D502" s="197">
        <v>2022</v>
      </c>
      <c r="E502" s="198">
        <f t="shared" si="184"/>
        <v>8.7950999999999997</v>
      </c>
      <c r="F502" s="198">
        <v>8.7950999999999997</v>
      </c>
      <c r="G502" s="198">
        <v>0</v>
      </c>
      <c r="H502" s="198">
        <v>0</v>
      </c>
      <c r="I502" s="198">
        <v>0</v>
      </c>
      <c r="J502" s="198">
        <v>0</v>
      </c>
      <c r="K502" s="129">
        <f t="shared" si="173"/>
        <v>8.7950999999999997</v>
      </c>
      <c r="L502" s="361"/>
      <c r="M502" s="362"/>
      <c r="N502" s="363"/>
      <c r="O502" s="1016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  <c r="AA502" s="221"/>
      <c r="AB502" s="221"/>
      <c r="AC502" s="221"/>
      <c r="AD502" s="221"/>
      <c r="AE502" s="221"/>
      <c r="AF502" s="221"/>
      <c r="AG502" s="221"/>
      <c r="AH502" s="221"/>
      <c r="AI502" s="221"/>
      <c r="AJ502" s="221"/>
      <c r="AK502" s="221"/>
      <c r="AL502" s="221"/>
      <c r="AM502" s="221"/>
      <c r="AN502" s="221"/>
      <c r="AO502" s="221"/>
      <c r="AP502" s="221"/>
      <c r="AQ502" s="221"/>
      <c r="AR502" s="221"/>
      <c r="AS502" s="221"/>
      <c r="AT502" s="221"/>
      <c r="AU502" s="221"/>
      <c r="AV502" s="221"/>
      <c r="AW502" s="221"/>
      <c r="AX502" s="221"/>
      <c r="AY502" s="221"/>
      <c r="AZ502" s="221"/>
      <c r="BA502" s="221"/>
      <c r="BB502" s="221"/>
      <c r="BC502" s="221"/>
      <c r="BD502" s="221"/>
      <c r="BE502" s="222"/>
    </row>
    <row r="503" spans="1:57" s="51" customFormat="1" ht="17.25" customHeight="1">
      <c r="A503" s="930"/>
      <c r="B503" s="882"/>
      <c r="C503" s="882"/>
      <c r="D503" s="62">
        <v>2023</v>
      </c>
      <c r="E503" s="63">
        <f t="shared" si="184"/>
        <v>13.0984</v>
      </c>
      <c r="F503" s="63">
        <v>13.0984</v>
      </c>
      <c r="G503" s="63">
        <v>0</v>
      </c>
      <c r="H503" s="63">
        <v>0</v>
      </c>
      <c r="I503" s="63">
        <v>0</v>
      </c>
      <c r="J503" s="63">
        <v>0</v>
      </c>
      <c r="K503" s="86">
        <f t="shared" si="173"/>
        <v>13.0984</v>
      </c>
      <c r="L503" s="359"/>
      <c r="M503" s="70"/>
      <c r="N503" s="355"/>
      <c r="O503" s="1016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49"/>
      <c r="BC503" s="49"/>
      <c r="BD503" s="49"/>
      <c r="BE503" s="68"/>
    </row>
    <row r="504" spans="1:57" s="51" customFormat="1">
      <c r="A504" s="930"/>
      <c r="B504" s="882"/>
      <c r="C504" s="882"/>
      <c r="D504" s="62">
        <v>2024</v>
      </c>
      <c r="E504" s="63">
        <f t="shared" si="184"/>
        <v>13.622299999999999</v>
      </c>
      <c r="F504" s="63">
        <v>13.622299999999999</v>
      </c>
      <c r="G504" s="63">
        <v>0</v>
      </c>
      <c r="H504" s="63">
        <v>0</v>
      </c>
      <c r="I504" s="63">
        <v>0</v>
      </c>
      <c r="J504" s="63">
        <v>0</v>
      </c>
      <c r="K504" s="86">
        <f t="shared" si="173"/>
        <v>13.622299999999999</v>
      </c>
      <c r="L504" s="359"/>
      <c r="M504" s="70"/>
      <c r="N504" s="355"/>
      <c r="O504" s="1016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  <c r="AY504" s="49"/>
      <c r="AZ504" s="49"/>
      <c r="BA504" s="49"/>
      <c r="BB504" s="49"/>
      <c r="BC504" s="49"/>
      <c r="BD504" s="49"/>
      <c r="BE504" s="68"/>
    </row>
    <row r="505" spans="1:57" s="51" customFormat="1">
      <c r="A505" s="1015"/>
      <c r="B505" s="964"/>
      <c r="C505" s="964"/>
      <c r="D505" s="62">
        <v>2025</v>
      </c>
      <c r="E505" s="63">
        <f t="shared" si="184"/>
        <v>14.167199999999999</v>
      </c>
      <c r="F505" s="320">
        <v>14.167199999999999</v>
      </c>
      <c r="G505" s="63">
        <v>0</v>
      </c>
      <c r="H505" s="63">
        <v>0</v>
      </c>
      <c r="I505" s="63">
        <v>0</v>
      </c>
      <c r="J505" s="63">
        <v>0</v>
      </c>
      <c r="K505" s="86">
        <f t="shared" si="173"/>
        <v>14.167199999999999</v>
      </c>
      <c r="L505" s="359"/>
      <c r="M505" s="70"/>
      <c r="N505" s="355"/>
      <c r="O505" s="843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/>
      <c r="AX505" s="49"/>
      <c r="AY505" s="49"/>
      <c r="AZ505" s="49"/>
      <c r="BA505" s="49"/>
      <c r="BB505" s="49"/>
      <c r="BC505" s="49"/>
      <c r="BD505" s="49"/>
      <c r="BE505" s="68"/>
    </row>
    <row r="506" spans="1:57" s="51" customFormat="1">
      <c r="A506" s="1017" t="s">
        <v>690</v>
      </c>
      <c r="B506" s="838" t="s">
        <v>691</v>
      </c>
      <c r="C506" s="838" t="s">
        <v>362</v>
      </c>
      <c r="D506" s="84" t="s">
        <v>16</v>
      </c>
      <c r="E506" s="85">
        <f>E507+E508</f>
        <v>12.9</v>
      </c>
      <c r="F506" s="85">
        <f>F507+F508</f>
        <v>12.9</v>
      </c>
      <c r="G506" s="85">
        <f>G507</f>
        <v>0</v>
      </c>
      <c r="H506" s="85">
        <f>H507</f>
        <v>0</v>
      </c>
      <c r="I506" s="85">
        <f>I507</f>
        <v>0</v>
      </c>
      <c r="J506" s="85">
        <f>J507</f>
        <v>0</v>
      </c>
      <c r="K506" s="86">
        <f t="shared" si="173"/>
        <v>12.9</v>
      </c>
      <c r="L506" s="359"/>
      <c r="M506" s="70"/>
      <c r="N506" s="355"/>
      <c r="O506" s="858" t="s">
        <v>405</v>
      </c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49"/>
      <c r="BC506" s="49"/>
      <c r="BD506" s="49"/>
      <c r="BE506" s="68"/>
    </row>
    <row r="507" spans="1:57" s="51" customFormat="1" ht="37.5" customHeight="1">
      <c r="A507" s="1018"/>
      <c r="B507" s="839"/>
      <c r="C507" s="839"/>
      <c r="D507" s="62">
        <v>2019</v>
      </c>
      <c r="E507" s="63">
        <f>F507+G507+H507+I507+J507</f>
        <v>9.9</v>
      </c>
      <c r="F507" s="63">
        <v>9.9</v>
      </c>
      <c r="G507" s="63">
        <v>0</v>
      </c>
      <c r="H507" s="63">
        <v>0</v>
      </c>
      <c r="I507" s="63">
        <v>0</v>
      </c>
      <c r="J507" s="63">
        <v>0</v>
      </c>
      <c r="K507" s="86">
        <f t="shared" si="173"/>
        <v>9.9</v>
      </c>
      <c r="L507" s="359"/>
      <c r="M507" s="70"/>
      <c r="N507" s="355"/>
      <c r="O507" s="871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/>
      <c r="AX507" s="49"/>
      <c r="AY507" s="49"/>
      <c r="AZ507" s="49"/>
      <c r="BA507" s="49"/>
      <c r="BB507" s="49"/>
      <c r="BC507" s="49"/>
      <c r="BD507" s="49"/>
      <c r="BE507" s="68"/>
    </row>
    <row r="508" spans="1:57" s="219" customFormat="1" ht="19.5" customHeight="1">
      <c r="A508" s="364"/>
      <c r="B508" s="201"/>
      <c r="C508" s="201"/>
      <c r="D508" s="197">
        <v>2020</v>
      </c>
      <c r="E508" s="198">
        <f>F508+G508+H508+I508+J508</f>
        <v>3</v>
      </c>
      <c r="F508" s="198">
        <v>3</v>
      </c>
      <c r="G508" s="198">
        <v>0</v>
      </c>
      <c r="H508" s="198">
        <v>0</v>
      </c>
      <c r="I508" s="198">
        <v>0</v>
      </c>
      <c r="J508" s="198">
        <v>0</v>
      </c>
      <c r="K508" s="129">
        <f t="shared" si="173"/>
        <v>3</v>
      </c>
      <c r="L508" s="361"/>
      <c r="M508" s="362"/>
      <c r="N508" s="363"/>
      <c r="O508" s="365"/>
      <c r="P508" s="221"/>
      <c r="Q508" s="221"/>
      <c r="R508" s="221"/>
      <c r="S508" s="221"/>
      <c r="T508" s="221"/>
      <c r="U508" s="221"/>
      <c r="V508" s="221"/>
      <c r="W508" s="221"/>
      <c r="X508" s="221"/>
      <c r="Y508" s="221"/>
      <c r="Z508" s="221"/>
      <c r="AA508" s="221"/>
      <c r="AB508" s="221"/>
      <c r="AC508" s="221"/>
      <c r="AD508" s="221"/>
      <c r="AE508" s="221"/>
      <c r="AF508" s="221"/>
      <c r="AG508" s="221"/>
      <c r="AH508" s="221"/>
      <c r="AI508" s="221"/>
      <c r="AJ508" s="221"/>
      <c r="AK508" s="221"/>
      <c r="AL508" s="221"/>
      <c r="AM508" s="221"/>
      <c r="AN508" s="221"/>
      <c r="AO508" s="221"/>
      <c r="AP508" s="221"/>
      <c r="AQ508" s="221"/>
      <c r="AR508" s="221"/>
      <c r="AS508" s="221"/>
      <c r="AT508" s="221"/>
      <c r="AU508" s="221"/>
      <c r="AV508" s="221"/>
      <c r="AW508" s="221"/>
      <c r="AX508" s="221"/>
      <c r="AY508" s="221"/>
      <c r="AZ508" s="221"/>
      <c r="BA508" s="221"/>
      <c r="BB508" s="221"/>
      <c r="BC508" s="221"/>
      <c r="BD508" s="221"/>
      <c r="BE508" s="222"/>
    </row>
    <row r="509" spans="1:57" s="51" customFormat="1" ht="15.75">
      <c r="A509" s="279">
        <v>9</v>
      </c>
      <c r="B509" s="139" t="s">
        <v>692</v>
      </c>
      <c r="C509" s="317"/>
      <c r="D509" s="84" t="s">
        <v>16</v>
      </c>
      <c r="E509" s="85">
        <f t="shared" ref="E509:J510" si="185">E511</f>
        <v>0</v>
      </c>
      <c r="F509" s="85">
        <f t="shared" si="185"/>
        <v>0</v>
      </c>
      <c r="G509" s="85">
        <f t="shared" si="185"/>
        <v>0</v>
      </c>
      <c r="H509" s="85">
        <f t="shared" si="185"/>
        <v>0</v>
      </c>
      <c r="I509" s="85">
        <f t="shared" si="185"/>
        <v>0</v>
      </c>
      <c r="J509" s="85">
        <f t="shared" si="185"/>
        <v>0</v>
      </c>
      <c r="K509" s="86">
        <f t="shared" si="173"/>
        <v>0</v>
      </c>
      <c r="L509" s="366"/>
      <c r="M509" s="70"/>
      <c r="N509" s="355"/>
      <c r="O509" s="31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49"/>
      <c r="BC509" s="49"/>
      <c r="BD509" s="49"/>
      <c r="BE509" s="68"/>
    </row>
    <row r="510" spans="1:57" s="51" customFormat="1">
      <c r="A510" s="265"/>
      <c r="B510" s="94"/>
      <c r="C510" s="94"/>
      <c r="D510" s="62" t="s">
        <v>693</v>
      </c>
      <c r="E510" s="63">
        <f t="shared" si="185"/>
        <v>0</v>
      </c>
      <c r="F510" s="63">
        <f t="shared" si="185"/>
        <v>0</v>
      </c>
      <c r="G510" s="63">
        <f t="shared" si="185"/>
        <v>0</v>
      </c>
      <c r="H510" s="63">
        <f t="shared" si="185"/>
        <v>0</v>
      </c>
      <c r="I510" s="63">
        <f t="shared" si="185"/>
        <v>0</v>
      </c>
      <c r="J510" s="63">
        <f t="shared" si="185"/>
        <v>0</v>
      </c>
      <c r="K510" s="86">
        <f t="shared" si="173"/>
        <v>0</v>
      </c>
      <c r="L510" s="366"/>
      <c r="M510" s="70"/>
      <c r="N510" s="355"/>
      <c r="O510" s="31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  <c r="AY510" s="49"/>
      <c r="AZ510" s="49"/>
      <c r="BA510" s="49"/>
      <c r="BB510" s="49"/>
      <c r="BC510" s="49"/>
      <c r="BD510" s="49"/>
      <c r="BE510" s="68"/>
    </row>
    <row r="511" spans="1:57" s="51" customFormat="1" ht="49.5" customHeight="1">
      <c r="A511" s="900" t="s">
        <v>694</v>
      </c>
      <c r="B511" s="867" t="s">
        <v>695</v>
      </c>
      <c r="C511" s="987"/>
      <c r="D511" s="84" t="s">
        <v>16</v>
      </c>
      <c r="E511" s="85">
        <f t="shared" ref="E511:J511" si="186">E512</f>
        <v>0</v>
      </c>
      <c r="F511" s="85">
        <f t="shared" si="186"/>
        <v>0</v>
      </c>
      <c r="G511" s="85">
        <f t="shared" si="186"/>
        <v>0</v>
      </c>
      <c r="H511" s="85">
        <f t="shared" si="186"/>
        <v>0</v>
      </c>
      <c r="I511" s="85">
        <f t="shared" si="186"/>
        <v>0</v>
      </c>
      <c r="J511" s="85">
        <f t="shared" si="186"/>
        <v>0</v>
      </c>
      <c r="K511" s="86">
        <f t="shared" si="173"/>
        <v>0</v>
      </c>
      <c r="L511" s="366"/>
      <c r="M511" s="70"/>
      <c r="N511" s="355"/>
      <c r="O511" s="858" t="s">
        <v>696</v>
      </c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  <c r="AY511" s="49"/>
      <c r="AZ511" s="49"/>
      <c r="BA511" s="49"/>
      <c r="BB511" s="49"/>
      <c r="BC511" s="49"/>
      <c r="BD511" s="49"/>
      <c r="BE511" s="68"/>
    </row>
    <row r="512" spans="1:57" s="51" customFormat="1" ht="18.75" customHeight="1">
      <c r="A512" s="834"/>
      <c r="B512" s="868"/>
      <c r="C512" s="868"/>
      <c r="D512" s="62" t="s">
        <v>693</v>
      </c>
      <c r="E512" s="63">
        <f>F512+G512+H512+I512+J512</f>
        <v>0</v>
      </c>
      <c r="F512" s="63">
        <v>0</v>
      </c>
      <c r="G512" s="63">
        <v>0</v>
      </c>
      <c r="H512" s="63">
        <v>0</v>
      </c>
      <c r="I512" s="63">
        <v>0</v>
      </c>
      <c r="J512" s="63">
        <v>0</v>
      </c>
      <c r="K512" s="86">
        <f t="shared" si="173"/>
        <v>0</v>
      </c>
      <c r="L512" s="366"/>
      <c r="M512" s="70"/>
      <c r="N512" s="355"/>
      <c r="O512" s="86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  <c r="AY512" s="49"/>
      <c r="AZ512" s="49"/>
      <c r="BA512" s="49"/>
      <c r="BB512" s="49"/>
      <c r="BC512" s="49"/>
      <c r="BD512" s="49"/>
      <c r="BE512" s="68"/>
    </row>
    <row r="513" spans="1:57" s="367" customFormat="1" ht="15.75">
      <c r="A513" s="926" t="s">
        <v>697</v>
      </c>
      <c r="B513" s="929" t="s">
        <v>698</v>
      </c>
      <c r="C513" s="929"/>
      <c r="D513" s="84" t="s">
        <v>16</v>
      </c>
      <c r="E513" s="136">
        <f t="shared" ref="E513:J513" si="187">SUM(E514:E525)</f>
        <v>3.3210000000000002</v>
      </c>
      <c r="F513" s="136">
        <f t="shared" si="187"/>
        <v>0</v>
      </c>
      <c r="G513" s="136">
        <f t="shared" si="187"/>
        <v>1.3180000000000001</v>
      </c>
      <c r="H513" s="136">
        <f t="shared" si="187"/>
        <v>1.0069999999999999</v>
      </c>
      <c r="I513" s="136">
        <f t="shared" si="187"/>
        <v>0.996</v>
      </c>
      <c r="J513" s="136">
        <f t="shared" si="187"/>
        <v>0</v>
      </c>
      <c r="K513" s="86">
        <f t="shared" si="173"/>
        <v>3.3210000000000002</v>
      </c>
      <c r="L513" s="99"/>
      <c r="M513" s="88"/>
      <c r="N513" s="89"/>
      <c r="O513" s="315"/>
      <c r="P513" s="368"/>
      <c r="Q513" s="368"/>
      <c r="R513" s="368"/>
      <c r="S513" s="368"/>
      <c r="T513" s="368"/>
      <c r="U513" s="368"/>
      <c r="V513" s="368"/>
      <c r="W513" s="368"/>
      <c r="X513" s="368"/>
      <c r="Y513" s="368"/>
      <c r="Z513" s="368"/>
      <c r="AA513" s="368"/>
      <c r="AB513" s="368"/>
      <c r="AC513" s="368"/>
      <c r="AD513" s="368"/>
      <c r="AE513" s="368"/>
      <c r="AF513" s="368"/>
      <c r="AG513" s="368"/>
      <c r="AH513" s="368"/>
      <c r="AI513" s="368"/>
      <c r="AJ513" s="368"/>
      <c r="AK513" s="368"/>
      <c r="AL513" s="368"/>
      <c r="AM513" s="368"/>
      <c r="AN513" s="368"/>
      <c r="AO513" s="368"/>
      <c r="AP513" s="368"/>
      <c r="AQ513" s="368"/>
      <c r="AR513" s="368"/>
      <c r="AS513" s="368"/>
      <c r="AT513" s="368"/>
      <c r="AU513" s="368"/>
      <c r="AV513" s="368"/>
      <c r="AW513" s="368"/>
      <c r="AX513" s="368"/>
      <c r="AY513" s="368"/>
      <c r="AZ513" s="368"/>
      <c r="BA513" s="368"/>
      <c r="BB513" s="368"/>
      <c r="BC513" s="368"/>
      <c r="BD513" s="368"/>
      <c r="BE513" s="369"/>
    </row>
    <row r="514" spans="1:57" s="367" customFormat="1" ht="15.75">
      <c r="A514" s="927"/>
      <c r="B514" s="868"/>
      <c r="C514" s="868"/>
      <c r="D514" s="84">
        <v>2019</v>
      </c>
      <c r="E514" s="85">
        <f t="shared" ref="E514:J525" si="188">E527</f>
        <v>3.3210000000000002</v>
      </c>
      <c r="F514" s="85">
        <f t="shared" si="188"/>
        <v>0</v>
      </c>
      <c r="G514" s="85">
        <f t="shared" si="188"/>
        <v>1.3180000000000001</v>
      </c>
      <c r="H514" s="85">
        <f t="shared" si="188"/>
        <v>1.0069999999999999</v>
      </c>
      <c r="I514" s="85">
        <f t="shared" si="188"/>
        <v>0.996</v>
      </c>
      <c r="J514" s="85">
        <f t="shared" si="188"/>
        <v>0</v>
      </c>
      <c r="K514" s="86">
        <f t="shared" si="173"/>
        <v>3.3210000000000002</v>
      </c>
      <c r="L514" s="99"/>
      <c r="M514" s="88"/>
      <c r="N514" s="89"/>
      <c r="O514" s="315"/>
      <c r="P514" s="368"/>
      <c r="Q514" s="368"/>
      <c r="R514" s="368"/>
      <c r="S514" s="368"/>
      <c r="T514" s="368"/>
      <c r="U514" s="368"/>
      <c r="V514" s="368"/>
      <c r="W514" s="368"/>
      <c r="X514" s="368"/>
      <c r="Y514" s="368"/>
      <c r="Z514" s="368"/>
      <c r="AA514" s="368"/>
      <c r="AB514" s="368"/>
      <c r="AC514" s="368"/>
      <c r="AD514" s="368"/>
      <c r="AE514" s="368"/>
      <c r="AF514" s="368"/>
      <c r="AG514" s="368"/>
      <c r="AH514" s="368"/>
      <c r="AI514" s="368"/>
      <c r="AJ514" s="368"/>
      <c r="AK514" s="368"/>
      <c r="AL514" s="368"/>
      <c r="AM514" s="368"/>
      <c r="AN514" s="368"/>
      <c r="AO514" s="368"/>
      <c r="AP514" s="368"/>
      <c r="AQ514" s="368"/>
      <c r="AR514" s="368"/>
      <c r="AS514" s="368"/>
      <c r="AT514" s="368"/>
      <c r="AU514" s="368"/>
      <c r="AV514" s="368"/>
      <c r="AW514" s="368"/>
      <c r="AX514" s="368"/>
      <c r="AY514" s="368"/>
      <c r="AZ514" s="368"/>
      <c r="BA514" s="368"/>
      <c r="BB514" s="368"/>
      <c r="BC514" s="368"/>
      <c r="BD514" s="368"/>
      <c r="BE514" s="369"/>
    </row>
    <row r="515" spans="1:57" s="367" customFormat="1" ht="15.75">
      <c r="A515" s="927"/>
      <c r="B515" s="868"/>
      <c r="C515" s="868"/>
      <c r="D515" s="84">
        <v>2020</v>
      </c>
      <c r="E515" s="85">
        <f t="shared" si="188"/>
        <v>0</v>
      </c>
      <c r="F515" s="85">
        <f t="shared" si="188"/>
        <v>0</v>
      </c>
      <c r="G515" s="85">
        <f t="shared" si="188"/>
        <v>0</v>
      </c>
      <c r="H515" s="85">
        <f t="shared" si="188"/>
        <v>0</v>
      </c>
      <c r="I515" s="85">
        <f t="shared" si="188"/>
        <v>0</v>
      </c>
      <c r="J515" s="85">
        <f t="shared" si="188"/>
        <v>0</v>
      </c>
      <c r="K515" s="86">
        <f t="shared" si="173"/>
        <v>0</v>
      </c>
      <c r="L515" s="99"/>
      <c r="M515" s="88"/>
      <c r="N515" s="89"/>
      <c r="O515" s="315"/>
      <c r="P515" s="368"/>
      <c r="Q515" s="368"/>
      <c r="R515" s="368"/>
      <c r="S515" s="368"/>
      <c r="T515" s="368"/>
      <c r="U515" s="368"/>
      <c r="V515" s="368"/>
      <c r="W515" s="368"/>
      <c r="X515" s="368"/>
      <c r="Y515" s="368"/>
      <c r="Z515" s="368"/>
      <c r="AA515" s="368"/>
      <c r="AB515" s="368"/>
      <c r="AC515" s="368"/>
      <c r="AD515" s="368"/>
      <c r="AE515" s="368"/>
      <c r="AF515" s="368"/>
      <c r="AG515" s="368"/>
      <c r="AH515" s="368"/>
      <c r="AI515" s="368"/>
      <c r="AJ515" s="368"/>
      <c r="AK515" s="368"/>
      <c r="AL515" s="368"/>
      <c r="AM515" s="368"/>
      <c r="AN515" s="368"/>
      <c r="AO515" s="368"/>
      <c r="AP515" s="368"/>
      <c r="AQ515" s="368"/>
      <c r="AR515" s="368"/>
      <c r="AS515" s="368"/>
      <c r="AT515" s="368"/>
      <c r="AU515" s="368"/>
      <c r="AV515" s="368"/>
      <c r="AW515" s="368"/>
      <c r="AX515" s="368"/>
      <c r="AY515" s="368"/>
      <c r="AZ515" s="368"/>
      <c r="BA515" s="368"/>
      <c r="BB515" s="368"/>
      <c r="BC515" s="368"/>
      <c r="BD515" s="368"/>
      <c r="BE515" s="369"/>
    </row>
    <row r="516" spans="1:57" s="367" customFormat="1" ht="15.75">
      <c r="A516" s="927"/>
      <c r="B516" s="868"/>
      <c r="C516" s="868"/>
      <c r="D516" s="84">
        <v>2021</v>
      </c>
      <c r="E516" s="85">
        <f t="shared" si="188"/>
        <v>0</v>
      </c>
      <c r="F516" s="85">
        <f t="shared" si="188"/>
        <v>0</v>
      </c>
      <c r="G516" s="85">
        <f t="shared" si="188"/>
        <v>0</v>
      </c>
      <c r="H516" s="85">
        <f t="shared" si="188"/>
        <v>0</v>
      </c>
      <c r="I516" s="85">
        <f t="shared" si="188"/>
        <v>0</v>
      </c>
      <c r="J516" s="85">
        <f t="shared" si="188"/>
        <v>0</v>
      </c>
      <c r="K516" s="86">
        <f t="shared" si="173"/>
        <v>0</v>
      </c>
      <c r="L516" s="99"/>
      <c r="M516" s="88"/>
      <c r="N516" s="89"/>
      <c r="O516" s="315"/>
      <c r="P516" s="368"/>
      <c r="Q516" s="368"/>
      <c r="R516" s="368"/>
      <c r="S516" s="368"/>
      <c r="T516" s="368"/>
      <c r="U516" s="368"/>
      <c r="V516" s="368"/>
      <c r="W516" s="368"/>
      <c r="X516" s="368"/>
      <c r="Y516" s="368"/>
      <c r="Z516" s="368"/>
      <c r="AA516" s="368"/>
      <c r="AB516" s="368"/>
      <c r="AC516" s="368"/>
      <c r="AD516" s="368"/>
      <c r="AE516" s="368"/>
      <c r="AF516" s="368"/>
      <c r="AG516" s="368"/>
      <c r="AH516" s="368"/>
      <c r="AI516" s="368"/>
      <c r="AJ516" s="368"/>
      <c r="AK516" s="368"/>
      <c r="AL516" s="368"/>
      <c r="AM516" s="368"/>
      <c r="AN516" s="368"/>
      <c r="AO516" s="368"/>
      <c r="AP516" s="368"/>
      <c r="AQ516" s="368"/>
      <c r="AR516" s="368"/>
      <c r="AS516" s="368"/>
      <c r="AT516" s="368"/>
      <c r="AU516" s="368"/>
      <c r="AV516" s="368"/>
      <c r="AW516" s="368"/>
      <c r="AX516" s="368"/>
      <c r="AY516" s="368"/>
      <c r="AZ516" s="368"/>
      <c r="BA516" s="368"/>
      <c r="BB516" s="368"/>
      <c r="BC516" s="368"/>
      <c r="BD516" s="368"/>
      <c r="BE516" s="369"/>
    </row>
    <row r="517" spans="1:57" s="367" customFormat="1" ht="15.75">
      <c r="A517" s="927"/>
      <c r="B517" s="868"/>
      <c r="C517" s="868"/>
      <c r="D517" s="84">
        <v>2022</v>
      </c>
      <c r="E517" s="85">
        <f t="shared" si="188"/>
        <v>0</v>
      </c>
      <c r="F517" s="85">
        <f t="shared" si="188"/>
        <v>0</v>
      </c>
      <c r="G517" s="85">
        <f t="shared" si="188"/>
        <v>0</v>
      </c>
      <c r="H517" s="85">
        <f t="shared" si="188"/>
        <v>0</v>
      </c>
      <c r="I517" s="85">
        <f t="shared" si="188"/>
        <v>0</v>
      </c>
      <c r="J517" s="85">
        <f t="shared" si="188"/>
        <v>0</v>
      </c>
      <c r="K517" s="86">
        <f t="shared" si="173"/>
        <v>0</v>
      </c>
      <c r="L517" s="99"/>
      <c r="M517" s="88"/>
      <c r="N517" s="89"/>
      <c r="O517" s="315"/>
      <c r="P517" s="368"/>
      <c r="Q517" s="368"/>
      <c r="R517" s="368"/>
      <c r="S517" s="368"/>
      <c r="T517" s="368"/>
      <c r="U517" s="368"/>
      <c r="V517" s="368"/>
      <c r="W517" s="368"/>
      <c r="X517" s="368"/>
      <c r="Y517" s="368"/>
      <c r="Z517" s="368"/>
      <c r="AA517" s="368"/>
      <c r="AB517" s="368"/>
      <c r="AC517" s="368"/>
      <c r="AD517" s="368"/>
      <c r="AE517" s="368"/>
      <c r="AF517" s="368"/>
      <c r="AG517" s="368"/>
      <c r="AH517" s="368"/>
      <c r="AI517" s="368"/>
      <c r="AJ517" s="368"/>
      <c r="AK517" s="368"/>
      <c r="AL517" s="368"/>
      <c r="AM517" s="368"/>
      <c r="AN517" s="368"/>
      <c r="AO517" s="368"/>
      <c r="AP517" s="368"/>
      <c r="AQ517" s="368"/>
      <c r="AR517" s="368"/>
      <c r="AS517" s="368"/>
      <c r="AT517" s="368"/>
      <c r="AU517" s="368"/>
      <c r="AV517" s="368"/>
      <c r="AW517" s="368"/>
      <c r="AX517" s="368"/>
      <c r="AY517" s="368"/>
      <c r="AZ517" s="368"/>
      <c r="BA517" s="368"/>
      <c r="BB517" s="368"/>
      <c r="BC517" s="368"/>
      <c r="BD517" s="368"/>
      <c r="BE517" s="369"/>
    </row>
    <row r="518" spans="1:57" s="367" customFormat="1" ht="15.75">
      <c r="A518" s="927"/>
      <c r="B518" s="868"/>
      <c r="C518" s="868"/>
      <c r="D518" s="84">
        <v>2023</v>
      </c>
      <c r="E518" s="85">
        <f t="shared" si="188"/>
        <v>0</v>
      </c>
      <c r="F518" s="85">
        <f t="shared" si="188"/>
        <v>0</v>
      </c>
      <c r="G518" s="85">
        <f t="shared" si="188"/>
        <v>0</v>
      </c>
      <c r="H518" s="85">
        <f t="shared" si="188"/>
        <v>0</v>
      </c>
      <c r="I518" s="85">
        <f t="shared" si="188"/>
        <v>0</v>
      </c>
      <c r="J518" s="85">
        <f t="shared" si="188"/>
        <v>0</v>
      </c>
      <c r="K518" s="86">
        <f t="shared" si="173"/>
        <v>0</v>
      </c>
      <c r="L518" s="99"/>
      <c r="M518" s="88"/>
      <c r="N518" s="89"/>
      <c r="O518" s="315"/>
      <c r="P518" s="368"/>
      <c r="Q518" s="368"/>
      <c r="R518" s="368"/>
      <c r="S518" s="368"/>
      <c r="T518" s="368"/>
      <c r="U518" s="368"/>
      <c r="V518" s="368"/>
      <c r="W518" s="368"/>
      <c r="X518" s="368"/>
      <c r="Y518" s="368"/>
      <c r="Z518" s="368"/>
      <c r="AA518" s="368"/>
      <c r="AB518" s="368"/>
      <c r="AC518" s="368"/>
      <c r="AD518" s="368"/>
      <c r="AE518" s="368"/>
      <c r="AF518" s="368"/>
      <c r="AG518" s="368"/>
      <c r="AH518" s="368"/>
      <c r="AI518" s="368"/>
      <c r="AJ518" s="368"/>
      <c r="AK518" s="368"/>
      <c r="AL518" s="368"/>
      <c r="AM518" s="368"/>
      <c r="AN518" s="368"/>
      <c r="AO518" s="368"/>
      <c r="AP518" s="368"/>
      <c r="AQ518" s="368"/>
      <c r="AR518" s="368"/>
      <c r="AS518" s="368"/>
      <c r="AT518" s="368"/>
      <c r="AU518" s="368"/>
      <c r="AV518" s="368"/>
      <c r="AW518" s="368"/>
      <c r="AX518" s="368"/>
      <c r="AY518" s="368"/>
      <c r="AZ518" s="368"/>
      <c r="BA518" s="368"/>
      <c r="BB518" s="368"/>
      <c r="BC518" s="368"/>
      <c r="BD518" s="368"/>
      <c r="BE518" s="369"/>
    </row>
    <row r="519" spans="1:57" s="367" customFormat="1" ht="15.75">
      <c r="A519" s="927"/>
      <c r="B519" s="868"/>
      <c r="C519" s="868"/>
      <c r="D519" s="84">
        <v>2024</v>
      </c>
      <c r="E519" s="85">
        <f t="shared" si="188"/>
        <v>0</v>
      </c>
      <c r="F519" s="85">
        <f t="shared" si="188"/>
        <v>0</v>
      </c>
      <c r="G519" s="85">
        <f t="shared" si="188"/>
        <v>0</v>
      </c>
      <c r="H519" s="85">
        <f t="shared" si="188"/>
        <v>0</v>
      </c>
      <c r="I519" s="85">
        <f t="shared" si="188"/>
        <v>0</v>
      </c>
      <c r="J519" s="85">
        <f t="shared" si="188"/>
        <v>0</v>
      </c>
      <c r="K519" s="86">
        <f t="shared" si="173"/>
        <v>0</v>
      </c>
      <c r="L519" s="99"/>
      <c r="M519" s="88"/>
      <c r="N519" s="89"/>
      <c r="O519" s="315"/>
      <c r="P519" s="368"/>
      <c r="Q519" s="368"/>
      <c r="R519" s="368"/>
      <c r="S519" s="368"/>
      <c r="T519" s="368"/>
      <c r="U519" s="368"/>
      <c r="V519" s="368"/>
      <c r="W519" s="368"/>
      <c r="X519" s="368"/>
      <c r="Y519" s="368"/>
      <c r="Z519" s="368"/>
      <c r="AA519" s="368"/>
      <c r="AB519" s="368"/>
      <c r="AC519" s="368"/>
      <c r="AD519" s="368"/>
      <c r="AE519" s="368"/>
      <c r="AF519" s="368"/>
      <c r="AG519" s="368"/>
      <c r="AH519" s="368"/>
      <c r="AI519" s="368"/>
      <c r="AJ519" s="368"/>
      <c r="AK519" s="368"/>
      <c r="AL519" s="368"/>
      <c r="AM519" s="368"/>
      <c r="AN519" s="368"/>
      <c r="AO519" s="368"/>
      <c r="AP519" s="368"/>
      <c r="AQ519" s="368"/>
      <c r="AR519" s="368"/>
      <c r="AS519" s="368"/>
      <c r="AT519" s="368"/>
      <c r="AU519" s="368"/>
      <c r="AV519" s="368"/>
      <c r="AW519" s="368"/>
      <c r="AX519" s="368"/>
      <c r="AY519" s="368"/>
      <c r="AZ519" s="368"/>
      <c r="BA519" s="368"/>
      <c r="BB519" s="368"/>
      <c r="BC519" s="368"/>
      <c r="BD519" s="368"/>
      <c r="BE519" s="369"/>
    </row>
    <row r="520" spans="1:57" s="367" customFormat="1" ht="15.75">
      <c r="A520" s="927"/>
      <c r="B520" s="868"/>
      <c r="C520" s="868"/>
      <c r="D520" s="84">
        <v>2025</v>
      </c>
      <c r="E520" s="85">
        <f t="shared" si="188"/>
        <v>0</v>
      </c>
      <c r="F520" s="85">
        <f t="shared" si="188"/>
        <v>0</v>
      </c>
      <c r="G520" s="85">
        <f t="shared" si="188"/>
        <v>0</v>
      </c>
      <c r="H520" s="85">
        <f t="shared" si="188"/>
        <v>0</v>
      </c>
      <c r="I520" s="85">
        <f t="shared" si="188"/>
        <v>0</v>
      </c>
      <c r="J520" s="85">
        <f t="shared" si="188"/>
        <v>0</v>
      </c>
      <c r="K520" s="86">
        <f t="shared" si="173"/>
        <v>0</v>
      </c>
      <c r="L520" s="99"/>
      <c r="M520" s="88"/>
      <c r="N520" s="89"/>
      <c r="O520" s="315"/>
      <c r="P520" s="368"/>
      <c r="Q520" s="368"/>
      <c r="R520" s="368"/>
      <c r="S520" s="368"/>
      <c r="T520" s="368"/>
      <c r="U520" s="368"/>
      <c r="V520" s="368"/>
      <c r="W520" s="368"/>
      <c r="X520" s="368"/>
      <c r="Y520" s="368"/>
      <c r="Z520" s="368"/>
      <c r="AA520" s="368"/>
      <c r="AB520" s="368"/>
      <c r="AC520" s="368"/>
      <c r="AD520" s="368"/>
      <c r="AE520" s="368"/>
      <c r="AF520" s="368"/>
      <c r="AG520" s="368"/>
      <c r="AH520" s="368"/>
      <c r="AI520" s="368"/>
      <c r="AJ520" s="368"/>
      <c r="AK520" s="368"/>
      <c r="AL520" s="368"/>
      <c r="AM520" s="368"/>
      <c r="AN520" s="368"/>
      <c r="AO520" s="368"/>
      <c r="AP520" s="368"/>
      <c r="AQ520" s="368"/>
      <c r="AR520" s="368"/>
      <c r="AS520" s="368"/>
      <c r="AT520" s="368"/>
      <c r="AU520" s="368"/>
      <c r="AV520" s="368"/>
      <c r="AW520" s="368"/>
      <c r="AX520" s="368"/>
      <c r="AY520" s="368"/>
      <c r="AZ520" s="368"/>
      <c r="BA520" s="368"/>
      <c r="BB520" s="368"/>
      <c r="BC520" s="368"/>
      <c r="BD520" s="368"/>
      <c r="BE520" s="369"/>
    </row>
    <row r="521" spans="1:57" s="367" customFormat="1" ht="15.75">
      <c r="A521" s="927"/>
      <c r="B521" s="868"/>
      <c r="C521" s="868"/>
      <c r="D521" s="84">
        <v>2026</v>
      </c>
      <c r="E521" s="85">
        <f t="shared" si="188"/>
        <v>0</v>
      </c>
      <c r="F521" s="85">
        <f t="shared" si="188"/>
        <v>0</v>
      </c>
      <c r="G521" s="85">
        <f t="shared" si="188"/>
        <v>0</v>
      </c>
      <c r="H521" s="85">
        <f t="shared" si="188"/>
        <v>0</v>
      </c>
      <c r="I521" s="85">
        <f t="shared" si="188"/>
        <v>0</v>
      </c>
      <c r="J521" s="85">
        <f t="shared" si="188"/>
        <v>0</v>
      </c>
      <c r="K521" s="86">
        <f t="shared" si="173"/>
        <v>0</v>
      </c>
      <c r="L521" s="99"/>
      <c r="M521" s="88"/>
      <c r="N521" s="89"/>
      <c r="O521" s="315"/>
      <c r="P521" s="368"/>
      <c r="Q521" s="368"/>
      <c r="R521" s="368"/>
      <c r="S521" s="368"/>
      <c r="T521" s="368"/>
      <c r="U521" s="368"/>
      <c r="V521" s="368"/>
      <c r="W521" s="368"/>
      <c r="X521" s="368"/>
      <c r="Y521" s="368"/>
      <c r="Z521" s="368"/>
      <c r="AA521" s="368"/>
      <c r="AB521" s="368"/>
      <c r="AC521" s="368"/>
      <c r="AD521" s="368"/>
      <c r="AE521" s="368"/>
      <c r="AF521" s="368"/>
      <c r="AG521" s="368"/>
      <c r="AH521" s="368"/>
      <c r="AI521" s="368"/>
      <c r="AJ521" s="368"/>
      <c r="AK521" s="368"/>
      <c r="AL521" s="368"/>
      <c r="AM521" s="368"/>
      <c r="AN521" s="368"/>
      <c r="AO521" s="368"/>
      <c r="AP521" s="368"/>
      <c r="AQ521" s="368"/>
      <c r="AR521" s="368"/>
      <c r="AS521" s="368"/>
      <c r="AT521" s="368"/>
      <c r="AU521" s="368"/>
      <c r="AV521" s="368"/>
      <c r="AW521" s="368"/>
      <c r="AX521" s="368"/>
      <c r="AY521" s="368"/>
      <c r="AZ521" s="368"/>
      <c r="BA521" s="368"/>
      <c r="BB521" s="368"/>
      <c r="BC521" s="368"/>
      <c r="BD521" s="368"/>
      <c r="BE521" s="369"/>
    </row>
    <row r="522" spans="1:57" s="367" customFormat="1" ht="15.75">
      <c r="A522" s="927"/>
      <c r="B522" s="868"/>
      <c r="C522" s="868"/>
      <c r="D522" s="84">
        <v>2027</v>
      </c>
      <c r="E522" s="85">
        <f t="shared" si="188"/>
        <v>0</v>
      </c>
      <c r="F522" s="85">
        <f t="shared" si="188"/>
        <v>0</v>
      </c>
      <c r="G522" s="85">
        <f t="shared" si="188"/>
        <v>0</v>
      </c>
      <c r="H522" s="85">
        <f t="shared" si="188"/>
        <v>0</v>
      </c>
      <c r="I522" s="85">
        <f t="shared" si="188"/>
        <v>0</v>
      </c>
      <c r="J522" s="85">
        <f t="shared" si="188"/>
        <v>0</v>
      </c>
      <c r="K522" s="86">
        <f t="shared" si="173"/>
        <v>0</v>
      </c>
      <c r="L522" s="99"/>
      <c r="M522" s="88"/>
      <c r="N522" s="89"/>
      <c r="O522" s="315"/>
      <c r="P522" s="368"/>
      <c r="Q522" s="368"/>
      <c r="R522" s="368"/>
      <c r="S522" s="368"/>
      <c r="T522" s="368"/>
      <c r="U522" s="368"/>
      <c r="V522" s="368"/>
      <c r="W522" s="368"/>
      <c r="X522" s="368"/>
      <c r="Y522" s="368"/>
      <c r="Z522" s="368"/>
      <c r="AA522" s="368"/>
      <c r="AB522" s="368"/>
      <c r="AC522" s="368"/>
      <c r="AD522" s="368"/>
      <c r="AE522" s="368"/>
      <c r="AF522" s="368"/>
      <c r="AG522" s="368"/>
      <c r="AH522" s="368"/>
      <c r="AI522" s="368"/>
      <c r="AJ522" s="368"/>
      <c r="AK522" s="368"/>
      <c r="AL522" s="368"/>
      <c r="AM522" s="368"/>
      <c r="AN522" s="368"/>
      <c r="AO522" s="368"/>
      <c r="AP522" s="368"/>
      <c r="AQ522" s="368"/>
      <c r="AR522" s="368"/>
      <c r="AS522" s="368"/>
      <c r="AT522" s="368"/>
      <c r="AU522" s="368"/>
      <c r="AV522" s="368"/>
      <c r="AW522" s="368"/>
      <c r="AX522" s="368"/>
      <c r="AY522" s="368"/>
      <c r="AZ522" s="368"/>
      <c r="BA522" s="368"/>
      <c r="BB522" s="368"/>
      <c r="BC522" s="368"/>
      <c r="BD522" s="368"/>
      <c r="BE522" s="369"/>
    </row>
    <row r="523" spans="1:57" s="367" customFormat="1" ht="15.75">
      <c r="A523" s="927"/>
      <c r="B523" s="868"/>
      <c r="C523" s="868"/>
      <c r="D523" s="84">
        <v>2028</v>
      </c>
      <c r="E523" s="85">
        <f t="shared" si="188"/>
        <v>0</v>
      </c>
      <c r="F523" s="85">
        <f t="shared" si="188"/>
        <v>0</v>
      </c>
      <c r="G523" s="85">
        <f t="shared" si="188"/>
        <v>0</v>
      </c>
      <c r="H523" s="85">
        <f t="shared" si="188"/>
        <v>0</v>
      </c>
      <c r="I523" s="85">
        <f t="shared" si="188"/>
        <v>0</v>
      </c>
      <c r="J523" s="85">
        <f t="shared" si="188"/>
        <v>0</v>
      </c>
      <c r="K523" s="86">
        <f t="shared" ref="K523:K586" si="189">F523+G523+H523+I523+J523</f>
        <v>0</v>
      </c>
      <c r="L523" s="99"/>
      <c r="M523" s="88"/>
      <c r="N523" s="89"/>
      <c r="O523" s="315"/>
      <c r="P523" s="368"/>
      <c r="Q523" s="368"/>
      <c r="R523" s="368"/>
      <c r="S523" s="368"/>
      <c r="T523" s="368"/>
      <c r="U523" s="368"/>
      <c r="V523" s="368"/>
      <c r="W523" s="368"/>
      <c r="X523" s="368"/>
      <c r="Y523" s="368"/>
      <c r="Z523" s="368"/>
      <c r="AA523" s="368"/>
      <c r="AB523" s="368"/>
      <c r="AC523" s="368"/>
      <c r="AD523" s="368"/>
      <c r="AE523" s="368"/>
      <c r="AF523" s="368"/>
      <c r="AG523" s="368"/>
      <c r="AH523" s="368"/>
      <c r="AI523" s="368"/>
      <c r="AJ523" s="368"/>
      <c r="AK523" s="368"/>
      <c r="AL523" s="368"/>
      <c r="AM523" s="368"/>
      <c r="AN523" s="368"/>
      <c r="AO523" s="368"/>
      <c r="AP523" s="368"/>
      <c r="AQ523" s="368"/>
      <c r="AR523" s="368"/>
      <c r="AS523" s="368"/>
      <c r="AT523" s="368"/>
      <c r="AU523" s="368"/>
      <c r="AV523" s="368"/>
      <c r="AW523" s="368"/>
      <c r="AX523" s="368"/>
      <c r="AY523" s="368"/>
      <c r="AZ523" s="368"/>
      <c r="BA523" s="368"/>
      <c r="BB523" s="368"/>
      <c r="BC523" s="368"/>
      <c r="BD523" s="368"/>
      <c r="BE523" s="369"/>
    </row>
    <row r="524" spans="1:57" s="367" customFormat="1" ht="15.75">
      <c r="A524" s="927"/>
      <c r="B524" s="868"/>
      <c r="C524" s="868"/>
      <c r="D524" s="84">
        <v>2029</v>
      </c>
      <c r="E524" s="85">
        <f t="shared" si="188"/>
        <v>0</v>
      </c>
      <c r="F524" s="85">
        <f t="shared" si="188"/>
        <v>0</v>
      </c>
      <c r="G524" s="85">
        <f t="shared" si="188"/>
        <v>0</v>
      </c>
      <c r="H524" s="85">
        <f t="shared" si="188"/>
        <v>0</v>
      </c>
      <c r="I524" s="85">
        <f t="shared" si="188"/>
        <v>0</v>
      </c>
      <c r="J524" s="85">
        <f t="shared" si="188"/>
        <v>0</v>
      </c>
      <c r="K524" s="86">
        <f t="shared" si="189"/>
        <v>0</v>
      </c>
      <c r="L524" s="99"/>
      <c r="M524" s="88"/>
      <c r="N524" s="89"/>
      <c r="O524" s="315"/>
      <c r="P524" s="368"/>
      <c r="Q524" s="368"/>
      <c r="R524" s="368"/>
      <c r="S524" s="368"/>
      <c r="T524" s="368"/>
      <c r="U524" s="368"/>
      <c r="V524" s="368"/>
      <c r="W524" s="368"/>
      <c r="X524" s="368"/>
      <c r="Y524" s="368"/>
      <c r="Z524" s="368"/>
      <c r="AA524" s="368"/>
      <c r="AB524" s="368"/>
      <c r="AC524" s="368"/>
      <c r="AD524" s="368"/>
      <c r="AE524" s="368"/>
      <c r="AF524" s="368"/>
      <c r="AG524" s="368"/>
      <c r="AH524" s="368"/>
      <c r="AI524" s="368"/>
      <c r="AJ524" s="368"/>
      <c r="AK524" s="368"/>
      <c r="AL524" s="368"/>
      <c r="AM524" s="368"/>
      <c r="AN524" s="368"/>
      <c r="AO524" s="368"/>
      <c r="AP524" s="368"/>
      <c r="AQ524" s="368"/>
      <c r="AR524" s="368"/>
      <c r="AS524" s="368"/>
      <c r="AT524" s="368"/>
      <c r="AU524" s="368"/>
      <c r="AV524" s="368"/>
      <c r="AW524" s="368"/>
      <c r="AX524" s="368"/>
      <c r="AY524" s="368"/>
      <c r="AZ524" s="368"/>
      <c r="BA524" s="368"/>
      <c r="BB524" s="368"/>
      <c r="BC524" s="368"/>
      <c r="BD524" s="368"/>
      <c r="BE524" s="369"/>
    </row>
    <row r="525" spans="1:57" s="367" customFormat="1" ht="15.75">
      <c r="A525" s="927"/>
      <c r="B525" s="869"/>
      <c r="C525" s="868"/>
      <c r="D525" s="84">
        <v>2030</v>
      </c>
      <c r="E525" s="85">
        <f t="shared" si="188"/>
        <v>0</v>
      </c>
      <c r="F525" s="85">
        <f t="shared" si="188"/>
        <v>0</v>
      </c>
      <c r="G525" s="85">
        <f t="shared" si="188"/>
        <v>0</v>
      </c>
      <c r="H525" s="85">
        <f t="shared" si="188"/>
        <v>0</v>
      </c>
      <c r="I525" s="85">
        <f t="shared" si="188"/>
        <v>0</v>
      </c>
      <c r="J525" s="85">
        <f t="shared" si="188"/>
        <v>0</v>
      </c>
      <c r="K525" s="86">
        <f t="shared" si="189"/>
        <v>0</v>
      </c>
      <c r="L525" s="99"/>
      <c r="M525" s="88"/>
      <c r="N525" s="89"/>
      <c r="O525" s="315"/>
      <c r="P525" s="368"/>
      <c r="Q525" s="368"/>
      <c r="R525" s="368"/>
      <c r="S525" s="368"/>
      <c r="T525" s="368"/>
      <c r="U525" s="368"/>
      <c r="V525" s="368"/>
      <c r="W525" s="368"/>
      <c r="X525" s="368"/>
      <c r="Y525" s="368"/>
      <c r="Z525" s="368"/>
      <c r="AA525" s="368"/>
      <c r="AB525" s="368"/>
      <c r="AC525" s="368"/>
      <c r="AD525" s="368"/>
      <c r="AE525" s="368"/>
      <c r="AF525" s="368"/>
      <c r="AG525" s="368"/>
      <c r="AH525" s="368"/>
      <c r="AI525" s="368"/>
      <c r="AJ525" s="368"/>
      <c r="AK525" s="368"/>
      <c r="AL525" s="368"/>
      <c r="AM525" s="368"/>
      <c r="AN525" s="368"/>
      <c r="AO525" s="368"/>
      <c r="AP525" s="368"/>
      <c r="AQ525" s="368"/>
      <c r="AR525" s="368"/>
      <c r="AS525" s="368"/>
      <c r="AT525" s="368"/>
      <c r="AU525" s="368"/>
      <c r="AV525" s="368"/>
      <c r="AW525" s="368"/>
      <c r="AX525" s="368"/>
      <c r="AY525" s="368"/>
      <c r="AZ525" s="368"/>
      <c r="BA525" s="368"/>
      <c r="BB525" s="368"/>
      <c r="BC525" s="368"/>
      <c r="BD525" s="368"/>
      <c r="BE525" s="369"/>
    </row>
    <row r="526" spans="1:57" s="51" customFormat="1" ht="21" customHeight="1">
      <c r="A526" s="900" t="s">
        <v>699</v>
      </c>
      <c r="B526" s="867" t="s">
        <v>700</v>
      </c>
      <c r="D526" s="84" t="s">
        <v>16</v>
      </c>
      <c r="E526" s="347">
        <f t="shared" ref="E526:J526" si="190">E527+E528+E529+E530+E531+E532+E533+E534+E535+E536+E537+E538</f>
        <v>3.3210000000000002</v>
      </c>
      <c r="F526" s="347">
        <f t="shared" si="190"/>
        <v>0</v>
      </c>
      <c r="G526" s="347">
        <f t="shared" si="190"/>
        <v>1.3180000000000001</v>
      </c>
      <c r="H526" s="347">
        <f t="shared" si="190"/>
        <v>1.0069999999999999</v>
      </c>
      <c r="I526" s="347">
        <f t="shared" si="190"/>
        <v>0.996</v>
      </c>
      <c r="J526" s="347">
        <f t="shared" si="190"/>
        <v>0</v>
      </c>
      <c r="K526" s="86">
        <f t="shared" si="189"/>
        <v>3.3210000000000002</v>
      </c>
      <c r="L526" s="99"/>
      <c r="M526" s="88"/>
      <c r="N526" s="89"/>
      <c r="O526" s="1020" t="s">
        <v>701</v>
      </c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49"/>
      <c r="BC526" s="49"/>
      <c r="BD526" s="49"/>
      <c r="BE526" s="68"/>
    </row>
    <row r="527" spans="1:57" s="51" customFormat="1" ht="12.75" customHeight="1">
      <c r="A527" s="834"/>
      <c r="B527" s="868"/>
      <c r="C527" s="867" t="s">
        <v>702</v>
      </c>
      <c r="D527" s="62">
        <v>2019</v>
      </c>
      <c r="E527" s="63">
        <f t="shared" ref="E527:E538" si="191">F527+G527+H527+I527+J527</f>
        <v>3.3210000000000002</v>
      </c>
      <c r="F527" s="63">
        <v>0</v>
      </c>
      <c r="G527" s="63">
        <v>1.3180000000000001</v>
      </c>
      <c r="H527" s="63">
        <v>1.0069999999999999</v>
      </c>
      <c r="I527" s="63">
        <v>0.996</v>
      </c>
      <c r="J527" s="63">
        <v>0</v>
      </c>
      <c r="K527" s="86">
        <f t="shared" si="189"/>
        <v>3.3210000000000002</v>
      </c>
      <c r="L527" s="185"/>
      <c r="M527" s="88"/>
      <c r="N527" s="89"/>
      <c r="O527" s="1021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49"/>
      <c r="BC527" s="49"/>
      <c r="BD527" s="49"/>
      <c r="BE527" s="68"/>
    </row>
    <row r="528" spans="1:57" s="51" customFormat="1">
      <c r="A528" s="834"/>
      <c r="B528" s="868"/>
      <c r="C528" s="872"/>
      <c r="D528" s="62">
        <v>2020</v>
      </c>
      <c r="E528" s="63">
        <f t="shared" si="191"/>
        <v>0</v>
      </c>
      <c r="F528" s="63">
        <v>0</v>
      </c>
      <c r="G528" s="63">
        <v>0</v>
      </c>
      <c r="H528" s="63">
        <v>0</v>
      </c>
      <c r="I528" s="63">
        <v>0</v>
      </c>
      <c r="J528" s="63">
        <v>0</v>
      </c>
      <c r="K528" s="86">
        <f t="shared" si="189"/>
        <v>0</v>
      </c>
      <c r="L528" s="185"/>
      <c r="M528" s="88"/>
      <c r="N528" s="89"/>
      <c r="O528" s="1021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49"/>
      <c r="BC528" s="49"/>
      <c r="BD528" s="49"/>
      <c r="BE528" s="68"/>
    </row>
    <row r="529" spans="1:57" s="51" customFormat="1">
      <c r="A529" s="834"/>
      <c r="B529" s="868"/>
      <c r="C529" s="872"/>
      <c r="D529" s="62">
        <v>2021</v>
      </c>
      <c r="E529" s="63">
        <f t="shared" si="191"/>
        <v>0</v>
      </c>
      <c r="F529" s="63">
        <v>0</v>
      </c>
      <c r="G529" s="63">
        <v>0</v>
      </c>
      <c r="H529" s="63">
        <v>0</v>
      </c>
      <c r="I529" s="63">
        <v>0</v>
      </c>
      <c r="J529" s="63">
        <v>0</v>
      </c>
      <c r="K529" s="86">
        <f t="shared" si="189"/>
        <v>0</v>
      </c>
      <c r="L529" s="185"/>
      <c r="M529" s="88"/>
      <c r="N529" s="89"/>
      <c r="O529" s="1021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49"/>
      <c r="BC529" s="49"/>
      <c r="BD529" s="49"/>
      <c r="BE529" s="68"/>
    </row>
    <row r="530" spans="1:57" s="51" customFormat="1">
      <c r="A530" s="834"/>
      <c r="B530" s="868"/>
      <c r="C530" s="872"/>
      <c r="D530" s="62">
        <v>2022</v>
      </c>
      <c r="E530" s="63">
        <f t="shared" si="191"/>
        <v>0</v>
      </c>
      <c r="F530" s="63">
        <v>0</v>
      </c>
      <c r="G530" s="63">
        <v>0</v>
      </c>
      <c r="H530" s="63">
        <v>0</v>
      </c>
      <c r="I530" s="63">
        <v>0</v>
      </c>
      <c r="J530" s="63">
        <v>0</v>
      </c>
      <c r="K530" s="86">
        <f t="shared" si="189"/>
        <v>0</v>
      </c>
      <c r="L530" s="185"/>
      <c r="M530" s="88"/>
      <c r="N530" s="89"/>
      <c r="O530" s="1021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49"/>
      <c r="BC530" s="49"/>
      <c r="BD530" s="49"/>
      <c r="BE530" s="68"/>
    </row>
    <row r="531" spans="1:57" s="51" customFormat="1">
      <c r="A531" s="834"/>
      <c r="B531" s="868"/>
      <c r="C531" s="872"/>
      <c r="D531" s="62">
        <v>2023</v>
      </c>
      <c r="E531" s="63">
        <f t="shared" si="191"/>
        <v>0</v>
      </c>
      <c r="F531" s="63">
        <v>0</v>
      </c>
      <c r="G531" s="63">
        <v>0</v>
      </c>
      <c r="H531" s="63">
        <v>0</v>
      </c>
      <c r="I531" s="63">
        <v>0</v>
      </c>
      <c r="J531" s="63">
        <v>0</v>
      </c>
      <c r="K531" s="86">
        <f t="shared" si="189"/>
        <v>0</v>
      </c>
      <c r="L531" s="185"/>
      <c r="M531" s="88"/>
      <c r="N531" s="89"/>
      <c r="O531" s="1021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49"/>
      <c r="BC531" s="49"/>
      <c r="BD531" s="49"/>
      <c r="BE531" s="68"/>
    </row>
    <row r="532" spans="1:57" s="51" customFormat="1">
      <c r="A532" s="834"/>
      <c r="B532" s="868"/>
      <c r="C532" s="872"/>
      <c r="D532" s="62">
        <v>2024</v>
      </c>
      <c r="E532" s="63">
        <f t="shared" si="191"/>
        <v>0</v>
      </c>
      <c r="F532" s="63">
        <v>0</v>
      </c>
      <c r="G532" s="63">
        <v>0</v>
      </c>
      <c r="H532" s="63">
        <v>0</v>
      </c>
      <c r="I532" s="63">
        <v>0</v>
      </c>
      <c r="J532" s="63">
        <v>0</v>
      </c>
      <c r="K532" s="86">
        <f t="shared" si="189"/>
        <v>0</v>
      </c>
      <c r="L532" s="185"/>
      <c r="M532" s="88"/>
      <c r="N532" s="89"/>
      <c r="O532" s="1021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49"/>
      <c r="BC532" s="49"/>
      <c r="BD532" s="49"/>
      <c r="BE532" s="68"/>
    </row>
    <row r="533" spans="1:57" s="51" customFormat="1">
      <c r="A533" s="834"/>
      <c r="B533" s="868"/>
      <c r="C533" s="872"/>
      <c r="D533" s="62">
        <v>2025</v>
      </c>
      <c r="E533" s="63">
        <f t="shared" si="191"/>
        <v>0</v>
      </c>
      <c r="F533" s="63">
        <v>0</v>
      </c>
      <c r="G533" s="63">
        <v>0</v>
      </c>
      <c r="H533" s="63">
        <v>0</v>
      </c>
      <c r="I533" s="63">
        <v>0</v>
      </c>
      <c r="J533" s="63">
        <v>0</v>
      </c>
      <c r="K533" s="86">
        <f t="shared" si="189"/>
        <v>0</v>
      </c>
      <c r="L533" s="185"/>
      <c r="M533" s="88"/>
      <c r="N533" s="89"/>
      <c r="O533" s="1021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  <c r="AT533" s="49"/>
      <c r="AU533" s="49"/>
      <c r="AV533" s="49"/>
      <c r="AW533" s="49"/>
      <c r="AX533" s="49"/>
      <c r="AY533" s="49"/>
      <c r="AZ533" s="49"/>
      <c r="BA533" s="49"/>
      <c r="BB533" s="49"/>
      <c r="BC533" s="49"/>
      <c r="BD533" s="49"/>
      <c r="BE533" s="68"/>
    </row>
    <row r="534" spans="1:57" s="51" customFormat="1" ht="12.75" customHeight="1">
      <c r="A534" s="834"/>
      <c r="B534" s="868"/>
      <c r="C534" s="870" t="s">
        <v>703</v>
      </c>
      <c r="D534" s="62">
        <v>2026</v>
      </c>
      <c r="E534" s="63">
        <f t="shared" si="191"/>
        <v>0</v>
      </c>
      <c r="F534" s="63">
        <v>0</v>
      </c>
      <c r="G534" s="63">
        <v>0</v>
      </c>
      <c r="H534" s="63">
        <v>0</v>
      </c>
      <c r="I534" s="63">
        <v>0</v>
      </c>
      <c r="J534" s="63">
        <v>0</v>
      </c>
      <c r="K534" s="86">
        <f t="shared" si="189"/>
        <v>0</v>
      </c>
      <c r="L534" s="185"/>
      <c r="M534" s="88"/>
      <c r="N534" s="89"/>
      <c r="O534" s="1021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49"/>
      <c r="BC534" s="49"/>
      <c r="BD534" s="49"/>
      <c r="BE534" s="68"/>
    </row>
    <row r="535" spans="1:57" s="51" customFormat="1">
      <c r="A535" s="834"/>
      <c r="B535" s="868"/>
      <c r="C535" s="870"/>
      <c r="D535" s="62">
        <v>2027</v>
      </c>
      <c r="E535" s="63">
        <f t="shared" si="191"/>
        <v>0</v>
      </c>
      <c r="F535" s="63">
        <v>0</v>
      </c>
      <c r="G535" s="63">
        <v>0</v>
      </c>
      <c r="H535" s="63">
        <v>0</v>
      </c>
      <c r="I535" s="63">
        <v>0</v>
      </c>
      <c r="J535" s="63">
        <v>0</v>
      </c>
      <c r="K535" s="86">
        <f t="shared" si="189"/>
        <v>0</v>
      </c>
      <c r="L535" s="185"/>
      <c r="M535" s="88"/>
      <c r="N535" s="89"/>
      <c r="O535" s="1021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49"/>
      <c r="BC535" s="49"/>
      <c r="BD535" s="49"/>
      <c r="BE535" s="68"/>
    </row>
    <row r="536" spans="1:57" s="51" customFormat="1">
      <c r="A536" s="834"/>
      <c r="B536" s="868"/>
      <c r="C536" s="870"/>
      <c r="D536" s="62">
        <v>2028</v>
      </c>
      <c r="E536" s="63">
        <f t="shared" si="191"/>
        <v>0</v>
      </c>
      <c r="F536" s="63">
        <v>0</v>
      </c>
      <c r="G536" s="63">
        <v>0</v>
      </c>
      <c r="H536" s="63">
        <v>0</v>
      </c>
      <c r="I536" s="63">
        <v>0</v>
      </c>
      <c r="J536" s="63">
        <v>0</v>
      </c>
      <c r="K536" s="86">
        <f t="shared" si="189"/>
        <v>0</v>
      </c>
      <c r="L536" s="185"/>
      <c r="M536" s="88"/>
      <c r="N536" s="89"/>
      <c r="O536" s="1021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  <c r="AT536" s="49"/>
      <c r="AU536" s="49"/>
      <c r="AV536" s="49"/>
      <c r="AW536" s="49"/>
      <c r="AX536" s="49"/>
      <c r="AY536" s="49"/>
      <c r="AZ536" s="49"/>
      <c r="BA536" s="49"/>
      <c r="BB536" s="49"/>
      <c r="BC536" s="49"/>
      <c r="BD536" s="49"/>
      <c r="BE536" s="68"/>
    </row>
    <row r="537" spans="1:57" s="51" customFormat="1">
      <c r="A537" s="834"/>
      <c r="B537" s="868"/>
      <c r="C537" s="870"/>
      <c r="D537" s="62">
        <v>2029</v>
      </c>
      <c r="E537" s="63">
        <f t="shared" si="191"/>
        <v>0</v>
      </c>
      <c r="F537" s="63">
        <v>0</v>
      </c>
      <c r="G537" s="63">
        <v>0</v>
      </c>
      <c r="H537" s="63">
        <v>0</v>
      </c>
      <c r="I537" s="63">
        <v>0</v>
      </c>
      <c r="J537" s="63">
        <v>0</v>
      </c>
      <c r="K537" s="86">
        <f t="shared" si="189"/>
        <v>0</v>
      </c>
      <c r="L537" s="185"/>
      <c r="M537" s="88"/>
      <c r="N537" s="89"/>
      <c r="O537" s="1021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49"/>
      <c r="BC537" s="49"/>
      <c r="BD537" s="49"/>
      <c r="BE537" s="68"/>
    </row>
    <row r="538" spans="1:57" s="51" customFormat="1" ht="12.75" customHeight="1">
      <c r="A538" s="835"/>
      <c r="B538" s="869"/>
      <c r="C538" s="870"/>
      <c r="D538" s="62">
        <v>2030</v>
      </c>
      <c r="E538" s="63">
        <f t="shared" si="191"/>
        <v>0</v>
      </c>
      <c r="F538" s="63">
        <v>0</v>
      </c>
      <c r="G538" s="63">
        <v>0</v>
      </c>
      <c r="H538" s="63">
        <v>0</v>
      </c>
      <c r="I538" s="63">
        <v>0</v>
      </c>
      <c r="J538" s="63">
        <v>0</v>
      </c>
      <c r="K538" s="86">
        <f t="shared" si="189"/>
        <v>0</v>
      </c>
      <c r="L538" s="185"/>
      <c r="M538" s="88"/>
      <c r="N538" s="89"/>
      <c r="O538" s="1021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49"/>
      <c r="BC538" s="49"/>
      <c r="BD538" s="49"/>
      <c r="BE538" s="68"/>
    </row>
    <row r="539" spans="1:57" s="51" customFormat="1" ht="16.5" customHeight="1">
      <c r="A539" s="1022">
        <v>11</v>
      </c>
      <c r="B539" s="929" t="s">
        <v>704</v>
      </c>
      <c r="C539" s="1023"/>
      <c r="D539" s="84" t="s">
        <v>16</v>
      </c>
      <c r="E539" s="85">
        <f t="shared" ref="E539:J546" si="192">E547</f>
        <v>4.5951000000000004</v>
      </c>
      <c r="F539" s="85">
        <f t="shared" si="192"/>
        <v>4.5951000000000004</v>
      </c>
      <c r="G539" s="85">
        <f t="shared" si="192"/>
        <v>0</v>
      </c>
      <c r="H539" s="85">
        <f t="shared" si="192"/>
        <v>0</v>
      </c>
      <c r="I539" s="85">
        <f t="shared" si="192"/>
        <v>0</v>
      </c>
      <c r="J539" s="85">
        <f t="shared" si="192"/>
        <v>0</v>
      </c>
      <c r="K539" s="86">
        <f t="shared" si="189"/>
        <v>4.5951000000000004</v>
      </c>
      <c r="L539" s="185"/>
      <c r="M539" s="88"/>
      <c r="N539" s="89"/>
      <c r="O539" s="6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  <c r="AT539" s="49"/>
      <c r="AU539" s="49"/>
      <c r="AV539" s="49"/>
      <c r="AW539" s="49"/>
      <c r="AX539" s="49"/>
      <c r="AY539" s="49"/>
      <c r="AZ539" s="49"/>
      <c r="BA539" s="49"/>
      <c r="BB539" s="49"/>
      <c r="BC539" s="49"/>
      <c r="BD539" s="49"/>
      <c r="BE539" s="68"/>
    </row>
    <row r="540" spans="1:57" s="51" customFormat="1" ht="16.5" customHeight="1">
      <c r="A540" s="834"/>
      <c r="B540" s="868"/>
      <c r="C540" s="868"/>
      <c r="D540" s="62">
        <v>2019</v>
      </c>
      <c r="E540" s="63">
        <f t="shared" si="192"/>
        <v>0</v>
      </c>
      <c r="F540" s="63">
        <f t="shared" si="192"/>
        <v>0</v>
      </c>
      <c r="G540" s="63">
        <f t="shared" si="192"/>
        <v>0</v>
      </c>
      <c r="H540" s="63">
        <f t="shared" si="192"/>
        <v>0</v>
      </c>
      <c r="I540" s="63">
        <f t="shared" si="192"/>
        <v>0</v>
      </c>
      <c r="J540" s="63">
        <f t="shared" si="192"/>
        <v>0</v>
      </c>
      <c r="K540" s="86">
        <f t="shared" si="189"/>
        <v>0</v>
      </c>
      <c r="L540" s="185"/>
      <c r="M540" s="88"/>
      <c r="N540" s="89"/>
      <c r="O540" s="6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  <c r="AT540" s="49"/>
      <c r="AU540" s="49"/>
      <c r="AV540" s="49"/>
      <c r="AW540" s="49"/>
      <c r="AX540" s="49"/>
      <c r="AY540" s="49"/>
      <c r="AZ540" s="49"/>
      <c r="BA540" s="49"/>
      <c r="BB540" s="49"/>
      <c r="BC540" s="49"/>
      <c r="BD540" s="49"/>
      <c r="BE540" s="68"/>
    </row>
    <row r="541" spans="1:57" s="219" customFormat="1" ht="16.5" customHeight="1">
      <c r="A541" s="834"/>
      <c r="B541" s="868"/>
      <c r="C541" s="868"/>
      <c r="D541" s="197">
        <v>2020</v>
      </c>
      <c r="E541" s="198">
        <f t="shared" si="192"/>
        <v>4.5951000000000004</v>
      </c>
      <c r="F541" s="198">
        <f t="shared" si="192"/>
        <v>4.5951000000000004</v>
      </c>
      <c r="G541" s="198">
        <f t="shared" si="192"/>
        <v>0</v>
      </c>
      <c r="H541" s="198">
        <f t="shared" si="192"/>
        <v>0</v>
      </c>
      <c r="I541" s="198">
        <f t="shared" si="192"/>
        <v>0</v>
      </c>
      <c r="J541" s="198">
        <f t="shared" si="192"/>
        <v>0</v>
      </c>
      <c r="K541" s="129">
        <f t="shared" si="189"/>
        <v>4.5951000000000004</v>
      </c>
      <c r="L541" s="371"/>
      <c r="M541" s="220"/>
      <c r="N541" s="225"/>
      <c r="O541" s="266"/>
      <c r="P541" s="221"/>
      <c r="Q541" s="221"/>
      <c r="R541" s="221"/>
      <c r="S541" s="221"/>
      <c r="T541" s="221"/>
      <c r="U541" s="221"/>
      <c r="V541" s="221"/>
      <c r="W541" s="221"/>
      <c r="X541" s="221"/>
      <c r="Y541" s="221"/>
      <c r="Z541" s="221"/>
      <c r="AA541" s="221"/>
      <c r="AB541" s="221"/>
      <c r="AC541" s="221"/>
      <c r="AD541" s="221"/>
      <c r="AE541" s="221"/>
      <c r="AF541" s="221"/>
      <c r="AG541" s="221"/>
      <c r="AH541" s="221"/>
      <c r="AI541" s="221"/>
      <c r="AJ541" s="221"/>
      <c r="AK541" s="221"/>
      <c r="AL541" s="221"/>
      <c r="AM541" s="221"/>
      <c r="AN541" s="221"/>
      <c r="AO541" s="221"/>
      <c r="AP541" s="221"/>
      <c r="AQ541" s="221"/>
      <c r="AR541" s="221"/>
      <c r="AS541" s="221"/>
      <c r="AT541" s="221"/>
      <c r="AU541" s="221"/>
      <c r="AV541" s="221"/>
      <c r="AW541" s="221"/>
      <c r="AX541" s="221"/>
      <c r="AY541" s="221"/>
      <c r="AZ541" s="221"/>
      <c r="BA541" s="221"/>
      <c r="BB541" s="221"/>
      <c r="BC541" s="221"/>
      <c r="BD541" s="221"/>
      <c r="BE541" s="222"/>
    </row>
    <row r="542" spans="1:57" s="219" customFormat="1" ht="16.5" customHeight="1">
      <c r="A542" s="834"/>
      <c r="B542" s="868"/>
      <c r="C542" s="868"/>
      <c r="D542" s="197">
        <v>2021</v>
      </c>
      <c r="E542" s="198">
        <f t="shared" si="192"/>
        <v>0</v>
      </c>
      <c r="F542" s="198">
        <f t="shared" si="192"/>
        <v>0</v>
      </c>
      <c r="G542" s="198">
        <f t="shared" si="192"/>
        <v>0</v>
      </c>
      <c r="H542" s="198">
        <f t="shared" si="192"/>
        <v>0</v>
      </c>
      <c r="I542" s="198">
        <f t="shared" si="192"/>
        <v>0</v>
      </c>
      <c r="J542" s="198">
        <f t="shared" si="192"/>
        <v>0</v>
      </c>
      <c r="K542" s="129">
        <f t="shared" si="189"/>
        <v>0</v>
      </c>
      <c r="L542" s="371"/>
      <c r="M542" s="220"/>
      <c r="N542" s="225"/>
      <c r="O542" s="271"/>
      <c r="P542" s="221"/>
      <c r="Q542" s="221"/>
      <c r="R542" s="221"/>
      <c r="S542" s="221"/>
      <c r="T542" s="221"/>
      <c r="U542" s="221"/>
      <c r="V542" s="221"/>
      <c r="W542" s="221"/>
      <c r="X542" s="221"/>
      <c r="Y542" s="221"/>
      <c r="Z542" s="221"/>
      <c r="AA542" s="221"/>
      <c r="AB542" s="221"/>
      <c r="AC542" s="221"/>
      <c r="AD542" s="221"/>
      <c r="AE542" s="221"/>
      <c r="AF542" s="221"/>
      <c r="AG542" s="221"/>
      <c r="AH542" s="221"/>
      <c r="AI542" s="221"/>
      <c r="AJ542" s="221"/>
      <c r="AK542" s="221"/>
      <c r="AL542" s="221"/>
      <c r="AM542" s="221"/>
      <c r="AN542" s="221"/>
      <c r="AO542" s="221"/>
      <c r="AP542" s="221"/>
      <c r="AQ542" s="221"/>
      <c r="AR542" s="221"/>
      <c r="AS542" s="221"/>
      <c r="AT542" s="221"/>
      <c r="AU542" s="221"/>
      <c r="AV542" s="221"/>
      <c r="AW542" s="221"/>
      <c r="AX542" s="221"/>
      <c r="AY542" s="221"/>
      <c r="AZ542" s="221"/>
      <c r="BA542" s="221"/>
      <c r="BB542" s="221"/>
      <c r="BC542" s="221"/>
      <c r="BD542" s="221"/>
      <c r="BE542" s="222"/>
    </row>
    <row r="543" spans="1:57" s="219" customFormat="1" ht="16.5" customHeight="1">
      <c r="A543" s="834"/>
      <c r="B543" s="868"/>
      <c r="C543" s="868"/>
      <c r="D543" s="197">
        <v>2022</v>
      </c>
      <c r="E543" s="198">
        <f t="shared" si="192"/>
        <v>0</v>
      </c>
      <c r="F543" s="198">
        <f t="shared" si="192"/>
        <v>0</v>
      </c>
      <c r="G543" s="198">
        <f t="shared" si="192"/>
        <v>0</v>
      </c>
      <c r="H543" s="198">
        <f t="shared" si="192"/>
        <v>0</v>
      </c>
      <c r="I543" s="198">
        <f t="shared" si="192"/>
        <v>0</v>
      </c>
      <c r="J543" s="198">
        <f t="shared" si="192"/>
        <v>0</v>
      </c>
      <c r="K543" s="129">
        <f t="shared" si="189"/>
        <v>0</v>
      </c>
      <c r="L543" s="371"/>
      <c r="M543" s="220"/>
      <c r="N543" s="225"/>
      <c r="O543" s="372"/>
      <c r="P543" s="221"/>
      <c r="Q543" s="221"/>
      <c r="R543" s="221"/>
      <c r="S543" s="221"/>
      <c r="T543" s="221"/>
      <c r="U543" s="221"/>
      <c r="V543" s="221"/>
      <c r="W543" s="221"/>
      <c r="X543" s="221"/>
      <c r="Y543" s="221"/>
      <c r="Z543" s="221"/>
      <c r="AA543" s="221"/>
      <c r="AB543" s="221"/>
      <c r="AC543" s="221"/>
      <c r="AD543" s="221"/>
      <c r="AE543" s="221"/>
      <c r="AF543" s="221"/>
      <c r="AG543" s="221"/>
      <c r="AH543" s="221"/>
      <c r="AI543" s="221"/>
      <c r="AJ543" s="221"/>
      <c r="AK543" s="221"/>
      <c r="AL543" s="221"/>
      <c r="AM543" s="221"/>
      <c r="AN543" s="221"/>
      <c r="AO543" s="221"/>
      <c r="AP543" s="221"/>
      <c r="AQ543" s="221"/>
      <c r="AR543" s="221"/>
      <c r="AS543" s="221"/>
      <c r="AT543" s="221"/>
      <c r="AU543" s="221"/>
      <c r="AV543" s="221"/>
      <c r="AW543" s="221"/>
      <c r="AX543" s="221"/>
      <c r="AY543" s="221"/>
      <c r="AZ543" s="221"/>
      <c r="BA543" s="221"/>
      <c r="BB543" s="221"/>
      <c r="BC543" s="221"/>
      <c r="BD543" s="221"/>
      <c r="BE543" s="222"/>
    </row>
    <row r="544" spans="1:57" s="51" customFormat="1" ht="16.5" customHeight="1">
      <c r="A544" s="834"/>
      <c r="B544" s="868"/>
      <c r="C544" s="868"/>
      <c r="D544" s="62">
        <v>2023</v>
      </c>
      <c r="E544" s="63">
        <f t="shared" si="192"/>
        <v>0</v>
      </c>
      <c r="F544" s="63">
        <f t="shared" si="192"/>
        <v>0</v>
      </c>
      <c r="G544" s="63">
        <f t="shared" si="192"/>
        <v>0</v>
      </c>
      <c r="H544" s="63">
        <f t="shared" si="192"/>
        <v>0</v>
      </c>
      <c r="I544" s="63">
        <f t="shared" si="192"/>
        <v>0</v>
      </c>
      <c r="J544" s="63">
        <f t="shared" si="192"/>
        <v>0</v>
      </c>
      <c r="K544" s="86">
        <f t="shared" si="189"/>
        <v>0</v>
      </c>
      <c r="L544" s="185"/>
      <c r="M544" s="88"/>
      <c r="N544" s="89"/>
      <c r="O544" s="94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AU544" s="49"/>
      <c r="AV544" s="49"/>
      <c r="AW544" s="49"/>
      <c r="AX544" s="49"/>
      <c r="AY544" s="49"/>
      <c r="AZ544" s="49"/>
      <c r="BA544" s="49"/>
      <c r="BB544" s="49"/>
      <c r="BC544" s="49"/>
      <c r="BD544" s="49"/>
      <c r="BE544" s="68"/>
    </row>
    <row r="545" spans="1:57" s="51" customFormat="1" ht="16.5" customHeight="1">
      <c r="A545" s="834"/>
      <c r="B545" s="868"/>
      <c r="C545" s="868"/>
      <c r="D545" s="320">
        <v>2024</v>
      </c>
      <c r="E545" s="347">
        <f t="shared" si="192"/>
        <v>0</v>
      </c>
      <c r="F545" s="347">
        <f t="shared" si="192"/>
        <v>0</v>
      </c>
      <c r="G545" s="347">
        <f t="shared" si="192"/>
        <v>0</v>
      </c>
      <c r="H545" s="347">
        <f t="shared" si="192"/>
        <v>0</v>
      </c>
      <c r="I545" s="347">
        <f t="shared" si="192"/>
        <v>0</v>
      </c>
      <c r="J545" s="347">
        <f t="shared" si="192"/>
        <v>0</v>
      </c>
      <c r="K545" s="86">
        <f t="shared" si="189"/>
        <v>0</v>
      </c>
      <c r="L545" s="185"/>
      <c r="M545" s="88"/>
      <c r="N545" s="89"/>
      <c r="O545" s="94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  <c r="AT545" s="49"/>
      <c r="AU545" s="49"/>
      <c r="AV545" s="49"/>
      <c r="AW545" s="49"/>
      <c r="AX545" s="49"/>
      <c r="AY545" s="49"/>
      <c r="AZ545" s="49"/>
      <c r="BA545" s="49"/>
      <c r="BB545" s="49"/>
      <c r="BC545" s="49"/>
      <c r="BD545" s="49"/>
      <c r="BE545" s="68"/>
    </row>
    <row r="546" spans="1:57" s="51" customFormat="1" ht="16.5" customHeight="1">
      <c r="A546" s="93"/>
      <c r="B546" s="94"/>
      <c r="C546" s="94"/>
      <c r="D546" s="62">
        <v>2025</v>
      </c>
      <c r="E546" s="63">
        <f t="shared" si="192"/>
        <v>0</v>
      </c>
      <c r="F546" s="63">
        <f t="shared" si="192"/>
        <v>0</v>
      </c>
      <c r="G546" s="63">
        <f t="shared" si="192"/>
        <v>0</v>
      </c>
      <c r="H546" s="63">
        <f t="shared" si="192"/>
        <v>0</v>
      </c>
      <c r="I546" s="63">
        <f t="shared" si="192"/>
        <v>0</v>
      </c>
      <c r="J546" s="63">
        <f t="shared" si="192"/>
        <v>0</v>
      </c>
      <c r="K546" s="86">
        <f t="shared" si="189"/>
        <v>0</v>
      </c>
      <c r="L546" s="185"/>
      <c r="M546" s="88"/>
      <c r="N546" s="89"/>
      <c r="O546" s="94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49"/>
      <c r="BC546" s="49"/>
      <c r="BD546" s="49"/>
      <c r="BE546" s="68"/>
    </row>
    <row r="547" spans="1:57" s="51" customFormat="1" ht="16.5" customHeight="1">
      <c r="A547" s="914" t="s">
        <v>705</v>
      </c>
      <c r="B547" s="867" t="s">
        <v>706</v>
      </c>
      <c r="C547" s="915" t="s">
        <v>707</v>
      </c>
      <c r="D547" s="84" t="s">
        <v>16</v>
      </c>
      <c r="E547" s="85">
        <f t="shared" ref="E547:J547" si="193">E548+E549+E550+E551+E552</f>
        <v>4.5951000000000004</v>
      </c>
      <c r="F547" s="85">
        <f t="shared" si="193"/>
        <v>4.5951000000000004</v>
      </c>
      <c r="G547" s="85">
        <f t="shared" si="193"/>
        <v>0</v>
      </c>
      <c r="H547" s="85">
        <f t="shared" si="193"/>
        <v>0</v>
      </c>
      <c r="I547" s="85">
        <f t="shared" si="193"/>
        <v>0</v>
      </c>
      <c r="J547" s="85">
        <f t="shared" si="193"/>
        <v>0</v>
      </c>
      <c r="K547" s="86">
        <f t="shared" si="189"/>
        <v>4.5951000000000004</v>
      </c>
      <c r="L547" s="185"/>
      <c r="M547" s="88"/>
      <c r="N547" s="89"/>
      <c r="O547" s="94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49"/>
      <c r="BC547" s="49"/>
      <c r="BD547" s="49"/>
      <c r="BE547" s="68"/>
    </row>
    <row r="548" spans="1:57" s="51" customFormat="1" ht="16.5" customHeight="1">
      <c r="A548" s="826"/>
      <c r="B548" s="872"/>
      <c r="C548" s="916"/>
      <c r="D548" s="62">
        <v>2019</v>
      </c>
      <c r="E548" s="63">
        <f t="shared" ref="E548:E554" si="194">F548+G548+H548+I548+J548</f>
        <v>0</v>
      </c>
      <c r="F548" s="63">
        <v>0</v>
      </c>
      <c r="G548" s="63">
        <v>0</v>
      </c>
      <c r="H548" s="63">
        <v>0</v>
      </c>
      <c r="I548" s="63">
        <v>0</v>
      </c>
      <c r="J548" s="63">
        <v>0</v>
      </c>
      <c r="K548" s="86">
        <f t="shared" si="189"/>
        <v>0</v>
      </c>
      <c r="L548" s="185"/>
      <c r="M548" s="88"/>
      <c r="N548" s="89"/>
      <c r="O548" s="872" t="s">
        <v>561</v>
      </c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  <c r="AT548" s="49"/>
      <c r="AU548" s="49"/>
      <c r="AV548" s="49"/>
      <c r="AW548" s="49"/>
      <c r="AX548" s="49"/>
      <c r="AY548" s="49"/>
      <c r="AZ548" s="49"/>
      <c r="BA548" s="49"/>
      <c r="BB548" s="49"/>
      <c r="BC548" s="49"/>
      <c r="BD548" s="49"/>
      <c r="BE548" s="68"/>
    </row>
    <row r="549" spans="1:57" s="51" customFormat="1" ht="16.5" customHeight="1">
      <c r="A549" s="826"/>
      <c r="B549" s="872"/>
      <c r="C549" s="916"/>
      <c r="D549" s="62">
        <v>2020</v>
      </c>
      <c r="E549" s="63">
        <f t="shared" si="194"/>
        <v>4.5951000000000004</v>
      </c>
      <c r="F549" s="63">
        <v>4.5951000000000004</v>
      </c>
      <c r="G549" s="63">
        <v>0</v>
      </c>
      <c r="H549" s="63">
        <v>0</v>
      </c>
      <c r="I549" s="63">
        <v>0</v>
      </c>
      <c r="J549" s="63">
        <v>0</v>
      </c>
      <c r="K549" s="86">
        <f t="shared" si="189"/>
        <v>4.5951000000000004</v>
      </c>
      <c r="L549" s="185"/>
      <c r="M549" s="88"/>
      <c r="N549" s="89"/>
      <c r="O549" s="872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49"/>
      <c r="BC549" s="49"/>
      <c r="BD549" s="49"/>
      <c r="BE549" s="68"/>
    </row>
    <row r="550" spans="1:57" s="51" customFormat="1" ht="16.5" customHeight="1">
      <c r="A550" s="826"/>
      <c r="B550" s="872"/>
      <c r="C550" s="916"/>
      <c r="D550" s="62">
        <v>2021</v>
      </c>
      <c r="E550" s="63">
        <f t="shared" si="194"/>
        <v>0</v>
      </c>
      <c r="F550" s="63">
        <v>0</v>
      </c>
      <c r="G550" s="63">
        <v>0</v>
      </c>
      <c r="H550" s="63">
        <v>0</v>
      </c>
      <c r="I550" s="63">
        <v>0</v>
      </c>
      <c r="J550" s="63">
        <v>0</v>
      </c>
      <c r="K550" s="86">
        <f t="shared" si="189"/>
        <v>0</v>
      </c>
      <c r="L550" s="185"/>
      <c r="M550" s="88"/>
      <c r="N550" s="89"/>
      <c r="O550" s="872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49"/>
      <c r="BC550" s="49"/>
      <c r="BD550" s="49"/>
      <c r="BE550" s="68"/>
    </row>
    <row r="551" spans="1:57" s="51" customFormat="1" ht="16.5" customHeight="1">
      <c r="A551" s="826"/>
      <c r="B551" s="872"/>
      <c r="C551" s="916"/>
      <c r="D551" s="62">
        <v>2022</v>
      </c>
      <c r="E551" s="63">
        <f t="shared" si="194"/>
        <v>0</v>
      </c>
      <c r="F551" s="63">
        <v>0</v>
      </c>
      <c r="G551" s="63">
        <v>0</v>
      </c>
      <c r="H551" s="63">
        <v>0</v>
      </c>
      <c r="I551" s="63">
        <v>0</v>
      </c>
      <c r="J551" s="63">
        <v>0</v>
      </c>
      <c r="K551" s="86">
        <f t="shared" si="189"/>
        <v>0</v>
      </c>
      <c r="L551" s="185"/>
      <c r="M551" s="88"/>
      <c r="N551" s="89"/>
      <c r="O551" s="872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49"/>
      <c r="BC551" s="49"/>
      <c r="BD551" s="49"/>
      <c r="BE551" s="68"/>
    </row>
    <row r="552" spans="1:57" s="51" customFormat="1" ht="27" customHeight="1">
      <c r="A552" s="826"/>
      <c r="B552" s="872"/>
      <c r="C552" s="916"/>
      <c r="D552" s="62">
        <v>2023</v>
      </c>
      <c r="E552" s="63">
        <f t="shared" si="194"/>
        <v>0</v>
      </c>
      <c r="F552" s="63">
        <v>0</v>
      </c>
      <c r="G552" s="63">
        <v>0</v>
      </c>
      <c r="H552" s="63">
        <v>0</v>
      </c>
      <c r="I552" s="63">
        <v>0</v>
      </c>
      <c r="J552" s="63">
        <v>0</v>
      </c>
      <c r="K552" s="86">
        <f t="shared" si="189"/>
        <v>0</v>
      </c>
      <c r="L552" s="185"/>
      <c r="M552" s="88"/>
      <c r="N552" s="89"/>
      <c r="O552" s="873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49"/>
      <c r="BC552" s="49"/>
      <c r="BD552" s="49"/>
      <c r="BE552" s="68"/>
    </row>
    <row r="553" spans="1:57" s="51" customFormat="1" ht="27" customHeight="1">
      <c r="A553" s="826"/>
      <c r="B553" s="872"/>
      <c r="C553" s="916"/>
      <c r="D553" s="62">
        <v>2024</v>
      </c>
      <c r="E553" s="63">
        <f t="shared" si="194"/>
        <v>0</v>
      </c>
      <c r="F553" s="63">
        <v>0</v>
      </c>
      <c r="G553" s="63">
        <v>0</v>
      </c>
      <c r="H553" s="63">
        <v>0</v>
      </c>
      <c r="I553" s="63">
        <v>0</v>
      </c>
      <c r="J553" s="63">
        <v>0</v>
      </c>
      <c r="K553" s="86">
        <f t="shared" si="189"/>
        <v>0</v>
      </c>
      <c r="L553" s="185"/>
      <c r="M553" s="88"/>
      <c r="N553" s="89"/>
      <c r="O553" s="78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49"/>
      <c r="BC553" s="49"/>
      <c r="BD553" s="49"/>
      <c r="BE553" s="68"/>
    </row>
    <row r="554" spans="1:57" s="51" customFormat="1" ht="21.75" customHeight="1">
      <c r="A554" s="952"/>
      <c r="B554" s="873"/>
      <c r="C554" s="999"/>
      <c r="D554" s="62">
        <v>2025</v>
      </c>
      <c r="E554" s="63">
        <f t="shared" si="194"/>
        <v>0</v>
      </c>
      <c r="F554" s="63">
        <v>0</v>
      </c>
      <c r="G554" s="63">
        <v>0</v>
      </c>
      <c r="H554" s="63">
        <v>0</v>
      </c>
      <c r="I554" s="63">
        <v>0</v>
      </c>
      <c r="J554" s="63">
        <v>0</v>
      </c>
      <c r="K554" s="86">
        <f t="shared" si="189"/>
        <v>0</v>
      </c>
      <c r="L554" s="185"/>
      <c r="M554" s="88"/>
      <c r="N554" s="89"/>
      <c r="O554" s="78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49"/>
      <c r="BC554" s="49"/>
      <c r="BD554" s="49"/>
      <c r="BE554" s="68"/>
    </row>
    <row r="555" spans="1:57" s="82" customFormat="1" ht="12.75" customHeight="1">
      <c r="A555" s="1024" t="s">
        <v>708</v>
      </c>
      <c r="B555" s="929" t="s">
        <v>165</v>
      </c>
      <c r="C555" s="139"/>
      <c r="D555" s="84" t="s">
        <v>16</v>
      </c>
      <c r="E555" s="85">
        <f t="shared" ref="E555:J555" si="195">E556+E557+E558+E559+E560+E561+E562+E563+E564+E565+E566+E567</f>
        <v>1034.9888999999998</v>
      </c>
      <c r="F555" s="85">
        <f t="shared" si="195"/>
        <v>7.7218</v>
      </c>
      <c r="G555" s="85">
        <f t="shared" si="195"/>
        <v>0</v>
      </c>
      <c r="H555" s="85">
        <f t="shared" si="195"/>
        <v>782.8691</v>
      </c>
      <c r="I555" s="85">
        <f t="shared" si="195"/>
        <v>224.01689999999999</v>
      </c>
      <c r="J555" s="85">
        <f t="shared" si="195"/>
        <v>20.381099999999996</v>
      </c>
      <c r="K555" s="86">
        <f t="shared" si="189"/>
        <v>1034.9889000000001</v>
      </c>
      <c r="L555" s="99"/>
      <c r="M555" s="88"/>
      <c r="N555" s="89"/>
      <c r="O555" s="90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  <c r="AF555" s="91"/>
      <c r="AG555" s="91"/>
      <c r="AH555" s="91"/>
      <c r="AI555" s="91"/>
      <c r="AJ555" s="91"/>
      <c r="AK555" s="91"/>
      <c r="AL555" s="91"/>
      <c r="AM555" s="91"/>
      <c r="AN555" s="91"/>
      <c r="AO555" s="91"/>
      <c r="AP555" s="9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91"/>
      <c r="BE555" s="92"/>
    </row>
    <row r="556" spans="1:57" s="82" customFormat="1">
      <c r="A556" s="868"/>
      <c r="B556" s="953"/>
      <c r="C556" s="868"/>
      <c r="D556" s="84">
        <v>2019</v>
      </c>
      <c r="E556" s="85">
        <f t="shared" ref="E556:J556" si="196">E596+E622+E667+E674+E688+E612+E680+E682</f>
        <v>563.55709999999999</v>
      </c>
      <c r="F556" s="85">
        <f t="shared" si="196"/>
        <v>3.2890000000000001</v>
      </c>
      <c r="G556" s="85">
        <f t="shared" si="196"/>
        <v>0</v>
      </c>
      <c r="H556" s="85">
        <f t="shared" si="196"/>
        <v>530.40409999999997</v>
      </c>
      <c r="I556" s="85">
        <f t="shared" si="196"/>
        <v>14.1075</v>
      </c>
      <c r="J556" s="85">
        <f t="shared" si="196"/>
        <v>15.756500000000001</v>
      </c>
      <c r="K556" s="86">
        <f t="shared" si="189"/>
        <v>563.55709999999988</v>
      </c>
      <c r="L556" s="99"/>
      <c r="M556" s="88"/>
      <c r="N556" s="89"/>
      <c r="O556" s="90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91"/>
      <c r="AH556" s="91"/>
      <c r="AI556" s="91"/>
      <c r="AJ556" s="91"/>
      <c r="AK556" s="91"/>
      <c r="AL556" s="91"/>
      <c r="AM556" s="91"/>
      <c r="AN556" s="91"/>
      <c r="AO556" s="91"/>
      <c r="AP556" s="9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91"/>
      <c r="BE556" s="92"/>
    </row>
    <row r="557" spans="1:57" s="82" customFormat="1">
      <c r="A557" s="868"/>
      <c r="B557" s="953"/>
      <c r="C557" s="868"/>
      <c r="D557" s="84">
        <v>2020</v>
      </c>
      <c r="E557" s="85">
        <f t="shared" ref="E557:J557" si="197">E613+E623+E668+E675+E685+E689+E597+E594</f>
        <v>134.05719999999999</v>
      </c>
      <c r="F557" s="85">
        <f t="shared" si="197"/>
        <v>2.4327999999999999</v>
      </c>
      <c r="G557" s="85">
        <f t="shared" si="197"/>
        <v>0</v>
      </c>
      <c r="H557" s="85">
        <f t="shared" si="197"/>
        <v>120.235</v>
      </c>
      <c r="I557" s="85">
        <f t="shared" si="197"/>
        <v>9.4374000000000002</v>
      </c>
      <c r="J557" s="85">
        <f t="shared" si="197"/>
        <v>1.952</v>
      </c>
      <c r="K557" s="86">
        <f t="shared" si="189"/>
        <v>134.05719999999999</v>
      </c>
      <c r="L557" s="99"/>
      <c r="M557" s="88"/>
      <c r="N557" s="89"/>
      <c r="O557" s="90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  <c r="AF557" s="91"/>
      <c r="AG557" s="91"/>
      <c r="AH557" s="91"/>
      <c r="AI557" s="91"/>
      <c r="AJ557" s="91"/>
      <c r="AK557" s="91"/>
      <c r="AL557" s="91"/>
      <c r="AM557" s="91"/>
      <c r="AN557" s="91"/>
      <c r="AO557" s="91"/>
      <c r="AP557" s="9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91"/>
      <c r="BE557" s="92"/>
    </row>
    <row r="558" spans="1:57" s="82" customFormat="1">
      <c r="A558" s="868"/>
      <c r="B558" s="953"/>
      <c r="C558" s="868"/>
      <c r="D558" s="84">
        <v>2021</v>
      </c>
      <c r="E558" s="85">
        <f t="shared" ref="E558:J558" si="198">E576+E614+E624+E676+E686+E669+E690</f>
        <v>36.982900000000001</v>
      </c>
      <c r="F558" s="85">
        <f t="shared" si="198"/>
        <v>0</v>
      </c>
      <c r="G558" s="85">
        <f t="shared" si="198"/>
        <v>0</v>
      </c>
      <c r="H558" s="85">
        <f t="shared" si="198"/>
        <v>8.15</v>
      </c>
      <c r="I558" s="85">
        <f t="shared" si="198"/>
        <v>28.030899999999999</v>
      </c>
      <c r="J558" s="85">
        <f t="shared" si="198"/>
        <v>0.80200000000000005</v>
      </c>
      <c r="K558" s="86">
        <f t="shared" si="189"/>
        <v>36.982900000000001</v>
      </c>
      <c r="L558" s="99"/>
      <c r="M558" s="88"/>
      <c r="N558" s="89"/>
      <c r="O558" s="90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  <c r="AF558" s="91"/>
      <c r="AG558" s="91"/>
      <c r="AH558" s="91"/>
      <c r="AI558" s="91"/>
      <c r="AJ558" s="91"/>
      <c r="AK558" s="91"/>
      <c r="AL558" s="91"/>
      <c r="AM558" s="91"/>
      <c r="AN558" s="91"/>
      <c r="AO558" s="91"/>
      <c r="AP558" s="9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91"/>
      <c r="BE558" s="92"/>
    </row>
    <row r="559" spans="1:57" s="82" customFormat="1">
      <c r="A559" s="868"/>
      <c r="B559" s="953"/>
      <c r="C559" s="868"/>
      <c r="D559" s="84">
        <v>2022</v>
      </c>
      <c r="E559" s="85">
        <f t="shared" ref="E559:J559" si="199">E580+E586+E625+E677+E615+E670+E691</f>
        <v>55.630499999999998</v>
      </c>
      <c r="F559" s="85">
        <f t="shared" si="199"/>
        <v>0</v>
      </c>
      <c r="G559" s="85">
        <f t="shared" si="199"/>
        <v>0</v>
      </c>
      <c r="H559" s="85">
        <f t="shared" si="199"/>
        <v>11.690999999999999</v>
      </c>
      <c r="I559" s="85">
        <f t="shared" si="199"/>
        <v>43.530499999999996</v>
      </c>
      <c r="J559" s="85">
        <f t="shared" si="199"/>
        <v>0.40900000000000003</v>
      </c>
      <c r="K559" s="86">
        <f t="shared" si="189"/>
        <v>55.630499999999991</v>
      </c>
      <c r="L559" s="99"/>
      <c r="M559" s="88"/>
      <c r="N559" s="89"/>
      <c r="O559" s="90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  <c r="AF559" s="91"/>
      <c r="AG559" s="91"/>
      <c r="AH559" s="91"/>
      <c r="AI559" s="91"/>
      <c r="AJ559" s="91"/>
      <c r="AK559" s="91"/>
      <c r="AL559" s="91"/>
      <c r="AM559" s="91"/>
      <c r="AN559" s="91"/>
      <c r="AO559" s="91"/>
      <c r="AP559" s="9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91"/>
      <c r="BE559" s="92"/>
    </row>
    <row r="560" spans="1:57" s="82" customFormat="1">
      <c r="A560" s="868"/>
      <c r="B560" s="953"/>
      <c r="C560" s="868"/>
      <c r="D560" s="84">
        <v>2023</v>
      </c>
      <c r="E560" s="85">
        <f t="shared" ref="E560:J560" si="200">E582+E584+E590+E626+E665+E678+E616+E671</f>
        <v>49.437899999999999</v>
      </c>
      <c r="F560" s="85">
        <f t="shared" si="200"/>
        <v>0</v>
      </c>
      <c r="G560" s="85">
        <f t="shared" si="200"/>
        <v>0</v>
      </c>
      <c r="H560" s="85">
        <f t="shared" si="200"/>
        <v>14.420999999999999</v>
      </c>
      <c r="I560" s="85">
        <f t="shared" si="200"/>
        <v>34.5379</v>
      </c>
      <c r="J560" s="85">
        <f t="shared" si="200"/>
        <v>0.47900000000000004</v>
      </c>
      <c r="K560" s="86">
        <f t="shared" si="189"/>
        <v>49.437899999999999</v>
      </c>
      <c r="L560" s="99"/>
      <c r="M560" s="88"/>
      <c r="N560" s="89"/>
      <c r="O560" s="90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  <c r="AF560" s="91"/>
      <c r="AG560" s="91"/>
      <c r="AH560" s="91"/>
      <c r="AI560" s="91"/>
      <c r="AJ560" s="91"/>
      <c r="AK560" s="91"/>
      <c r="AL560" s="91"/>
      <c r="AM560" s="91"/>
      <c r="AN560" s="91"/>
      <c r="AO560" s="91"/>
      <c r="AP560" s="9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91"/>
      <c r="BE560" s="92"/>
    </row>
    <row r="561" spans="1:57" s="82" customFormat="1">
      <c r="A561" s="868"/>
      <c r="B561" s="953"/>
      <c r="C561" s="868"/>
      <c r="D561" s="84">
        <v>2024</v>
      </c>
      <c r="E561" s="85">
        <f t="shared" ref="E561:J561" si="201">E627+E679+E578+E617+E672</f>
        <v>80.347499999999997</v>
      </c>
      <c r="F561" s="85">
        <f t="shared" si="201"/>
        <v>0</v>
      </c>
      <c r="G561" s="85">
        <f t="shared" si="201"/>
        <v>0</v>
      </c>
      <c r="H561" s="85">
        <f t="shared" si="201"/>
        <v>44.872999999999998</v>
      </c>
      <c r="I561" s="85">
        <f t="shared" si="201"/>
        <v>35.196899999999999</v>
      </c>
      <c r="J561" s="85">
        <f t="shared" si="201"/>
        <v>0.27760000000000001</v>
      </c>
      <c r="K561" s="86">
        <f t="shared" si="189"/>
        <v>80.347499999999997</v>
      </c>
      <c r="L561" s="99"/>
      <c r="M561" s="88"/>
      <c r="N561" s="89"/>
      <c r="O561" s="90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  <c r="AF561" s="91"/>
      <c r="AG561" s="91"/>
      <c r="AH561" s="91"/>
      <c r="AI561" s="91"/>
      <c r="AJ561" s="91"/>
      <c r="AK561" s="91"/>
      <c r="AL561" s="91"/>
      <c r="AM561" s="91"/>
      <c r="AN561" s="91"/>
      <c r="AO561" s="91"/>
      <c r="AP561" s="9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91"/>
      <c r="BE561" s="92"/>
    </row>
    <row r="562" spans="1:57" s="82" customFormat="1">
      <c r="A562" s="868"/>
      <c r="B562" s="953"/>
      <c r="C562" s="868"/>
      <c r="D562" s="84">
        <v>2025</v>
      </c>
      <c r="E562" s="85">
        <f t="shared" ref="E562:J562" si="202">E588+E628+E618</f>
        <v>31.837900000000001</v>
      </c>
      <c r="F562" s="85">
        <f t="shared" si="202"/>
        <v>0</v>
      </c>
      <c r="G562" s="85">
        <f t="shared" si="202"/>
        <v>0</v>
      </c>
      <c r="H562" s="85">
        <f t="shared" si="202"/>
        <v>1.425</v>
      </c>
      <c r="I562" s="85">
        <f t="shared" si="202"/>
        <v>30.337900000000001</v>
      </c>
      <c r="J562" s="85">
        <f t="shared" si="202"/>
        <v>7.4999999999999997E-2</v>
      </c>
      <c r="K562" s="86">
        <f t="shared" si="189"/>
        <v>31.837900000000001</v>
      </c>
      <c r="L562" s="99"/>
      <c r="M562" s="88"/>
      <c r="N562" s="89"/>
      <c r="O562" s="90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  <c r="AF562" s="91"/>
      <c r="AG562" s="91"/>
      <c r="AH562" s="91"/>
      <c r="AI562" s="91"/>
      <c r="AJ562" s="91"/>
      <c r="AK562" s="91"/>
      <c r="AL562" s="91"/>
      <c r="AM562" s="91"/>
      <c r="AN562" s="91"/>
      <c r="AO562" s="91"/>
      <c r="AP562" s="9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91"/>
      <c r="BE562" s="92"/>
    </row>
    <row r="563" spans="1:57" s="82" customFormat="1">
      <c r="A563" s="868"/>
      <c r="B563" s="953"/>
      <c r="C563" s="868"/>
      <c r="D563" s="84">
        <v>2026</v>
      </c>
      <c r="E563" s="85">
        <f t="shared" ref="E563:J563" si="203">E569+E629+E619</f>
        <v>38.837899999999998</v>
      </c>
      <c r="F563" s="85">
        <f t="shared" si="203"/>
        <v>0.5</v>
      </c>
      <c r="G563" s="85">
        <f t="shared" si="203"/>
        <v>0</v>
      </c>
      <c r="H563" s="85">
        <f t="shared" si="203"/>
        <v>9.5</v>
      </c>
      <c r="I563" s="85">
        <f t="shared" si="203"/>
        <v>28.837900000000001</v>
      </c>
      <c r="J563" s="85">
        <f t="shared" si="203"/>
        <v>0</v>
      </c>
      <c r="K563" s="86">
        <f t="shared" si="189"/>
        <v>38.837900000000005</v>
      </c>
      <c r="L563" s="99"/>
      <c r="M563" s="88"/>
      <c r="N563" s="89"/>
      <c r="O563" s="90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  <c r="AF563" s="91"/>
      <c r="AG563" s="91"/>
      <c r="AH563" s="91"/>
      <c r="AI563" s="91"/>
      <c r="AJ563" s="91"/>
      <c r="AK563" s="91"/>
      <c r="AL563" s="91"/>
      <c r="AM563" s="91"/>
      <c r="AN563" s="91"/>
      <c r="AO563" s="91"/>
      <c r="AP563" s="9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91"/>
      <c r="BE563" s="92"/>
    </row>
    <row r="564" spans="1:57" s="82" customFormat="1">
      <c r="A564" s="868"/>
      <c r="B564" s="953"/>
      <c r="C564" s="868"/>
      <c r="D564" s="84">
        <v>2027</v>
      </c>
      <c r="E564" s="85">
        <f t="shared" ref="E564:J564" si="204">E570+E574+EH671</f>
        <v>20</v>
      </c>
      <c r="F564" s="85">
        <f t="shared" si="204"/>
        <v>0.5</v>
      </c>
      <c r="G564" s="85">
        <f t="shared" si="204"/>
        <v>0</v>
      </c>
      <c r="H564" s="85">
        <f t="shared" si="204"/>
        <v>19</v>
      </c>
      <c r="I564" s="85">
        <f t="shared" si="204"/>
        <v>0</v>
      </c>
      <c r="J564" s="85">
        <f t="shared" si="204"/>
        <v>0.5</v>
      </c>
      <c r="K564" s="86">
        <f t="shared" si="189"/>
        <v>20</v>
      </c>
      <c r="L564" s="99"/>
      <c r="M564" s="88"/>
      <c r="N564" s="89"/>
      <c r="O564" s="349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  <c r="AF564" s="91"/>
      <c r="AG564" s="91"/>
      <c r="AH564" s="91"/>
      <c r="AI564" s="91"/>
      <c r="AJ564" s="91"/>
      <c r="AK564" s="91"/>
      <c r="AL564" s="91"/>
      <c r="AM564" s="91"/>
      <c r="AN564" s="91"/>
      <c r="AO564" s="91"/>
      <c r="AP564" s="9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91"/>
      <c r="BE564" s="92"/>
    </row>
    <row r="565" spans="1:57" s="82" customFormat="1">
      <c r="A565" s="868"/>
      <c r="B565" s="953"/>
      <c r="C565" s="868"/>
      <c r="D565" s="84">
        <v>2028</v>
      </c>
      <c r="E565" s="85">
        <f t="shared" ref="E565:J565" si="205">E571</f>
        <v>10</v>
      </c>
      <c r="F565" s="85">
        <f t="shared" si="205"/>
        <v>0.5</v>
      </c>
      <c r="G565" s="85">
        <f t="shared" si="205"/>
        <v>0</v>
      </c>
      <c r="H565" s="85">
        <f t="shared" si="205"/>
        <v>9.5</v>
      </c>
      <c r="I565" s="85">
        <f t="shared" si="205"/>
        <v>0</v>
      </c>
      <c r="J565" s="85">
        <f t="shared" si="205"/>
        <v>0</v>
      </c>
      <c r="K565" s="86">
        <f t="shared" si="189"/>
        <v>10</v>
      </c>
      <c r="L565" s="99"/>
      <c r="M565" s="88"/>
      <c r="N565" s="89"/>
      <c r="O565" s="349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  <c r="AF565" s="91"/>
      <c r="AG565" s="91"/>
      <c r="AH565" s="91"/>
      <c r="AI565" s="91"/>
      <c r="AJ565" s="91"/>
      <c r="AK565" s="91"/>
      <c r="AL565" s="91"/>
      <c r="AM565" s="91"/>
      <c r="AN565" s="91"/>
      <c r="AO565" s="91"/>
      <c r="AP565" s="9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91"/>
      <c r="BE565" s="92"/>
    </row>
    <row r="566" spans="1:57" s="82" customFormat="1">
      <c r="A566" s="868"/>
      <c r="B566" s="953"/>
      <c r="C566" s="868"/>
      <c r="D566" s="84">
        <v>2029</v>
      </c>
      <c r="E566" s="85">
        <f t="shared" ref="E566:J566" si="206">E572+E592</f>
        <v>14.3</v>
      </c>
      <c r="F566" s="85">
        <f t="shared" si="206"/>
        <v>0.5</v>
      </c>
      <c r="G566" s="85">
        <f t="shared" si="206"/>
        <v>0</v>
      </c>
      <c r="H566" s="85">
        <f t="shared" si="206"/>
        <v>13.67</v>
      </c>
      <c r="I566" s="85">
        <f t="shared" si="206"/>
        <v>0</v>
      </c>
      <c r="J566" s="85">
        <f t="shared" si="206"/>
        <v>0.13</v>
      </c>
      <c r="K566" s="86">
        <f t="shared" si="189"/>
        <v>14.3</v>
      </c>
      <c r="L566" s="99"/>
      <c r="M566" s="88"/>
      <c r="N566" s="89"/>
      <c r="O566" s="349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  <c r="AN566" s="91"/>
      <c r="AO566" s="91"/>
      <c r="AP566" s="9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91"/>
      <c r="BE566" s="92"/>
    </row>
    <row r="567" spans="1:57" s="82" customFormat="1">
      <c r="A567" s="869"/>
      <c r="B567" s="954"/>
      <c r="C567" s="869"/>
      <c r="D567" s="84">
        <v>2030</v>
      </c>
      <c r="E567" s="85">
        <v>0</v>
      </c>
      <c r="F567" s="85">
        <f>F594</f>
        <v>0</v>
      </c>
      <c r="G567" s="85">
        <f>G594</f>
        <v>0</v>
      </c>
      <c r="H567" s="85">
        <v>0</v>
      </c>
      <c r="I567" s="85">
        <f>I594</f>
        <v>0</v>
      </c>
      <c r="J567" s="85">
        <v>0</v>
      </c>
      <c r="K567" s="86">
        <f t="shared" si="189"/>
        <v>0</v>
      </c>
      <c r="L567" s="99"/>
      <c r="M567" s="88"/>
      <c r="N567" s="89"/>
      <c r="O567" s="349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  <c r="AF567" s="91"/>
      <c r="AG567" s="91"/>
      <c r="AH567" s="91"/>
      <c r="AI567" s="91"/>
      <c r="AJ567" s="91"/>
      <c r="AK567" s="91"/>
      <c r="AL567" s="91"/>
      <c r="AM567" s="91"/>
      <c r="AN567" s="91"/>
      <c r="AO567" s="91"/>
      <c r="AP567" s="9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91"/>
      <c r="BE567" s="92"/>
    </row>
    <row r="568" spans="1:57" s="51" customFormat="1" ht="12.75" customHeight="1">
      <c r="A568" s="794" t="s">
        <v>266</v>
      </c>
      <c r="B568" s="867" t="s">
        <v>709</v>
      </c>
      <c r="C568" s="867" t="s">
        <v>710</v>
      </c>
      <c r="D568" s="84" t="s">
        <v>16</v>
      </c>
      <c r="E568" s="85">
        <f t="shared" ref="E568:J568" si="207">E569+E570+E571+E572</f>
        <v>40</v>
      </c>
      <c r="F568" s="85">
        <f t="shared" si="207"/>
        <v>2</v>
      </c>
      <c r="G568" s="85">
        <f t="shared" si="207"/>
        <v>0</v>
      </c>
      <c r="H568" s="85">
        <f t="shared" si="207"/>
        <v>38</v>
      </c>
      <c r="I568" s="85">
        <f t="shared" si="207"/>
        <v>0</v>
      </c>
      <c r="J568" s="85">
        <f t="shared" si="207"/>
        <v>0</v>
      </c>
      <c r="K568" s="86">
        <f t="shared" si="189"/>
        <v>40</v>
      </c>
      <c r="L568" s="99"/>
      <c r="M568" s="88"/>
      <c r="N568" s="301"/>
      <c r="O568" s="907" t="s">
        <v>561</v>
      </c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49"/>
      <c r="BC568" s="49"/>
      <c r="BD568" s="49"/>
      <c r="BE568" s="68"/>
    </row>
    <row r="569" spans="1:57" s="51" customFormat="1" ht="13.5" customHeight="1">
      <c r="A569" s="795"/>
      <c r="B569" s="868"/>
      <c r="C569" s="868"/>
      <c r="D569" s="62">
        <v>2026</v>
      </c>
      <c r="E569" s="63">
        <f>F569+G569+H569+I569+J569</f>
        <v>10</v>
      </c>
      <c r="F569" s="63">
        <v>0.5</v>
      </c>
      <c r="G569" s="63">
        <v>0</v>
      </c>
      <c r="H569" s="63">
        <v>9.5</v>
      </c>
      <c r="I569" s="63">
        <v>0</v>
      </c>
      <c r="J569" s="63">
        <v>0</v>
      </c>
      <c r="K569" s="86">
        <f t="shared" si="189"/>
        <v>10</v>
      </c>
      <c r="L569" s="185" t="s">
        <v>711</v>
      </c>
      <c r="M569" s="88"/>
      <c r="N569" s="301"/>
      <c r="O569" s="908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49"/>
      <c r="BD569" s="49"/>
      <c r="BE569" s="68"/>
    </row>
    <row r="570" spans="1:57" s="51" customFormat="1" ht="16.5" customHeight="1">
      <c r="A570" s="795"/>
      <c r="B570" s="868"/>
      <c r="C570" s="868"/>
      <c r="D570" s="62">
        <v>2027</v>
      </c>
      <c r="E570" s="63">
        <f>F570+G570+H570+I570+J570</f>
        <v>10</v>
      </c>
      <c r="F570" s="63">
        <v>0.5</v>
      </c>
      <c r="G570" s="63">
        <v>0</v>
      </c>
      <c r="H570" s="63">
        <v>9.5</v>
      </c>
      <c r="I570" s="63">
        <v>0</v>
      </c>
      <c r="J570" s="63">
        <v>0</v>
      </c>
      <c r="K570" s="86">
        <f t="shared" si="189"/>
        <v>10</v>
      </c>
      <c r="L570" s="185" t="s">
        <v>711</v>
      </c>
      <c r="M570" s="88"/>
      <c r="N570" s="301"/>
      <c r="O570" s="957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49"/>
      <c r="BC570" s="49"/>
      <c r="BD570" s="49"/>
      <c r="BE570" s="68"/>
    </row>
    <row r="571" spans="1:57" s="51" customFormat="1" ht="14.25" customHeight="1">
      <c r="A571" s="795"/>
      <c r="B571" s="868"/>
      <c r="C571" s="868"/>
      <c r="D571" s="62">
        <v>2028</v>
      </c>
      <c r="E571" s="63">
        <f>F571+G571+H571+I571+J571</f>
        <v>10</v>
      </c>
      <c r="F571" s="63">
        <v>0.5</v>
      </c>
      <c r="G571" s="63">
        <v>0</v>
      </c>
      <c r="H571" s="63">
        <v>9.5</v>
      </c>
      <c r="I571" s="63">
        <v>0</v>
      </c>
      <c r="J571" s="63">
        <v>0</v>
      </c>
      <c r="K571" s="86">
        <f t="shared" si="189"/>
        <v>10</v>
      </c>
      <c r="L571" s="185" t="s">
        <v>711</v>
      </c>
      <c r="M571" s="88"/>
      <c r="N571" s="301"/>
      <c r="O571" s="957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49"/>
      <c r="BC571" s="49"/>
      <c r="BD571" s="49"/>
      <c r="BE571" s="68"/>
    </row>
    <row r="572" spans="1:57" s="51" customFormat="1" ht="21" customHeight="1">
      <c r="A572" s="958"/>
      <c r="B572" s="869"/>
      <c r="C572" s="869"/>
      <c r="D572" s="62">
        <v>2029</v>
      </c>
      <c r="E572" s="63">
        <f>F572+G572+H572+I572+J572</f>
        <v>10</v>
      </c>
      <c r="F572" s="63">
        <v>0.5</v>
      </c>
      <c r="G572" s="63">
        <v>0</v>
      </c>
      <c r="H572" s="63">
        <v>9.5</v>
      </c>
      <c r="I572" s="63">
        <v>0</v>
      </c>
      <c r="J572" s="63">
        <v>0</v>
      </c>
      <c r="K572" s="86">
        <f t="shared" si="189"/>
        <v>10</v>
      </c>
      <c r="L572" s="185" t="s">
        <v>711</v>
      </c>
      <c r="M572" s="88"/>
      <c r="N572" s="301"/>
      <c r="O572" s="85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  <c r="AT572" s="49"/>
      <c r="AU572" s="49"/>
      <c r="AV572" s="49"/>
      <c r="AW572" s="49"/>
      <c r="AX572" s="49"/>
      <c r="AY572" s="49"/>
      <c r="AZ572" s="49"/>
      <c r="BA572" s="49"/>
      <c r="BB572" s="49"/>
      <c r="BC572" s="49"/>
      <c r="BD572" s="49"/>
      <c r="BE572" s="68"/>
    </row>
    <row r="573" spans="1:57" s="51" customFormat="1">
      <c r="A573" s="794" t="s">
        <v>712</v>
      </c>
      <c r="B573" s="867" t="s">
        <v>713</v>
      </c>
      <c r="C573" s="870" t="s">
        <v>710</v>
      </c>
      <c r="D573" s="84" t="s">
        <v>16</v>
      </c>
      <c r="E573" s="85">
        <f t="shared" ref="E573:J573" si="208">E574</f>
        <v>10</v>
      </c>
      <c r="F573" s="85">
        <f t="shared" si="208"/>
        <v>0</v>
      </c>
      <c r="G573" s="85">
        <f t="shared" si="208"/>
        <v>0</v>
      </c>
      <c r="H573" s="85">
        <f t="shared" si="208"/>
        <v>9.5</v>
      </c>
      <c r="I573" s="85">
        <f t="shared" si="208"/>
        <v>0</v>
      </c>
      <c r="J573" s="85">
        <f t="shared" si="208"/>
        <v>0.5</v>
      </c>
      <c r="K573" s="86">
        <f t="shared" si="189"/>
        <v>10</v>
      </c>
      <c r="L573" s="943" t="s">
        <v>714</v>
      </c>
      <c r="M573" s="895"/>
      <c r="N573" s="962"/>
      <c r="O573" s="858" t="s">
        <v>715</v>
      </c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49"/>
      <c r="BC573" s="49"/>
      <c r="BD573" s="49"/>
      <c r="BE573" s="68"/>
    </row>
    <row r="574" spans="1:57" s="51" customFormat="1" ht="27" customHeight="1">
      <c r="A574" s="796"/>
      <c r="B574" s="869"/>
      <c r="C574" s="1025"/>
      <c r="D574" s="62">
        <v>2027</v>
      </c>
      <c r="E574" s="63">
        <f>F574+G574+H574+I574+J574</f>
        <v>10</v>
      </c>
      <c r="F574" s="63">
        <v>0</v>
      </c>
      <c r="G574" s="63">
        <v>0</v>
      </c>
      <c r="H574" s="63">
        <v>9.5</v>
      </c>
      <c r="I574" s="63">
        <v>0</v>
      </c>
      <c r="J574" s="63">
        <v>0.5</v>
      </c>
      <c r="K574" s="86">
        <f t="shared" si="189"/>
        <v>10</v>
      </c>
      <c r="L574" s="945"/>
      <c r="M574" s="897"/>
      <c r="N574" s="963"/>
      <c r="O574" s="988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49"/>
      <c r="BC574" s="49"/>
      <c r="BD574" s="49"/>
      <c r="BE574" s="68"/>
    </row>
    <row r="575" spans="1:57" s="51" customFormat="1">
      <c r="A575" s="794" t="s">
        <v>716</v>
      </c>
      <c r="B575" s="867" t="s">
        <v>717</v>
      </c>
      <c r="C575" s="867" t="s">
        <v>532</v>
      </c>
      <c r="D575" s="84" t="s">
        <v>16</v>
      </c>
      <c r="E575" s="85">
        <f t="shared" ref="E575:J575" si="209">E576</f>
        <v>3.5</v>
      </c>
      <c r="F575" s="85">
        <f t="shared" si="209"/>
        <v>0</v>
      </c>
      <c r="G575" s="85">
        <f t="shared" si="209"/>
        <v>0</v>
      </c>
      <c r="H575" s="85">
        <f t="shared" si="209"/>
        <v>3.4</v>
      </c>
      <c r="I575" s="85">
        <f t="shared" si="209"/>
        <v>0</v>
      </c>
      <c r="J575" s="85">
        <f t="shared" si="209"/>
        <v>0.1</v>
      </c>
      <c r="K575" s="86">
        <f t="shared" si="189"/>
        <v>3.5</v>
      </c>
      <c r="L575" s="892" t="s">
        <v>718</v>
      </c>
      <c r="M575" s="895"/>
      <c r="N575" s="962"/>
      <c r="O575" s="858" t="s">
        <v>617</v>
      </c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49"/>
      <c r="BC575" s="49"/>
      <c r="BD575" s="49"/>
      <c r="BE575" s="68"/>
    </row>
    <row r="576" spans="1:57" s="51" customFormat="1" ht="42.75" customHeight="1">
      <c r="A576" s="796"/>
      <c r="B576" s="869"/>
      <c r="C576" s="869"/>
      <c r="D576" s="62">
        <v>2021</v>
      </c>
      <c r="E576" s="63">
        <f>F576+G576+H576+I576+J576</f>
        <v>3.5</v>
      </c>
      <c r="F576" s="63">
        <v>0</v>
      </c>
      <c r="G576" s="63">
        <v>0</v>
      </c>
      <c r="H576" s="63">
        <v>3.4</v>
      </c>
      <c r="I576" s="63">
        <v>0</v>
      </c>
      <c r="J576" s="63">
        <v>0.1</v>
      </c>
      <c r="K576" s="86">
        <f t="shared" si="189"/>
        <v>3.5</v>
      </c>
      <c r="L576" s="952"/>
      <c r="M576" s="897"/>
      <c r="N576" s="963"/>
      <c r="O576" s="988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49"/>
      <c r="BD576" s="49"/>
      <c r="BE576" s="68"/>
    </row>
    <row r="577" spans="1:57" s="51" customFormat="1" ht="27.75" customHeight="1">
      <c r="A577" s="794" t="s">
        <v>719</v>
      </c>
      <c r="B577" s="867" t="s">
        <v>720</v>
      </c>
      <c r="C577" s="867" t="s">
        <v>532</v>
      </c>
      <c r="D577" s="84" t="s">
        <v>16</v>
      </c>
      <c r="E577" s="85">
        <f t="shared" ref="E577:J577" si="210">E578</f>
        <v>2.9</v>
      </c>
      <c r="F577" s="85">
        <f t="shared" si="210"/>
        <v>0</v>
      </c>
      <c r="G577" s="85">
        <f t="shared" si="210"/>
        <v>0</v>
      </c>
      <c r="H577" s="85">
        <f t="shared" si="210"/>
        <v>2.82</v>
      </c>
      <c r="I577" s="85">
        <f t="shared" si="210"/>
        <v>0</v>
      </c>
      <c r="J577" s="85">
        <f t="shared" si="210"/>
        <v>0.08</v>
      </c>
      <c r="K577" s="86">
        <f t="shared" si="189"/>
        <v>2.9</v>
      </c>
      <c r="L577" s="943" t="s">
        <v>721</v>
      </c>
      <c r="M577" s="895"/>
      <c r="N577" s="962"/>
      <c r="O577" s="907" t="s">
        <v>545</v>
      </c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49"/>
      <c r="BD577" s="49"/>
      <c r="BE577" s="68"/>
    </row>
    <row r="578" spans="1:57" s="51" customFormat="1" ht="21.75" customHeight="1">
      <c r="A578" s="796"/>
      <c r="B578" s="869"/>
      <c r="C578" s="869"/>
      <c r="D578" s="62">
        <v>2024</v>
      </c>
      <c r="E578" s="63">
        <f>F578+H578+G578+I578+J578</f>
        <v>2.9</v>
      </c>
      <c r="F578" s="63">
        <v>0</v>
      </c>
      <c r="G578" s="63">
        <v>0</v>
      </c>
      <c r="H578" s="63">
        <v>2.82</v>
      </c>
      <c r="I578" s="63">
        <v>0</v>
      </c>
      <c r="J578" s="63">
        <v>0.08</v>
      </c>
      <c r="K578" s="86">
        <f t="shared" si="189"/>
        <v>2.9</v>
      </c>
      <c r="L578" s="1026"/>
      <c r="M578" s="897"/>
      <c r="N578" s="963"/>
      <c r="O578" s="90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49"/>
      <c r="AT578" s="49"/>
      <c r="AU578" s="49"/>
      <c r="AV578" s="49"/>
      <c r="AW578" s="49"/>
      <c r="AX578" s="49"/>
      <c r="AY578" s="49"/>
      <c r="AZ578" s="49"/>
      <c r="BA578" s="49"/>
      <c r="BB578" s="49"/>
      <c r="BC578" s="49"/>
      <c r="BD578" s="49"/>
      <c r="BE578" s="68"/>
    </row>
    <row r="579" spans="1:57" s="51" customFormat="1" ht="27.75" customHeight="1">
      <c r="A579" s="794" t="s">
        <v>722</v>
      </c>
      <c r="B579" s="867" t="s">
        <v>723</v>
      </c>
      <c r="C579" s="867" t="s">
        <v>532</v>
      </c>
      <c r="D579" s="84" t="s">
        <v>16</v>
      </c>
      <c r="E579" s="85">
        <f t="shared" ref="E579:J579" si="211">E580</f>
        <v>4.8</v>
      </c>
      <c r="F579" s="85">
        <f t="shared" si="211"/>
        <v>0</v>
      </c>
      <c r="G579" s="85">
        <f t="shared" si="211"/>
        <v>0</v>
      </c>
      <c r="H579" s="85">
        <f t="shared" si="211"/>
        <v>4.66</v>
      </c>
      <c r="I579" s="85">
        <f t="shared" si="211"/>
        <v>0</v>
      </c>
      <c r="J579" s="85">
        <f t="shared" si="211"/>
        <v>0.14000000000000001</v>
      </c>
      <c r="K579" s="86">
        <f t="shared" si="189"/>
        <v>4.8</v>
      </c>
      <c r="L579" s="943" t="s">
        <v>673</v>
      </c>
      <c r="M579" s="895"/>
      <c r="N579" s="962"/>
      <c r="O579" s="858" t="s">
        <v>724</v>
      </c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  <c r="AR579" s="49"/>
      <c r="AS579" s="49"/>
      <c r="AT579" s="49"/>
      <c r="AU579" s="49"/>
      <c r="AV579" s="49"/>
      <c r="AW579" s="49"/>
      <c r="AX579" s="49"/>
      <c r="AY579" s="49"/>
      <c r="AZ579" s="49"/>
      <c r="BA579" s="49"/>
      <c r="BB579" s="49"/>
      <c r="BC579" s="49"/>
      <c r="BD579" s="49"/>
      <c r="BE579" s="68"/>
    </row>
    <row r="580" spans="1:57" s="51" customFormat="1" ht="30" customHeight="1">
      <c r="A580" s="796"/>
      <c r="B580" s="869"/>
      <c r="C580" s="869"/>
      <c r="D580" s="62">
        <v>2022</v>
      </c>
      <c r="E580" s="63">
        <f>F580+G580+H580+I580+J580</f>
        <v>4.8</v>
      </c>
      <c r="F580" s="63">
        <v>0</v>
      </c>
      <c r="G580" s="63">
        <v>0</v>
      </c>
      <c r="H580" s="63">
        <v>4.66</v>
      </c>
      <c r="I580" s="63">
        <v>0</v>
      </c>
      <c r="J580" s="63">
        <v>0.14000000000000001</v>
      </c>
      <c r="K580" s="86">
        <f t="shared" si="189"/>
        <v>4.8</v>
      </c>
      <c r="L580" s="1026"/>
      <c r="M580" s="897"/>
      <c r="N580" s="963"/>
      <c r="O580" s="988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  <c r="AR580" s="49"/>
      <c r="AS580" s="49"/>
      <c r="AT580" s="49"/>
      <c r="AU580" s="49"/>
      <c r="AV580" s="49"/>
      <c r="AW580" s="49"/>
      <c r="AX580" s="49"/>
      <c r="AY580" s="49"/>
      <c r="AZ580" s="49"/>
      <c r="BA580" s="49"/>
      <c r="BB580" s="49"/>
      <c r="BC580" s="49"/>
      <c r="BD580" s="49"/>
      <c r="BE580" s="68"/>
    </row>
    <row r="581" spans="1:57" s="51" customFormat="1" ht="20.25" customHeight="1">
      <c r="A581" s="794" t="s">
        <v>725</v>
      </c>
      <c r="B581" s="867" t="s">
        <v>726</v>
      </c>
      <c r="C581" s="867" t="s">
        <v>532</v>
      </c>
      <c r="D581" s="84" t="s">
        <v>16</v>
      </c>
      <c r="E581" s="136">
        <f t="shared" ref="E581:J581" si="212">E582</f>
        <v>4.3</v>
      </c>
      <c r="F581" s="136">
        <f t="shared" si="212"/>
        <v>0</v>
      </c>
      <c r="G581" s="136">
        <f t="shared" si="212"/>
        <v>0</v>
      </c>
      <c r="H581" s="136">
        <f t="shared" si="212"/>
        <v>4.17</v>
      </c>
      <c r="I581" s="136">
        <f t="shared" si="212"/>
        <v>0</v>
      </c>
      <c r="J581" s="136">
        <f t="shared" si="212"/>
        <v>0.13</v>
      </c>
      <c r="K581" s="86">
        <f t="shared" si="189"/>
        <v>4.3</v>
      </c>
      <c r="L581" s="943" t="s">
        <v>727</v>
      </c>
      <c r="M581" s="895"/>
      <c r="N581" s="875"/>
      <c r="O581" s="858" t="s">
        <v>728</v>
      </c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  <c r="AT581" s="49"/>
      <c r="AU581" s="49"/>
      <c r="AV581" s="49"/>
      <c r="AW581" s="49"/>
      <c r="AX581" s="49"/>
      <c r="AY581" s="49"/>
      <c r="AZ581" s="49"/>
      <c r="BA581" s="49"/>
      <c r="BB581" s="49"/>
      <c r="BC581" s="49"/>
      <c r="BD581" s="49"/>
      <c r="BE581" s="68"/>
    </row>
    <row r="582" spans="1:57" s="51" customFormat="1" ht="35.25" customHeight="1">
      <c r="A582" s="958"/>
      <c r="B582" s="869"/>
      <c r="C582" s="869"/>
      <c r="D582" s="62">
        <v>2023</v>
      </c>
      <c r="E582" s="63">
        <f>F582+G582+H582+I582+J582</f>
        <v>4.3</v>
      </c>
      <c r="F582" s="63">
        <v>0</v>
      </c>
      <c r="G582" s="63">
        <v>0</v>
      </c>
      <c r="H582" s="63">
        <v>4.17</v>
      </c>
      <c r="I582" s="63">
        <v>0</v>
      </c>
      <c r="J582" s="63">
        <v>0.13</v>
      </c>
      <c r="K582" s="86">
        <f t="shared" si="189"/>
        <v>4.3</v>
      </c>
      <c r="L582" s="1026"/>
      <c r="M582" s="897"/>
      <c r="N582" s="876"/>
      <c r="O582" s="988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  <c r="AR582" s="49"/>
      <c r="AS582" s="49"/>
      <c r="AT582" s="49"/>
      <c r="AU582" s="49"/>
      <c r="AV582" s="49"/>
      <c r="AW582" s="49"/>
      <c r="AX582" s="49"/>
      <c r="AY582" s="49"/>
      <c r="AZ582" s="49"/>
      <c r="BA582" s="49"/>
      <c r="BB582" s="49"/>
      <c r="BC582" s="49"/>
      <c r="BD582" s="49"/>
      <c r="BE582" s="68"/>
    </row>
    <row r="583" spans="1:57" s="51" customFormat="1" ht="36.75" customHeight="1">
      <c r="A583" s="794" t="s">
        <v>729</v>
      </c>
      <c r="B583" s="867" t="s">
        <v>730</v>
      </c>
      <c r="C583" s="867" t="s">
        <v>532</v>
      </c>
      <c r="D583" s="84" t="s">
        <v>16</v>
      </c>
      <c r="E583" s="313">
        <f t="shared" ref="E583:J583" si="213">E584</f>
        <v>4.3</v>
      </c>
      <c r="F583" s="313">
        <f t="shared" si="213"/>
        <v>0</v>
      </c>
      <c r="G583" s="313">
        <f t="shared" si="213"/>
        <v>0</v>
      </c>
      <c r="H583" s="313">
        <f t="shared" si="213"/>
        <v>4.17</v>
      </c>
      <c r="I583" s="313">
        <f t="shared" si="213"/>
        <v>0</v>
      </c>
      <c r="J583" s="313">
        <f t="shared" si="213"/>
        <v>0.13</v>
      </c>
      <c r="K583" s="86">
        <f t="shared" si="189"/>
        <v>4.3</v>
      </c>
      <c r="L583" s="1027" t="s">
        <v>727</v>
      </c>
      <c r="M583" s="136"/>
      <c r="N583" s="137"/>
      <c r="O583" s="858" t="s">
        <v>731</v>
      </c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  <c r="AR583" s="49"/>
      <c r="AS583" s="49"/>
      <c r="AT583" s="49"/>
      <c r="AU583" s="49"/>
      <c r="AV583" s="49"/>
      <c r="AW583" s="49"/>
      <c r="AX583" s="49"/>
      <c r="AY583" s="49"/>
      <c r="AZ583" s="49"/>
      <c r="BA583" s="49"/>
      <c r="BB583" s="49"/>
      <c r="BC583" s="49"/>
      <c r="BD583" s="49"/>
      <c r="BE583" s="68"/>
    </row>
    <row r="584" spans="1:57" s="51" customFormat="1" ht="21" customHeight="1">
      <c r="A584" s="958"/>
      <c r="B584" s="869"/>
      <c r="C584" s="869"/>
      <c r="D584" s="84">
        <v>2023</v>
      </c>
      <c r="E584" s="63">
        <f>F584+G584+H584+I584+J584</f>
        <v>4.3</v>
      </c>
      <c r="F584" s="63">
        <v>0</v>
      </c>
      <c r="G584" s="63">
        <v>0</v>
      </c>
      <c r="H584" s="63">
        <v>4.17</v>
      </c>
      <c r="I584" s="63">
        <v>0</v>
      </c>
      <c r="J584" s="63">
        <v>0.13</v>
      </c>
      <c r="K584" s="86">
        <f t="shared" si="189"/>
        <v>4.3</v>
      </c>
      <c r="L584" s="1027"/>
      <c r="M584" s="136"/>
      <c r="N584" s="137"/>
      <c r="O584" s="988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  <c r="AR584" s="49"/>
      <c r="AS584" s="49"/>
      <c r="AT584" s="49"/>
      <c r="AU584" s="49"/>
      <c r="AV584" s="49"/>
      <c r="AW584" s="49"/>
      <c r="AX584" s="49"/>
      <c r="AY584" s="49"/>
      <c r="AZ584" s="49"/>
      <c r="BA584" s="49"/>
      <c r="BB584" s="49"/>
      <c r="BC584" s="49"/>
      <c r="BD584" s="49"/>
      <c r="BE584" s="68"/>
    </row>
    <row r="585" spans="1:57" s="51" customFormat="1" ht="24.75" customHeight="1">
      <c r="A585" s="794" t="s">
        <v>732</v>
      </c>
      <c r="B585" s="867" t="s">
        <v>733</v>
      </c>
      <c r="C585" s="867" t="s">
        <v>532</v>
      </c>
      <c r="D585" s="84" t="s">
        <v>16</v>
      </c>
      <c r="E585" s="136">
        <f t="shared" ref="E585:J585" si="214">E586</f>
        <v>4.8</v>
      </c>
      <c r="F585" s="136">
        <f t="shared" si="214"/>
        <v>0</v>
      </c>
      <c r="G585" s="136">
        <f t="shared" si="214"/>
        <v>0</v>
      </c>
      <c r="H585" s="136">
        <f t="shared" si="214"/>
        <v>4.6559999999999997</v>
      </c>
      <c r="I585" s="136">
        <f t="shared" si="214"/>
        <v>0</v>
      </c>
      <c r="J585" s="136">
        <f t="shared" si="214"/>
        <v>0.14399999999999999</v>
      </c>
      <c r="K585" s="86">
        <f t="shared" si="189"/>
        <v>4.8</v>
      </c>
      <c r="L585" s="1027" t="s">
        <v>727</v>
      </c>
      <c r="M585" s="136"/>
      <c r="N585" s="137"/>
      <c r="O585" s="858" t="s">
        <v>734</v>
      </c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  <c r="AR585" s="49"/>
      <c r="AS585" s="49"/>
      <c r="AT585" s="49"/>
      <c r="AU585" s="49"/>
      <c r="AV585" s="49"/>
      <c r="AW585" s="49"/>
      <c r="AX585" s="49"/>
      <c r="AY585" s="49"/>
      <c r="AZ585" s="49"/>
      <c r="BA585" s="49"/>
      <c r="BB585" s="49"/>
      <c r="BC585" s="49"/>
      <c r="BD585" s="49"/>
      <c r="BE585" s="68"/>
    </row>
    <row r="586" spans="1:57" s="51" customFormat="1" ht="35.25" customHeight="1">
      <c r="A586" s="958"/>
      <c r="B586" s="869"/>
      <c r="C586" s="869"/>
      <c r="D586" s="62">
        <v>2022</v>
      </c>
      <c r="E586" s="63">
        <f>F586+G586+H586+I586+J586</f>
        <v>4.8</v>
      </c>
      <c r="F586" s="63">
        <v>0</v>
      </c>
      <c r="G586" s="63">
        <v>0</v>
      </c>
      <c r="H586" s="63">
        <v>4.6559999999999997</v>
      </c>
      <c r="I586" s="63">
        <v>0</v>
      </c>
      <c r="J586" s="63">
        <v>0.14399999999999999</v>
      </c>
      <c r="K586" s="86">
        <f t="shared" si="189"/>
        <v>4.8</v>
      </c>
      <c r="L586" s="1027"/>
      <c r="M586" s="136"/>
      <c r="N586" s="137"/>
      <c r="O586" s="988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49"/>
      <c r="BC586" s="49"/>
      <c r="BD586" s="49"/>
      <c r="BE586" s="68"/>
    </row>
    <row r="587" spans="1:57" s="51" customFormat="1" ht="23.25" customHeight="1">
      <c r="A587" s="794" t="s">
        <v>735</v>
      </c>
      <c r="B587" s="867" t="s">
        <v>736</v>
      </c>
      <c r="C587" s="867" t="s">
        <v>532</v>
      </c>
      <c r="D587" s="84" t="s">
        <v>16</v>
      </c>
      <c r="E587" s="136">
        <f t="shared" ref="E587:J587" si="215">E588</f>
        <v>1.5</v>
      </c>
      <c r="F587" s="136">
        <f t="shared" si="215"/>
        <v>0</v>
      </c>
      <c r="G587" s="136">
        <f t="shared" si="215"/>
        <v>0</v>
      </c>
      <c r="H587" s="136">
        <f t="shared" si="215"/>
        <v>1.425</v>
      </c>
      <c r="I587" s="136">
        <f t="shared" si="215"/>
        <v>0</v>
      </c>
      <c r="J587" s="136">
        <f t="shared" si="215"/>
        <v>7.4999999999999997E-2</v>
      </c>
      <c r="K587" s="86">
        <f t="shared" ref="K587:K650" si="216">F587+G587+H587+I587+J587</f>
        <v>1.5</v>
      </c>
      <c r="L587" s="1027" t="s">
        <v>727</v>
      </c>
      <c r="M587" s="136"/>
      <c r="N587" s="137"/>
      <c r="O587" s="858" t="s">
        <v>737</v>
      </c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  <c r="AR587" s="49"/>
      <c r="AS587" s="49"/>
      <c r="AT587" s="49"/>
      <c r="AU587" s="49"/>
      <c r="AV587" s="49"/>
      <c r="AW587" s="49"/>
      <c r="AX587" s="49"/>
      <c r="AY587" s="49"/>
      <c r="AZ587" s="49"/>
      <c r="BA587" s="49"/>
      <c r="BB587" s="49"/>
      <c r="BC587" s="49"/>
      <c r="BD587" s="49"/>
      <c r="BE587" s="68"/>
    </row>
    <row r="588" spans="1:57" s="51" customFormat="1" ht="34.5" customHeight="1">
      <c r="A588" s="958"/>
      <c r="B588" s="869"/>
      <c r="C588" s="869"/>
      <c r="D588" s="62">
        <v>2025</v>
      </c>
      <c r="E588" s="63">
        <f>F588+G588+H588+I588+J588</f>
        <v>1.5</v>
      </c>
      <c r="F588" s="63">
        <v>0</v>
      </c>
      <c r="G588" s="63">
        <v>0</v>
      </c>
      <c r="H588" s="63">
        <v>1.425</v>
      </c>
      <c r="I588" s="63">
        <v>0</v>
      </c>
      <c r="J588" s="63">
        <v>7.4999999999999997E-2</v>
      </c>
      <c r="K588" s="86">
        <f t="shared" si="216"/>
        <v>1.5</v>
      </c>
      <c r="L588" s="1027"/>
      <c r="M588" s="136"/>
      <c r="N588" s="137"/>
      <c r="O588" s="988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  <c r="AR588" s="49"/>
      <c r="AS588" s="49"/>
      <c r="AT588" s="49"/>
      <c r="AU588" s="49"/>
      <c r="AV588" s="49"/>
      <c r="AW588" s="49"/>
      <c r="AX588" s="49"/>
      <c r="AY588" s="49"/>
      <c r="AZ588" s="49"/>
      <c r="BA588" s="49"/>
      <c r="BB588" s="49"/>
      <c r="BC588" s="49"/>
      <c r="BD588" s="49"/>
      <c r="BE588" s="68"/>
    </row>
    <row r="589" spans="1:57" s="51" customFormat="1" ht="21.75" customHeight="1">
      <c r="A589" s="794" t="s">
        <v>738</v>
      </c>
      <c r="B589" s="867" t="s">
        <v>739</v>
      </c>
      <c r="C589" s="867" t="s">
        <v>532</v>
      </c>
      <c r="D589" s="84" t="s">
        <v>16</v>
      </c>
      <c r="E589" s="136">
        <f t="shared" ref="E589:J589" si="217">E590</f>
        <v>4.8</v>
      </c>
      <c r="F589" s="136">
        <f t="shared" si="217"/>
        <v>0</v>
      </c>
      <c r="G589" s="136">
        <f t="shared" si="217"/>
        <v>0</v>
      </c>
      <c r="H589" s="136">
        <f t="shared" si="217"/>
        <v>4.6559999999999997</v>
      </c>
      <c r="I589" s="136">
        <f t="shared" si="217"/>
        <v>0</v>
      </c>
      <c r="J589" s="136">
        <f t="shared" si="217"/>
        <v>0.14399999999999999</v>
      </c>
      <c r="K589" s="86">
        <f t="shared" si="216"/>
        <v>4.8</v>
      </c>
      <c r="L589" s="1029" t="s">
        <v>673</v>
      </c>
      <c r="M589" s="136"/>
      <c r="N589" s="137"/>
      <c r="O589" s="858" t="s">
        <v>740</v>
      </c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  <c r="AR589" s="49"/>
      <c r="AS589" s="49"/>
      <c r="AT589" s="49"/>
      <c r="AU589" s="49"/>
      <c r="AV589" s="49"/>
      <c r="AW589" s="49"/>
      <c r="AX589" s="49"/>
      <c r="AY589" s="49"/>
      <c r="AZ589" s="49"/>
      <c r="BA589" s="49"/>
      <c r="BB589" s="49"/>
      <c r="BC589" s="49"/>
      <c r="BD589" s="49"/>
      <c r="BE589" s="68"/>
    </row>
    <row r="590" spans="1:57" s="51" customFormat="1" ht="32.25" customHeight="1">
      <c r="A590" s="958"/>
      <c r="B590" s="869"/>
      <c r="C590" s="869"/>
      <c r="D590" s="62">
        <v>2023</v>
      </c>
      <c r="E590" s="63">
        <f>F590+G590+H590+I590+J590</f>
        <v>4.8</v>
      </c>
      <c r="F590" s="63">
        <v>0</v>
      </c>
      <c r="G590" s="63">
        <v>0</v>
      </c>
      <c r="H590" s="63">
        <v>4.6559999999999997</v>
      </c>
      <c r="I590" s="63">
        <v>0</v>
      </c>
      <c r="J590" s="63">
        <v>0.14399999999999999</v>
      </c>
      <c r="K590" s="86">
        <f t="shared" si="216"/>
        <v>4.8</v>
      </c>
      <c r="L590" s="1029"/>
      <c r="M590" s="136"/>
      <c r="N590" s="137"/>
      <c r="O590" s="98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49"/>
      <c r="AU590" s="49"/>
      <c r="AV590" s="49"/>
      <c r="AW590" s="49"/>
      <c r="AX590" s="49"/>
      <c r="AY590" s="49"/>
      <c r="AZ590" s="49"/>
      <c r="BA590" s="49"/>
      <c r="BB590" s="49"/>
      <c r="BC590" s="49"/>
      <c r="BD590" s="49"/>
      <c r="BE590" s="68"/>
    </row>
    <row r="591" spans="1:57" s="51" customFormat="1">
      <c r="A591" s="794" t="s">
        <v>741</v>
      </c>
      <c r="B591" s="867" t="s">
        <v>742</v>
      </c>
      <c r="C591" s="867" t="s">
        <v>532</v>
      </c>
      <c r="D591" s="84" t="s">
        <v>16</v>
      </c>
      <c r="E591" s="136">
        <f t="shared" ref="E591:J591" si="218">E592</f>
        <v>4.3</v>
      </c>
      <c r="F591" s="136">
        <f t="shared" si="218"/>
        <v>0</v>
      </c>
      <c r="G591" s="136">
        <f t="shared" si="218"/>
        <v>0</v>
      </c>
      <c r="H591" s="136">
        <f t="shared" si="218"/>
        <v>4.17</v>
      </c>
      <c r="I591" s="136">
        <f t="shared" si="218"/>
        <v>0</v>
      </c>
      <c r="J591" s="136">
        <f t="shared" si="218"/>
        <v>0.13</v>
      </c>
      <c r="K591" s="86">
        <f t="shared" si="216"/>
        <v>4.3</v>
      </c>
      <c r="L591" s="1028" t="s">
        <v>673</v>
      </c>
      <c r="M591" s="136"/>
      <c r="N591" s="137"/>
      <c r="O591" s="858" t="s">
        <v>539</v>
      </c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  <c r="AR591" s="49"/>
      <c r="AS591" s="49"/>
      <c r="AT591" s="49"/>
      <c r="AU591" s="49"/>
      <c r="AV591" s="49"/>
      <c r="AW591" s="49"/>
      <c r="AX591" s="49"/>
      <c r="AY591" s="49"/>
      <c r="AZ591" s="49"/>
      <c r="BA591" s="49"/>
      <c r="BB591" s="49"/>
      <c r="BC591" s="49"/>
      <c r="BD591" s="49"/>
      <c r="BE591" s="68"/>
    </row>
    <row r="592" spans="1:57" s="51" customFormat="1" ht="39.75" customHeight="1">
      <c r="A592" s="958"/>
      <c r="B592" s="869"/>
      <c r="C592" s="869"/>
      <c r="D592" s="62">
        <v>2029</v>
      </c>
      <c r="E592" s="63">
        <f>F592+G592+H592+I592+J592</f>
        <v>4.3</v>
      </c>
      <c r="F592" s="63">
        <v>0</v>
      </c>
      <c r="G592" s="63">
        <v>0</v>
      </c>
      <c r="H592" s="63">
        <v>4.17</v>
      </c>
      <c r="I592" s="63">
        <v>0</v>
      </c>
      <c r="J592" s="63">
        <v>0.13</v>
      </c>
      <c r="K592" s="86">
        <f t="shared" si="216"/>
        <v>4.3</v>
      </c>
      <c r="L592" s="1026"/>
      <c r="M592" s="136"/>
      <c r="N592" s="137"/>
      <c r="O592" s="988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  <c r="AR592" s="49"/>
      <c r="AS592" s="49"/>
      <c r="AT592" s="49"/>
      <c r="AU592" s="49"/>
      <c r="AV592" s="49"/>
      <c r="AW592" s="49"/>
      <c r="AX592" s="49"/>
      <c r="AY592" s="49"/>
      <c r="AZ592" s="49"/>
      <c r="BA592" s="49"/>
      <c r="BB592" s="49"/>
      <c r="BC592" s="49"/>
      <c r="BD592" s="49"/>
      <c r="BE592" s="68"/>
    </row>
    <row r="593" spans="1:57" s="51" customFormat="1" ht="12.75" customHeight="1">
      <c r="A593" s="794" t="s">
        <v>743</v>
      </c>
      <c r="B593" s="867" t="s">
        <v>744</v>
      </c>
      <c r="C593" s="867" t="s">
        <v>745</v>
      </c>
      <c r="D593" s="84" t="s">
        <v>16</v>
      </c>
      <c r="E593" s="136">
        <f t="shared" ref="E593:J593" si="219">E594</f>
        <v>100</v>
      </c>
      <c r="F593" s="136">
        <f t="shared" si="219"/>
        <v>0</v>
      </c>
      <c r="G593" s="136">
        <f t="shared" si="219"/>
        <v>0</v>
      </c>
      <c r="H593" s="136">
        <f t="shared" si="219"/>
        <v>99</v>
      </c>
      <c r="I593" s="136">
        <f t="shared" si="219"/>
        <v>0</v>
      </c>
      <c r="J593" s="136">
        <f t="shared" si="219"/>
        <v>1</v>
      </c>
      <c r="K593" s="86">
        <f t="shared" si="216"/>
        <v>100</v>
      </c>
      <c r="L593" s="943" t="s">
        <v>746</v>
      </c>
      <c r="M593" s="1037"/>
      <c r="N593" s="875"/>
      <c r="O593" s="858" t="s">
        <v>747</v>
      </c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  <c r="AR593" s="49"/>
      <c r="AS593" s="49"/>
      <c r="AT593" s="49"/>
      <c r="AU593" s="49"/>
      <c r="AV593" s="49"/>
      <c r="AW593" s="49"/>
      <c r="AX593" s="49"/>
      <c r="AY593" s="49"/>
      <c r="AZ593" s="49"/>
      <c r="BA593" s="49"/>
      <c r="BB593" s="49"/>
      <c r="BC593" s="49"/>
      <c r="BD593" s="49"/>
      <c r="BE593" s="68"/>
    </row>
    <row r="594" spans="1:57" s="51" customFormat="1" ht="31.5" customHeight="1">
      <c r="A594" s="796"/>
      <c r="B594" s="873"/>
      <c r="C594" s="873"/>
      <c r="D594" s="62">
        <v>2020</v>
      </c>
      <c r="E594" s="63">
        <f>F594+G594+H594+I594+J594</f>
        <v>100</v>
      </c>
      <c r="F594" s="63">
        <v>0</v>
      </c>
      <c r="G594" s="63">
        <v>0</v>
      </c>
      <c r="H594" s="63">
        <v>99</v>
      </c>
      <c r="I594" s="63">
        <v>0</v>
      </c>
      <c r="J594" s="63">
        <v>1</v>
      </c>
      <c r="K594" s="86">
        <f t="shared" si="216"/>
        <v>100</v>
      </c>
      <c r="L594" s="990"/>
      <c r="M594" s="1038"/>
      <c r="N594" s="876"/>
      <c r="O594" s="988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  <c r="AO594" s="49"/>
      <c r="AP594" s="49"/>
      <c r="AQ594" s="49"/>
      <c r="AR594" s="49"/>
      <c r="AS594" s="49"/>
      <c r="AT594" s="49"/>
      <c r="AU594" s="49"/>
      <c r="AV594" s="49"/>
      <c r="AW594" s="49"/>
      <c r="AX594" s="49"/>
      <c r="AY594" s="49"/>
      <c r="AZ594" s="49"/>
      <c r="BA594" s="49"/>
      <c r="BB594" s="49"/>
      <c r="BC594" s="49"/>
      <c r="BD594" s="49"/>
      <c r="BE594" s="68"/>
    </row>
    <row r="595" spans="1:57" s="51" customFormat="1" ht="19.5" customHeight="1">
      <c r="A595" s="794" t="s">
        <v>748</v>
      </c>
      <c r="B595" s="867" t="s">
        <v>749</v>
      </c>
      <c r="C595" s="838" t="s">
        <v>750</v>
      </c>
      <c r="D595" s="84" t="s">
        <v>16</v>
      </c>
      <c r="E595" s="85">
        <f t="shared" ref="E595:J595" si="220">E596+E597</f>
        <v>44.984699999999997</v>
      </c>
      <c r="F595" s="85">
        <f t="shared" si="220"/>
        <v>5.7218</v>
      </c>
      <c r="G595" s="85">
        <f t="shared" si="220"/>
        <v>0</v>
      </c>
      <c r="H595" s="85">
        <f t="shared" si="220"/>
        <v>39.262899999999995</v>
      </c>
      <c r="I595" s="85">
        <f t="shared" si="220"/>
        <v>0</v>
      </c>
      <c r="J595" s="85">
        <f t="shared" si="220"/>
        <v>0</v>
      </c>
      <c r="K595" s="86">
        <f t="shared" si="216"/>
        <v>44.984699999999997</v>
      </c>
      <c r="L595" s="375"/>
      <c r="M595" s="376"/>
      <c r="N595" s="111"/>
      <c r="O595" s="858" t="s">
        <v>405</v>
      </c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49"/>
      <c r="AT595" s="49"/>
      <c r="AU595" s="49"/>
      <c r="AV595" s="49"/>
      <c r="AW595" s="49"/>
      <c r="AX595" s="49"/>
      <c r="AY595" s="49"/>
      <c r="AZ595" s="49"/>
      <c r="BA595" s="49"/>
      <c r="BB595" s="49"/>
      <c r="BC595" s="49"/>
      <c r="BD595" s="49"/>
      <c r="BE595" s="68"/>
    </row>
    <row r="596" spans="1:57" s="219" customFormat="1" ht="45.75" customHeight="1">
      <c r="A596" s="795"/>
      <c r="B596" s="872"/>
      <c r="C596" s="889"/>
      <c r="D596" s="193">
        <v>2019</v>
      </c>
      <c r="E596" s="194">
        <f t="shared" ref="E596:J596" si="221">E598+E599+E600+E601+E602+E603+E604+E605+E606+E607</f>
        <v>26.270899999999997</v>
      </c>
      <c r="F596" s="194">
        <f t="shared" si="221"/>
        <v>3.2890000000000001</v>
      </c>
      <c r="G596" s="194">
        <f t="shared" si="221"/>
        <v>0</v>
      </c>
      <c r="H596" s="194">
        <f t="shared" si="221"/>
        <v>22.981899999999996</v>
      </c>
      <c r="I596" s="194">
        <f t="shared" si="221"/>
        <v>0</v>
      </c>
      <c r="J596" s="194">
        <f t="shared" si="221"/>
        <v>0</v>
      </c>
      <c r="K596" s="129">
        <f t="shared" si="216"/>
        <v>26.270899999999997</v>
      </c>
      <c r="L596" s="377"/>
      <c r="M596" s="378"/>
      <c r="N596" s="132"/>
      <c r="O596" s="871"/>
      <c r="P596" s="221"/>
      <c r="Q596" s="221"/>
      <c r="R596" s="221"/>
      <c r="S596" s="221"/>
      <c r="T596" s="221"/>
      <c r="U596" s="221"/>
      <c r="V596" s="221"/>
      <c r="W596" s="221"/>
      <c r="X596" s="221"/>
      <c r="Y596" s="221"/>
      <c r="Z596" s="221"/>
      <c r="AA596" s="221"/>
      <c r="AB596" s="221"/>
      <c r="AC596" s="221"/>
      <c r="AD596" s="221"/>
      <c r="AE596" s="221"/>
      <c r="AF596" s="221"/>
      <c r="AG596" s="221"/>
      <c r="AH596" s="221"/>
      <c r="AI596" s="221"/>
      <c r="AJ596" s="221"/>
      <c r="AK596" s="221"/>
      <c r="AL596" s="221"/>
      <c r="AM596" s="221"/>
      <c r="AN596" s="221"/>
      <c r="AO596" s="221"/>
      <c r="AP596" s="221"/>
      <c r="AQ596" s="221"/>
      <c r="AR596" s="221"/>
      <c r="AS596" s="221"/>
      <c r="AT596" s="221"/>
      <c r="AU596" s="221"/>
      <c r="AV596" s="221"/>
      <c r="AW596" s="221"/>
      <c r="AX596" s="221"/>
      <c r="AY596" s="221"/>
      <c r="AZ596" s="221"/>
      <c r="BA596" s="221"/>
      <c r="BB596" s="221"/>
      <c r="BC596" s="221"/>
      <c r="BD596" s="221"/>
      <c r="BE596" s="222"/>
    </row>
    <row r="597" spans="1:57" s="202" customFormat="1" ht="21.75" customHeight="1">
      <c r="A597" s="209"/>
      <c r="B597" s="218"/>
      <c r="C597" s="889"/>
      <c r="D597" s="204">
        <v>2020</v>
      </c>
      <c r="E597" s="205">
        <f t="shared" ref="E597:J597" si="222">E608+E609+E610</f>
        <v>18.713799999999999</v>
      </c>
      <c r="F597" s="205">
        <f t="shared" si="222"/>
        <v>2.4327999999999999</v>
      </c>
      <c r="G597" s="205">
        <f t="shared" si="222"/>
        <v>0</v>
      </c>
      <c r="H597" s="205">
        <f t="shared" si="222"/>
        <v>16.280999999999999</v>
      </c>
      <c r="I597" s="205">
        <f t="shared" si="222"/>
        <v>0</v>
      </c>
      <c r="J597" s="205">
        <f t="shared" si="222"/>
        <v>0</v>
      </c>
      <c r="K597" s="120">
        <f t="shared" si="216"/>
        <v>18.713799999999999</v>
      </c>
      <c r="L597" s="379"/>
      <c r="M597" s="380"/>
      <c r="N597" s="123"/>
      <c r="O597" s="871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  <c r="AB597" s="207"/>
      <c r="AC597" s="207"/>
      <c r="AD597" s="207"/>
      <c r="AE597" s="207"/>
      <c r="AF597" s="207"/>
      <c r="AG597" s="207"/>
      <c r="AH597" s="207"/>
      <c r="AI597" s="207"/>
      <c r="AJ597" s="207"/>
      <c r="AK597" s="207"/>
      <c r="AL597" s="207"/>
      <c r="AM597" s="207"/>
      <c r="AN597" s="207"/>
      <c r="AO597" s="207"/>
      <c r="AP597" s="207"/>
      <c r="AQ597" s="207"/>
      <c r="AR597" s="207"/>
      <c r="AS597" s="207"/>
      <c r="AT597" s="207"/>
      <c r="AU597" s="207"/>
      <c r="AV597" s="207"/>
      <c r="AW597" s="207"/>
      <c r="AX597" s="207"/>
      <c r="AY597" s="207"/>
      <c r="AZ597" s="207"/>
      <c r="BA597" s="207"/>
      <c r="BB597" s="207"/>
      <c r="BC597" s="207"/>
      <c r="BD597" s="207"/>
      <c r="BE597" s="208"/>
    </row>
    <row r="598" spans="1:57" s="51" customFormat="1" ht="110.25" customHeight="1">
      <c r="A598" s="59" t="s">
        <v>751</v>
      </c>
      <c r="B598" s="60" t="s">
        <v>752</v>
      </c>
      <c r="C598" s="889"/>
      <c r="D598" s="62">
        <v>2019</v>
      </c>
      <c r="E598" s="63">
        <f t="shared" ref="E598:E610" si="223">F598+G598+H598+I598+J598</f>
        <v>1.5590000000000002</v>
      </c>
      <c r="F598" s="63">
        <v>0.20300000000000001</v>
      </c>
      <c r="G598" s="63">
        <v>0</v>
      </c>
      <c r="H598" s="63">
        <v>1.3560000000000001</v>
      </c>
      <c r="I598" s="63">
        <v>0</v>
      </c>
      <c r="J598" s="63">
        <v>0</v>
      </c>
      <c r="K598" s="86">
        <f t="shared" si="216"/>
        <v>1.5590000000000002</v>
      </c>
      <c r="L598" s="99" t="s">
        <v>753</v>
      </c>
      <c r="M598" s="381"/>
      <c r="N598" s="111"/>
      <c r="O598" s="957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  <c r="AR598" s="49"/>
      <c r="AS598" s="49"/>
      <c r="AT598" s="49"/>
      <c r="AU598" s="49"/>
      <c r="AV598" s="49"/>
      <c r="AW598" s="49"/>
      <c r="AX598" s="49"/>
      <c r="AY598" s="49"/>
      <c r="AZ598" s="49"/>
      <c r="BA598" s="49"/>
      <c r="BB598" s="49"/>
      <c r="BC598" s="49"/>
      <c r="BD598" s="49"/>
      <c r="BE598" s="68"/>
    </row>
    <row r="599" spans="1:57" s="51" customFormat="1" ht="105" customHeight="1">
      <c r="A599" s="59" t="s">
        <v>754</v>
      </c>
      <c r="B599" s="60" t="s">
        <v>755</v>
      </c>
      <c r="C599" s="889"/>
      <c r="D599" s="62">
        <v>2019</v>
      </c>
      <c r="E599" s="63">
        <f t="shared" si="223"/>
        <v>3.2126000000000001</v>
      </c>
      <c r="F599" s="63">
        <v>0.41760000000000003</v>
      </c>
      <c r="G599" s="63">
        <v>0</v>
      </c>
      <c r="H599" s="63">
        <v>2.7949999999999999</v>
      </c>
      <c r="I599" s="63">
        <v>0</v>
      </c>
      <c r="J599" s="63">
        <v>0</v>
      </c>
      <c r="K599" s="86">
        <f t="shared" si="216"/>
        <v>3.2126000000000001</v>
      </c>
      <c r="L599" s="99" t="s">
        <v>756</v>
      </c>
      <c r="M599" s="381"/>
      <c r="N599" s="111"/>
      <c r="O599" s="957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  <c r="AR599" s="49"/>
      <c r="AS599" s="49"/>
      <c r="AT599" s="49"/>
      <c r="AU599" s="49"/>
      <c r="AV599" s="49"/>
      <c r="AW599" s="49"/>
      <c r="AX599" s="49"/>
      <c r="AY599" s="49"/>
      <c r="AZ599" s="49"/>
      <c r="BA599" s="49"/>
      <c r="BB599" s="49"/>
      <c r="BC599" s="49"/>
      <c r="BD599" s="49"/>
      <c r="BE599" s="68"/>
    </row>
    <row r="600" spans="1:57" s="51" customFormat="1" ht="103.5" customHeight="1">
      <c r="A600" s="59" t="s">
        <v>757</v>
      </c>
      <c r="B600" s="60" t="s">
        <v>758</v>
      </c>
      <c r="C600" s="889"/>
      <c r="D600" s="62">
        <v>2019</v>
      </c>
      <c r="E600" s="63">
        <f t="shared" si="223"/>
        <v>1.7907999999999999</v>
      </c>
      <c r="F600" s="63">
        <v>0.23280000000000001</v>
      </c>
      <c r="G600" s="63">
        <v>0</v>
      </c>
      <c r="H600" s="63">
        <v>1.5580000000000001</v>
      </c>
      <c r="I600" s="63">
        <v>0</v>
      </c>
      <c r="J600" s="63">
        <v>0</v>
      </c>
      <c r="K600" s="86">
        <f t="shared" si="216"/>
        <v>1.7907999999999999</v>
      </c>
      <c r="L600" s="99" t="s">
        <v>759</v>
      </c>
      <c r="M600" s="381"/>
      <c r="N600" s="111"/>
      <c r="O600" s="957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  <c r="AR600" s="49"/>
      <c r="AS600" s="49"/>
      <c r="AT600" s="49"/>
      <c r="AU600" s="49"/>
      <c r="AV600" s="49"/>
      <c r="AW600" s="49"/>
      <c r="AX600" s="49"/>
      <c r="AY600" s="49"/>
      <c r="AZ600" s="49"/>
      <c r="BA600" s="49"/>
      <c r="BB600" s="49"/>
      <c r="BC600" s="49"/>
      <c r="BD600" s="49"/>
      <c r="BE600" s="68"/>
    </row>
    <row r="601" spans="1:57" s="51" customFormat="1" ht="98.25" customHeight="1">
      <c r="A601" s="59" t="s">
        <v>760</v>
      </c>
      <c r="B601" s="60" t="s">
        <v>761</v>
      </c>
      <c r="C601" s="889"/>
      <c r="D601" s="62">
        <v>2019</v>
      </c>
      <c r="E601" s="63">
        <f t="shared" si="223"/>
        <v>3.2126000000000001</v>
      </c>
      <c r="F601" s="63">
        <v>0.41760000000000003</v>
      </c>
      <c r="G601" s="63">
        <v>0</v>
      </c>
      <c r="H601" s="63">
        <v>2.7949999999999999</v>
      </c>
      <c r="I601" s="63">
        <v>0</v>
      </c>
      <c r="J601" s="63">
        <v>0</v>
      </c>
      <c r="K601" s="86">
        <f t="shared" si="216"/>
        <v>3.2126000000000001</v>
      </c>
      <c r="L601" s="99" t="s">
        <v>762</v>
      </c>
      <c r="M601" s="381"/>
      <c r="N601" s="111"/>
      <c r="O601" s="957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  <c r="AR601" s="49"/>
      <c r="AS601" s="49"/>
      <c r="AT601" s="49"/>
      <c r="AU601" s="49"/>
      <c r="AV601" s="49"/>
      <c r="AW601" s="49"/>
      <c r="AX601" s="49"/>
      <c r="AY601" s="49"/>
      <c r="AZ601" s="49"/>
      <c r="BA601" s="49"/>
      <c r="BB601" s="49"/>
      <c r="BC601" s="49"/>
      <c r="BD601" s="49"/>
      <c r="BE601" s="68"/>
    </row>
    <row r="602" spans="1:57" s="51" customFormat="1" ht="100.5" customHeight="1">
      <c r="A602" s="59" t="s">
        <v>763</v>
      </c>
      <c r="B602" s="60" t="s">
        <v>764</v>
      </c>
      <c r="C602" s="889"/>
      <c r="D602" s="62">
        <v>2019</v>
      </c>
      <c r="E602" s="63">
        <f t="shared" si="223"/>
        <v>1.7907999999999999</v>
      </c>
      <c r="F602" s="63">
        <v>0.23280000000000001</v>
      </c>
      <c r="G602" s="63">
        <v>0</v>
      </c>
      <c r="H602" s="63">
        <v>1.5580000000000001</v>
      </c>
      <c r="I602" s="63">
        <v>0</v>
      </c>
      <c r="J602" s="63">
        <v>0</v>
      </c>
      <c r="K602" s="86">
        <f t="shared" si="216"/>
        <v>1.7907999999999999</v>
      </c>
      <c r="L602" s="99" t="s">
        <v>759</v>
      </c>
      <c r="M602" s="381"/>
      <c r="N602" s="111"/>
      <c r="O602" s="957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  <c r="AR602" s="49"/>
      <c r="AS602" s="49"/>
      <c r="AT602" s="49"/>
      <c r="AU602" s="49"/>
      <c r="AV602" s="49"/>
      <c r="AW602" s="49"/>
      <c r="AX602" s="49"/>
      <c r="AY602" s="49"/>
      <c r="AZ602" s="49"/>
      <c r="BA602" s="49"/>
      <c r="BB602" s="49"/>
      <c r="BC602" s="49"/>
      <c r="BD602" s="49"/>
      <c r="BE602" s="68"/>
    </row>
    <row r="603" spans="1:57" s="51" customFormat="1" ht="105.75" customHeight="1">
      <c r="A603" s="83" t="s">
        <v>765</v>
      </c>
      <c r="B603" s="61" t="s">
        <v>766</v>
      </c>
      <c r="C603" s="889"/>
      <c r="D603" s="62">
        <v>2019</v>
      </c>
      <c r="E603" s="63">
        <f t="shared" si="223"/>
        <v>3.2126000000000001</v>
      </c>
      <c r="F603" s="63">
        <v>0.41760000000000003</v>
      </c>
      <c r="G603" s="63">
        <v>0</v>
      </c>
      <c r="H603" s="63">
        <v>2.7949999999999999</v>
      </c>
      <c r="I603" s="63">
        <v>0</v>
      </c>
      <c r="J603" s="63">
        <v>0</v>
      </c>
      <c r="K603" s="86">
        <f t="shared" si="216"/>
        <v>3.2126000000000001</v>
      </c>
      <c r="L603" s="99" t="s">
        <v>767</v>
      </c>
      <c r="M603" s="381"/>
      <c r="N603" s="111"/>
      <c r="O603" s="957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49"/>
      <c r="AU603" s="49"/>
      <c r="AV603" s="49"/>
      <c r="AW603" s="49"/>
      <c r="AX603" s="49"/>
      <c r="AY603" s="49"/>
      <c r="AZ603" s="49"/>
      <c r="BA603" s="49"/>
      <c r="BB603" s="49"/>
      <c r="BC603" s="49"/>
      <c r="BD603" s="49"/>
      <c r="BE603" s="68"/>
    </row>
    <row r="604" spans="1:57" s="51" customFormat="1" ht="103.5" customHeight="1">
      <c r="A604" s="83" t="s">
        <v>768</v>
      </c>
      <c r="B604" s="61" t="s">
        <v>769</v>
      </c>
      <c r="C604" s="889"/>
      <c r="D604" s="62">
        <v>2019</v>
      </c>
      <c r="E604" s="63">
        <f t="shared" si="223"/>
        <v>2.0596999999999999</v>
      </c>
      <c r="F604" s="63">
        <v>0.26769999999999999</v>
      </c>
      <c r="G604" s="63">
        <v>0</v>
      </c>
      <c r="H604" s="63">
        <v>1.792</v>
      </c>
      <c r="I604" s="63">
        <v>0</v>
      </c>
      <c r="J604" s="63">
        <v>0</v>
      </c>
      <c r="K604" s="86">
        <f t="shared" si="216"/>
        <v>2.0596999999999999</v>
      </c>
      <c r="L604" s="99" t="s">
        <v>746</v>
      </c>
      <c r="M604" s="381"/>
      <c r="N604" s="111"/>
      <c r="O604" s="957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  <c r="AR604" s="49"/>
      <c r="AS604" s="49"/>
      <c r="AT604" s="49"/>
      <c r="AU604" s="49"/>
      <c r="AV604" s="49"/>
      <c r="AW604" s="49"/>
      <c r="AX604" s="49"/>
      <c r="AY604" s="49"/>
      <c r="AZ604" s="49"/>
      <c r="BA604" s="49"/>
      <c r="BB604" s="49"/>
      <c r="BC604" s="49"/>
      <c r="BD604" s="49"/>
      <c r="BE604" s="68"/>
    </row>
    <row r="605" spans="1:57" s="51" customFormat="1" ht="102" customHeight="1">
      <c r="A605" s="83" t="s">
        <v>770</v>
      </c>
      <c r="B605" s="61" t="s">
        <v>771</v>
      </c>
      <c r="C605" s="889"/>
      <c r="D605" s="62">
        <v>2019</v>
      </c>
      <c r="E605" s="63">
        <f t="shared" si="223"/>
        <v>3.2126000000000001</v>
      </c>
      <c r="F605" s="63">
        <v>0.41760000000000003</v>
      </c>
      <c r="G605" s="63">
        <v>0</v>
      </c>
      <c r="H605" s="63">
        <v>2.7949999999999999</v>
      </c>
      <c r="I605" s="63">
        <v>0</v>
      </c>
      <c r="J605" s="63">
        <v>0</v>
      </c>
      <c r="K605" s="86">
        <f t="shared" si="216"/>
        <v>3.2126000000000001</v>
      </c>
      <c r="L605" s="99" t="s">
        <v>756</v>
      </c>
      <c r="M605" s="381"/>
      <c r="N605" s="111"/>
      <c r="O605" s="957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  <c r="AR605" s="49"/>
      <c r="AS605" s="49"/>
      <c r="AT605" s="49"/>
      <c r="AU605" s="49"/>
      <c r="AV605" s="49"/>
      <c r="AW605" s="49"/>
      <c r="AX605" s="49"/>
      <c r="AY605" s="49"/>
      <c r="AZ605" s="49"/>
      <c r="BA605" s="49"/>
      <c r="BB605" s="49"/>
      <c r="BC605" s="49"/>
      <c r="BD605" s="49"/>
      <c r="BE605" s="68"/>
    </row>
    <row r="606" spans="1:57" s="51" customFormat="1" ht="104.25" customHeight="1">
      <c r="A606" s="83" t="s">
        <v>772</v>
      </c>
      <c r="B606" s="61" t="s">
        <v>773</v>
      </c>
      <c r="C606" s="890"/>
      <c r="D606" s="62">
        <v>2019</v>
      </c>
      <c r="E606" s="63">
        <f t="shared" si="223"/>
        <v>5.2412999999999998</v>
      </c>
      <c r="F606" s="63">
        <v>0.68130000000000002</v>
      </c>
      <c r="G606" s="63">
        <v>0</v>
      </c>
      <c r="H606" s="63">
        <v>4.5599999999999996</v>
      </c>
      <c r="I606" s="63">
        <v>0</v>
      </c>
      <c r="J606" s="63">
        <v>0</v>
      </c>
      <c r="K606" s="86">
        <f t="shared" si="216"/>
        <v>5.2412999999999998</v>
      </c>
      <c r="L606" s="99" t="s">
        <v>774</v>
      </c>
      <c r="M606" s="381"/>
      <c r="N606" s="111"/>
      <c r="O606" s="85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  <c r="AR606" s="49"/>
      <c r="AS606" s="49"/>
      <c r="AT606" s="49"/>
      <c r="AU606" s="49"/>
      <c r="AV606" s="49"/>
      <c r="AW606" s="49"/>
      <c r="AX606" s="49"/>
      <c r="AY606" s="49"/>
      <c r="AZ606" s="49"/>
      <c r="BA606" s="49"/>
      <c r="BB606" s="49"/>
      <c r="BC606" s="49"/>
      <c r="BD606" s="49"/>
      <c r="BE606" s="68"/>
    </row>
    <row r="607" spans="1:57" s="51" customFormat="1" ht="104.25" customHeight="1">
      <c r="A607" s="83" t="s">
        <v>775</v>
      </c>
      <c r="B607" s="61" t="s">
        <v>776</v>
      </c>
      <c r="C607" s="152"/>
      <c r="D607" s="62">
        <v>2019</v>
      </c>
      <c r="E607" s="63">
        <f t="shared" si="223"/>
        <v>0.97889999999999999</v>
      </c>
      <c r="F607" s="63">
        <v>1E-3</v>
      </c>
      <c r="G607" s="63">
        <v>0</v>
      </c>
      <c r="H607" s="63">
        <v>0.97789999999999999</v>
      </c>
      <c r="I607" s="63">
        <v>0</v>
      </c>
      <c r="J607" s="63">
        <v>0</v>
      </c>
      <c r="K607" s="86">
        <f t="shared" si="216"/>
        <v>0.97889999999999999</v>
      </c>
      <c r="L607" s="99"/>
      <c r="M607" s="381"/>
      <c r="N607" s="111"/>
      <c r="O607" s="28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  <c r="AR607" s="49"/>
      <c r="AS607" s="49"/>
      <c r="AT607" s="49"/>
      <c r="AU607" s="49"/>
      <c r="AV607" s="49"/>
      <c r="AW607" s="49"/>
      <c r="AX607" s="49"/>
      <c r="AY607" s="49"/>
      <c r="AZ607" s="49"/>
      <c r="BA607" s="49"/>
      <c r="BB607" s="49"/>
      <c r="BC607" s="49"/>
      <c r="BD607" s="49"/>
      <c r="BE607" s="68"/>
    </row>
    <row r="608" spans="1:57" s="51" customFormat="1" ht="73.5" customHeight="1">
      <c r="A608" s="83" t="s">
        <v>777</v>
      </c>
      <c r="B608" s="61" t="s">
        <v>778</v>
      </c>
      <c r="C608" s="152"/>
      <c r="D608" s="62">
        <v>2020</v>
      </c>
      <c r="E608" s="63">
        <f t="shared" si="223"/>
        <v>8.8452000000000002</v>
      </c>
      <c r="F608" s="63">
        <v>1.1498999999999999</v>
      </c>
      <c r="G608" s="63">
        <v>0</v>
      </c>
      <c r="H608" s="63">
        <v>7.6952999999999996</v>
      </c>
      <c r="I608" s="63">
        <v>0</v>
      </c>
      <c r="J608" s="63">
        <v>0</v>
      </c>
      <c r="K608" s="86">
        <f t="shared" si="216"/>
        <v>8.8452000000000002</v>
      </c>
      <c r="L608" s="99" t="s">
        <v>774</v>
      </c>
      <c r="M608" s="381"/>
      <c r="N608" s="111"/>
      <c r="O608" s="28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  <c r="AR608" s="49"/>
      <c r="AS608" s="49"/>
      <c r="AT608" s="49"/>
      <c r="AU608" s="49"/>
      <c r="AV608" s="49"/>
      <c r="AW608" s="49"/>
      <c r="AX608" s="49"/>
      <c r="AY608" s="49"/>
      <c r="AZ608" s="49"/>
      <c r="BA608" s="49"/>
      <c r="BB608" s="49"/>
      <c r="BC608" s="49"/>
      <c r="BD608" s="49"/>
      <c r="BE608" s="68"/>
    </row>
    <row r="609" spans="1:57" s="51" customFormat="1" ht="73.5" customHeight="1">
      <c r="A609" s="83" t="s">
        <v>779</v>
      </c>
      <c r="B609" s="61" t="s">
        <v>780</v>
      </c>
      <c r="C609" s="152"/>
      <c r="D609" s="62">
        <v>2020</v>
      </c>
      <c r="E609" s="63">
        <f t="shared" si="223"/>
        <v>5.4904999999999999</v>
      </c>
      <c r="F609" s="63">
        <v>0.71379999999999999</v>
      </c>
      <c r="G609" s="63">
        <v>0</v>
      </c>
      <c r="H609" s="63">
        <v>4.7766999999999999</v>
      </c>
      <c r="I609" s="63">
        <v>0</v>
      </c>
      <c r="J609" s="63">
        <v>0</v>
      </c>
      <c r="K609" s="86">
        <f t="shared" si="216"/>
        <v>5.4904999999999999</v>
      </c>
      <c r="L609" s="99" t="s">
        <v>781</v>
      </c>
      <c r="M609" s="381"/>
      <c r="N609" s="111"/>
      <c r="O609" s="28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  <c r="AR609" s="49"/>
      <c r="AS609" s="49"/>
      <c r="AT609" s="49"/>
      <c r="AU609" s="49"/>
      <c r="AV609" s="49"/>
      <c r="AW609" s="49"/>
      <c r="AX609" s="49"/>
      <c r="AY609" s="49"/>
      <c r="AZ609" s="49"/>
      <c r="BA609" s="49"/>
      <c r="BB609" s="49"/>
      <c r="BC609" s="49"/>
      <c r="BD609" s="49"/>
      <c r="BE609" s="68"/>
    </row>
    <row r="610" spans="1:57" s="51" customFormat="1" ht="65.25" customHeight="1">
      <c r="A610" s="83" t="s">
        <v>782</v>
      </c>
      <c r="B610" s="61" t="s">
        <v>783</v>
      </c>
      <c r="C610" s="152"/>
      <c r="D610" s="62">
        <v>2020</v>
      </c>
      <c r="E610" s="63">
        <f t="shared" si="223"/>
        <v>4.3780999999999999</v>
      </c>
      <c r="F610" s="63">
        <v>0.56910000000000005</v>
      </c>
      <c r="G610" s="63">
        <v>0</v>
      </c>
      <c r="H610" s="63">
        <v>3.8090000000000002</v>
      </c>
      <c r="I610" s="63">
        <v>0</v>
      </c>
      <c r="J610" s="63">
        <v>0</v>
      </c>
      <c r="K610" s="86">
        <f t="shared" si="216"/>
        <v>4.3780999999999999</v>
      </c>
      <c r="L610" s="99" t="s">
        <v>756</v>
      </c>
      <c r="M610" s="381"/>
      <c r="N610" s="111"/>
      <c r="O610" s="28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  <c r="AT610" s="49"/>
      <c r="AU610" s="49"/>
      <c r="AV610" s="49"/>
      <c r="AW610" s="49"/>
      <c r="AX610" s="49"/>
      <c r="AY610" s="49"/>
      <c r="AZ610" s="49"/>
      <c r="BA610" s="49"/>
      <c r="BB610" s="49"/>
      <c r="BC610" s="49"/>
      <c r="BD610" s="49"/>
      <c r="BE610" s="68"/>
    </row>
    <row r="611" spans="1:57" s="51" customFormat="1" ht="45.75" customHeight="1">
      <c r="A611" s="794" t="s">
        <v>784</v>
      </c>
      <c r="B611" s="838" t="s">
        <v>785</v>
      </c>
      <c r="C611" s="867" t="s">
        <v>599</v>
      </c>
      <c r="D611" s="84" t="s">
        <v>16</v>
      </c>
      <c r="E611" s="313">
        <f>J611+I611+H611+G611</f>
        <v>231.25899999999999</v>
      </c>
      <c r="F611" s="313">
        <f>F612+F613+F614</f>
        <v>0</v>
      </c>
      <c r="G611" s="313">
        <f>G612+G613+G614</f>
        <v>0</v>
      </c>
      <c r="H611" s="313">
        <f>H612+H613+H614</f>
        <v>0</v>
      </c>
      <c r="I611" s="313">
        <f>I612+I613+I614+I615+I616+I617+I618+I619+I620</f>
        <v>231.25899999999999</v>
      </c>
      <c r="J611" s="313">
        <f>J612+J613+J614</f>
        <v>0</v>
      </c>
      <c r="K611" s="86">
        <f t="shared" si="216"/>
        <v>231.25899999999999</v>
      </c>
      <c r="L611" s="99"/>
      <c r="M611" s="1031"/>
      <c r="N611" s="1034"/>
      <c r="O611" s="995" t="s">
        <v>786</v>
      </c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49"/>
      <c r="AT611" s="49"/>
      <c r="AU611" s="49"/>
      <c r="AV611" s="49"/>
      <c r="AW611" s="49"/>
      <c r="AX611" s="49"/>
      <c r="AY611" s="49"/>
      <c r="AZ611" s="49"/>
      <c r="BA611" s="49"/>
      <c r="BB611" s="49"/>
      <c r="BC611" s="49"/>
      <c r="BD611" s="49"/>
      <c r="BE611" s="68"/>
    </row>
    <row r="612" spans="1:57" s="51" customFormat="1" ht="29.25" customHeight="1">
      <c r="A612" s="795"/>
      <c r="B612" s="839"/>
      <c r="C612" s="872"/>
      <c r="D612" s="62">
        <v>2019</v>
      </c>
      <c r="E612" s="341">
        <f t="shared" ref="E612:E620" si="224">F612+G612+H612+I612+J612</f>
        <v>12.183999999999999</v>
      </c>
      <c r="F612" s="63">
        <v>0</v>
      </c>
      <c r="G612" s="63">
        <v>0</v>
      </c>
      <c r="H612" s="63">
        <v>0</v>
      </c>
      <c r="I612" s="63">
        <v>12.183999999999999</v>
      </c>
      <c r="J612" s="63">
        <v>0</v>
      </c>
      <c r="K612" s="86">
        <f t="shared" si="216"/>
        <v>12.183999999999999</v>
      </c>
      <c r="L612" s="99"/>
      <c r="M612" s="1032"/>
      <c r="N612" s="1035"/>
      <c r="O612" s="1030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  <c r="AR612" s="49"/>
      <c r="AS612" s="49"/>
      <c r="AT612" s="49"/>
      <c r="AU612" s="49"/>
      <c r="AV612" s="49"/>
      <c r="AW612" s="49"/>
      <c r="AX612" s="49"/>
      <c r="AY612" s="49"/>
      <c r="AZ612" s="49"/>
      <c r="BA612" s="49"/>
      <c r="BB612" s="49"/>
      <c r="BC612" s="49"/>
      <c r="BD612" s="49"/>
      <c r="BE612" s="68"/>
    </row>
    <row r="613" spans="1:57" s="51" customFormat="1" ht="25.5" customHeight="1">
      <c r="A613" s="795"/>
      <c r="B613" s="839"/>
      <c r="C613" s="872"/>
      <c r="D613" s="62">
        <v>2020</v>
      </c>
      <c r="E613" s="63">
        <f t="shared" si="224"/>
        <v>8.6920000000000002</v>
      </c>
      <c r="F613" s="63">
        <v>0</v>
      </c>
      <c r="G613" s="63">
        <v>0</v>
      </c>
      <c r="H613" s="63">
        <v>0</v>
      </c>
      <c r="I613" s="63">
        <v>8.6920000000000002</v>
      </c>
      <c r="J613" s="63">
        <v>0</v>
      </c>
      <c r="K613" s="86">
        <f t="shared" si="216"/>
        <v>8.6920000000000002</v>
      </c>
      <c r="L613" s="99"/>
      <c r="M613" s="1032"/>
      <c r="N613" s="1035"/>
      <c r="O613" s="1030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  <c r="AT613" s="49"/>
      <c r="AU613" s="49"/>
      <c r="AV613" s="49"/>
      <c r="AW613" s="49"/>
      <c r="AX613" s="49"/>
      <c r="AY613" s="49"/>
      <c r="AZ613" s="49"/>
      <c r="BA613" s="49"/>
      <c r="BB613" s="49"/>
      <c r="BC613" s="49"/>
      <c r="BD613" s="49"/>
      <c r="BE613" s="68"/>
    </row>
    <row r="614" spans="1:57" s="51" customFormat="1" ht="38.25" customHeight="1">
      <c r="A614" s="795"/>
      <c r="B614" s="839"/>
      <c r="C614" s="872"/>
      <c r="D614" s="62">
        <v>2021</v>
      </c>
      <c r="E614" s="63">
        <f t="shared" si="224"/>
        <v>26.259</v>
      </c>
      <c r="F614" s="63">
        <v>0</v>
      </c>
      <c r="G614" s="63">
        <v>0</v>
      </c>
      <c r="H614" s="63">
        <v>0</v>
      </c>
      <c r="I614" s="63">
        <v>26.259</v>
      </c>
      <c r="J614" s="63">
        <v>0</v>
      </c>
      <c r="K614" s="86">
        <f t="shared" si="216"/>
        <v>26.259</v>
      </c>
      <c r="L614" s="99"/>
      <c r="M614" s="1032"/>
      <c r="N614" s="1035"/>
      <c r="O614" s="1030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49"/>
      <c r="BC614" s="49"/>
      <c r="BD614" s="49"/>
      <c r="BE614" s="68"/>
    </row>
    <row r="615" spans="1:57" s="51" customFormat="1" ht="19.5" customHeight="1">
      <c r="A615" s="795"/>
      <c r="B615" s="839"/>
      <c r="C615" s="872"/>
      <c r="D615" s="62">
        <v>2022</v>
      </c>
      <c r="E615" s="63">
        <f t="shared" si="224"/>
        <v>42.564999999999998</v>
      </c>
      <c r="F615" s="63">
        <v>0</v>
      </c>
      <c r="G615" s="63">
        <v>0</v>
      </c>
      <c r="H615" s="63">
        <v>0</v>
      </c>
      <c r="I615" s="63">
        <v>42.564999999999998</v>
      </c>
      <c r="J615" s="63">
        <v>0</v>
      </c>
      <c r="K615" s="86">
        <f t="shared" si="216"/>
        <v>42.564999999999998</v>
      </c>
      <c r="L615" s="99"/>
      <c r="M615" s="1032"/>
      <c r="N615" s="1035"/>
      <c r="O615" s="1030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  <c r="AR615" s="49"/>
      <c r="AS615" s="49"/>
      <c r="AT615" s="49"/>
      <c r="AU615" s="49"/>
      <c r="AV615" s="49"/>
      <c r="AW615" s="49"/>
      <c r="AX615" s="49"/>
      <c r="AY615" s="49"/>
      <c r="AZ615" s="49"/>
      <c r="BA615" s="49"/>
      <c r="BB615" s="49"/>
      <c r="BC615" s="49"/>
      <c r="BD615" s="49"/>
      <c r="BE615" s="68"/>
    </row>
    <row r="616" spans="1:57" s="51" customFormat="1" ht="18.75" customHeight="1">
      <c r="A616" s="795"/>
      <c r="B616" s="839"/>
      <c r="C616" s="872"/>
      <c r="D616" s="62">
        <v>2023</v>
      </c>
      <c r="E616" s="63">
        <f t="shared" si="224"/>
        <v>33.200000000000003</v>
      </c>
      <c r="F616" s="63">
        <v>0</v>
      </c>
      <c r="G616" s="63">
        <v>0</v>
      </c>
      <c r="H616" s="63">
        <v>0</v>
      </c>
      <c r="I616" s="63">
        <v>33.200000000000003</v>
      </c>
      <c r="J616" s="63">
        <v>0</v>
      </c>
      <c r="K616" s="86">
        <f t="shared" si="216"/>
        <v>33.200000000000003</v>
      </c>
      <c r="L616" s="99"/>
      <c r="M616" s="1032"/>
      <c r="N616" s="1035"/>
      <c r="O616" s="1030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49"/>
      <c r="BC616" s="49"/>
      <c r="BD616" s="49"/>
      <c r="BE616" s="68"/>
    </row>
    <row r="617" spans="1:57" s="51" customFormat="1" ht="19.5" customHeight="1">
      <c r="A617" s="795"/>
      <c r="B617" s="839"/>
      <c r="C617" s="872"/>
      <c r="D617" s="62">
        <v>2024</v>
      </c>
      <c r="E617" s="63">
        <f t="shared" si="224"/>
        <v>33.859000000000002</v>
      </c>
      <c r="F617" s="63">
        <v>0</v>
      </c>
      <c r="G617" s="63">
        <v>0</v>
      </c>
      <c r="H617" s="63">
        <v>0</v>
      </c>
      <c r="I617" s="63">
        <v>33.859000000000002</v>
      </c>
      <c r="J617" s="63">
        <v>0</v>
      </c>
      <c r="K617" s="86">
        <f t="shared" si="216"/>
        <v>33.859000000000002</v>
      </c>
      <c r="L617" s="99"/>
      <c r="M617" s="1032"/>
      <c r="N617" s="1035"/>
      <c r="O617" s="1030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49"/>
      <c r="BC617" s="49"/>
      <c r="BD617" s="49"/>
      <c r="BE617" s="68"/>
    </row>
    <row r="618" spans="1:57" s="51" customFormat="1" ht="18" customHeight="1">
      <c r="A618" s="795"/>
      <c r="B618" s="839"/>
      <c r="C618" s="872"/>
      <c r="D618" s="62">
        <v>2025</v>
      </c>
      <c r="E618" s="63">
        <f t="shared" si="224"/>
        <v>29</v>
      </c>
      <c r="F618" s="63">
        <v>0</v>
      </c>
      <c r="G618" s="63">
        <v>0</v>
      </c>
      <c r="H618" s="63">
        <v>0</v>
      </c>
      <c r="I618" s="63">
        <v>29</v>
      </c>
      <c r="J618" s="63">
        <v>0</v>
      </c>
      <c r="K618" s="86">
        <f t="shared" si="216"/>
        <v>29</v>
      </c>
      <c r="L618" s="99"/>
      <c r="M618" s="1032"/>
      <c r="N618" s="1035"/>
      <c r="O618" s="1030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  <c r="AT618" s="49"/>
      <c r="AU618" s="49"/>
      <c r="AV618" s="49"/>
      <c r="AW618" s="49"/>
      <c r="AX618" s="49"/>
      <c r="AY618" s="49"/>
      <c r="AZ618" s="49"/>
      <c r="BA618" s="49"/>
      <c r="BB618" s="49"/>
      <c r="BC618" s="49"/>
      <c r="BD618" s="49"/>
      <c r="BE618" s="68"/>
    </row>
    <row r="619" spans="1:57" s="51" customFormat="1" ht="14.25" customHeight="1">
      <c r="A619" s="795"/>
      <c r="B619" s="839"/>
      <c r="C619" s="872"/>
      <c r="D619" s="62">
        <v>2026</v>
      </c>
      <c r="E619" s="63">
        <f t="shared" si="224"/>
        <v>27.5</v>
      </c>
      <c r="F619" s="63">
        <v>0</v>
      </c>
      <c r="G619" s="63">
        <v>0</v>
      </c>
      <c r="H619" s="63">
        <v>0</v>
      </c>
      <c r="I619" s="63">
        <v>27.5</v>
      </c>
      <c r="J619" s="63">
        <v>0</v>
      </c>
      <c r="K619" s="86">
        <f t="shared" si="216"/>
        <v>27.5</v>
      </c>
      <c r="L619" s="99"/>
      <c r="M619" s="1032"/>
      <c r="N619" s="1035"/>
      <c r="O619" s="1030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  <c r="AR619" s="49"/>
      <c r="AS619" s="49"/>
      <c r="AT619" s="49"/>
      <c r="AU619" s="49"/>
      <c r="AV619" s="49"/>
      <c r="AW619" s="49"/>
      <c r="AX619" s="49"/>
      <c r="AY619" s="49"/>
      <c r="AZ619" s="49"/>
      <c r="BA619" s="49"/>
      <c r="BB619" s="49"/>
      <c r="BC619" s="49"/>
      <c r="BD619" s="49"/>
      <c r="BE619" s="68"/>
    </row>
    <row r="620" spans="1:57" s="51" customFormat="1" ht="15" customHeight="1">
      <c r="A620" s="795"/>
      <c r="B620" s="854"/>
      <c r="C620" s="873"/>
      <c r="D620" s="62">
        <v>2027</v>
      </c>
      <c r="E620" s="63">
        <f t="shared" si="224"/>
        <v>18</v>
      </c>
      <c r="F620" s="63">
        <v>0</v>
      </c>
      <c r="G620" s="63">
        <v>0</v>
      </c>
      <c r="H620" s="63">
        <v>0</v>
      </c>
      <c r="I620" s="63">
        <v>18</v>
      </c>
      <c r="J620" s="63">
        <v>0</v>
      </c>
      <c r="K620" s="86">
        <f t="shared" si="216"/>
        <v>18</v>
      </c>
      <c r="L620" s="99"/>
      <c r="M620" s="1033"/>
      <c r="N620" s="1036"/>
      <c r="O620" s="996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49"/>
      <c r="AZ620" s="49"/>
      <c r="BA620" s="49"/>
      <c r="BB620" s="49"/>
      <c r="BC620" s="49"/>
      <c r="BD620" s="49"/>
      <c r="BE620" s="68"/>
    </row>
    <row r="621" spans="1:57" s="51" customFormat="1">
      <c r="A621" s="794" t="s">
        <v>787</v>
      </c>
      <c r="B621" s="867" t="s">
        <v>788</v>
      </c>
      <c r="C621" s="867" t="s">
        <v>599</v>
      </c>
      <c r="D621" s="84" t="s">
        <v>16</v>
      </c>
      <c r="E621" s="85">
        <f t="shared" ref="E621:J621" si="225">E622+E623+E624+E625+E626+E627+E628+E629</f>
        <v>10.757899999999999</v>
      </c>
      <c r="F621" s="85">
        <f t="shared" si="225"/>
        <v>0</v>
      </c>
      <c r="G621" s="85">
        <f t="shared" si="225"/>
        <v>0</v>
      </c>
      <c r="H621" s="85">
        <f t="shared" si="225"/>
        <v>0</v>
      </c>
      <c r="I621" s="85">
        <f t="shared" si="225"/>
        <v>10.757899999999999</v>
      </c>
      <c r="J621" s="85">
        <f t="shared" si="225"/>
        <v>0</v>
      </c>
      <c r="K621" s="86">
        <f t="shared" si="216"/>
        <v>10.757899999999999</v>
      </c>
      <c r="L621" s="99"/>
      <c r="M621" s="1040"/>
      <c r="N621" s="1034"/>
      <c r="O621" s="858" t="s">
        <v>789</v>
      </c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  <c r="AY621" s="49"/>
      <c r="AZ621" s="49"/>
      <c r="BA621" s="49"/>
      <c r="BB621" s="49"/>
      <c r="BC621" s="49"/>
      <c r="BD621" s="49"/>
      <c r="BE621" s="68"/>
    </row>
    <row r="622" spans="1:57" s="51" customFormat="1">
      <c r="A622" s="795"/>
      <c r="B622" s="868"/>
      <c r="C622" s="872"/>
      <c r="D622" s="62">
        <v>2019</v>
      </c>
      <c r="E622" s="63">
        <f t="shared" ref="E622:J622" si="226">E636+E646+E663</f>
        <v>1.9235000000000002</v>
      </c>
      <c r="F622" s="63">
        <f t="shared" si="226"/>
        <v>0</v>
      </c>
      <c r="G622" s="63">
        <f t="shared" si="226"/>
        <v>0</v>
      </c>
      <c r="H622" s="63">
        <f t="shared" si="226"/>
        <v>0</v>
      </c>
      <c r="I622" s="63">
        <f t="shared" si="226"/>
        <v>1.9235000000000002</v>
      </c>
      <c r="J622" s="63">
        <f t="shared" si="226"/>
        <v>0</v>
      </c>
      <c r="K622" s="86">
        <f t="shared" si="216"/>
        <v>1.9235000000000002</v>
      </c>
      <c r="L622" s="99"/>
      <c r="M622" s="1041"/>
      <c r="N622" s="944"/>
      <c r="O622" s="957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  <c r="AY622" s="49"/>
      <c r="AZ622" s="49"/>
      <c r="BA622" s="49"/>
      <c r="BB622" s="49"/>
      <c r="BC622" s="49"/>
      <c r="BD622" s="49"/>
      <c r="BE622" s="68"/>
    </row>
    <row r="623" spans="1:57" s="51" customFormat="1">
      <c r="A623" s="795"/>
      <c r="B623" s="868"/>
      <c r="C623" s="872"/>
      <c r="D623" s="62">
        <v>2020</v>
      </c>
      <c r="E623" s="63">
        <f t="shared" ref="E623:J623" si="227">E631+E641</f>
        <v>0.74539999999999995</v>
      </c>
      <c r="F623" s="63">
        <f t="shared" si="227"/>
        <v>0</v>
      </c>
      <c r="G623" s="63">
        <f t="shared" si="227"/>
        <v>0</v>
      </c>
      <c r="H623" s="63">
        <f t="shared" si="227"/>
        <v>0</v>
      </c>
      <c r="I623" s="63">
        <f t="shared" si="227"/>
        <v>0.74539999999999995</v>
      </c>
      <c r="J623" s="63">
        <f t="shared" si="227"/>
        <v>0</v>
      </c>
      <c r="K623" s="86">
        <f t="shared" si="216"/>
        <v>0.74539999999999995</v>
      </c>
      <c r="L623" s="99"/>
      <c r="M623" s="1041"/>
      <c r="N623" s="945"/>
      <c r="O623" s="957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  <c r="AO623" s="49"/>
      <c r="AP623" s="49"/>
      <c r="AQ623" s="49"/>
      <c r="AR623" s="49"/>
      <c r="AS623" s="49"/>
      <c r="AT623" s="49"/>
      <c r="AU623" s="49"/>
      <c r="AV623" s="49"/>
      <c r="AW623" s="49"/>
      <c r="AX623" s="49"/>
      <c r="AY623" s="49"/>
      <c r="AZ623" s="49"/>
      <c r="BA623" s="49"/>
      <c r="BB623" s="49"/>
      <c r="BC623" s="49"/>
      <c r="BD623" s="49"/>
      <c r="BE623" s="68"/>
    </row>
    <row r="624" spans="1:57" s="51" customFormat="1">
      <c r="A624" s="1039"/>
      <c r="B624" s="868"/>
      <c r="C624" s="872"/>
      <c r="D624" s="62">
        <v>2021</v>
      </c>
      <c r="E624" s="63">
        <f t="shared" ref="E624:J624" si="228">E632+E637+E642+E647</f>
        <v>1.7719</v>
      </c>
      <c r="F624" s="63">
        <f t="shared" si="228"/>
        <v>0</v>
      </c>
      <c r="G624" s="63">
        <f t="shared" si="228"/>
        <v>0</v>
      </c>
      <c r="H624" s="63">
        <f t="shared" si="228"/>
        <v>0</v>
      </c>
      <c r="I624" s="63">
        <f t="shared" si="228"/>
        <v>1.7719</v>
      </c>
      <c r="J624" s="63">
        <f t="shared" si="228"/>
        <v>0</v>
      </c>
      <c r="K624" s="86">
        <f t="shared" si="216"/>
        <v>1.7719</v>
      </c>
      <c r="L624" s="99"/>
      <c r="M624" s="1041"/>
      <c r="N624" s="330"/>
      <c r="O624" s="957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  <c r="AR624" s="49"/>
      <c r="AS624" s="49"/>
      <c r="AT624" s="49"/>
      <c r="AU624" s="49"/>
      <c r="AV624" s="49"/>
      <c r="AW624" s="49"/>
      <c r="AX624" s="49"/>
      <c r="AY624" s="49"/>
      <c r="AZ624" s="49"/>
      <c r="BA624" s="49"/>
      <c r="BB624" s="49"/>
      <c r="BC624" s="49"/>
      <c r="BD624" s="49"/>
      <c r="BE624" s="68"/>
    </row>
    <row r="625" spans="1:57" s="51" customFormat="1">
      <c r="A625" s="1039"/>
      <c r="B625" s="868"/>
      <c r="C625" s="872"/>
      <c r="D625" s="62">
        <v>2022</v>
      </c>
      <c r="E625" s="63">
        <f t="shared" ref="E625:J625" si="229">E648+E661</f>
        <v>0.96550000000000002</v>
      </c>
      <c r="F625" s="63">
        <f t="shared" si="229"/>
        <v>0</v>
      </c>
      <c r="G625" s="63">
        <f t="shared" si="229"/>
        <v>0</v>
      </c>
      <c r="H625" s="63">
        <f t="shared" si="229"/>
        <v>0</v>
      </c>
      <c r="I625" s="63">
        <f t="shared" si="229"/>
        <v>0.96550000000000002</v>
      </c>
      <c r="J625" s="63">
        <f t="shared" si="229"/>
        <v>0</v>
      </c>
      <c r="K625" s="86">
        <f t="shared" si="216"/>
        <v>0.96550000000000002</v>
      </c>
      <c r="L625" s="99"/>
      <c r="M625" s="1041"/>
      <c r="N625" s="330"/>
      <c r="O625" s="957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  <c r="AO625" s="49"/>
      <c r="AP625" s="49"/>
      <c r="AQ625" s="49"/>
      <c r="AR625" s="49"/>
      <c r="AS625" s="49"/>
      <c r="AT625" s="49"/>
      <c r="AU625" s="49"/>
      <c r="AV625" s="49"/>
      <c r="AW625" s="49"/>
      <c r="AX625" s="49"/>
      <c r="AY625" s="49"/>
      <c r="AZ625" s="49"/>
      <c r="BA625" s="49"/>
      <c r="BB625" s="49"/>
      <c r="BC625" s="49"/>
      <c r="BD625" s="49"/>
      <c r="BE625" s="68"/>
    </row>
    <row r="626" spans="1:57" s="51" customFormat="1">
      <c r="A626" s="1039"/>
      <c r="B626" s="868"/>
      <c r="C626" s="872"/>
      <c r="D626" s="62">
        <v>2023</v>
      </c>
      <c r="E626" s="63">
        <f t="shared" ref="E626:J629" si="230">E649</f>
        <v>1.3379000000000001</v>
      </c>
      <c r="F626" s="63">
        <f t="shared" si="230"/>
        <v>0</v>
      </c>
      <c r="G626" s="63">
        <f t="shared" si="230"/>
        <v>0</v>
      </c>
      <c r="H626" s="63">
        <f t="shared" si="230"/>
        <v>0</v>
      </c>
      <c r="I626" s="63">
        <f t="shared" si="230"/>
        <v>1.3379000000000001</v>
      </c>
      <c r="J626" s="63">
        <f t="shared" si="230"/>
        <v>0</v>
      </c>
      <c r="K626" s="86">
        <f t="shared" si="216"/>
        <v>1.3379000000000001</v>
      </c>
      <c r="L626" s="99"/>
      <c r="M626" s="1041"/>
      <c r="N626" s="330"/>
      <c r="O626" s="957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  <c r="AR626" s="49"/>
      <c r="AS626" s="49"/>
      <c r="AT626" s="49"/>
      <c r="AU626" s="49"/>
      <c r="AV626" s="49"/>
      <c r="AW626" s="49"/>
      <c r="AX626" s="49"/>
      <c r="AY626" s="49"/>
      <c r="AZ626" s="49"/>
      <c r="BA626" s="49"/>
      <c r="BB626" s="49"/>
      <c r="BC626" s="49"/>
      <c r="BD626" s="49"/>
      <c r="BE626" s="68"/>
    </row>
    <row r="627" spans="1:57" s="51" customFormat="1">
      <c r="A627" s="1039"/>
      <c r="B627" s="868"/>
      <c r="C627" s="872"/>
      <c r="D627" s="62">
        <v>2024</v>
      </c>
      <c r="E627" s="63">
        <f t="shared" si="230"/>
        <v>1.3379000000000001</v>
      </c>
      <c r="F627" s="63">
        <f t="shared" si="230"/>
        <v>0</v>
      </c>
      <c r="G627" s="63">
        <f t="shared" si="230"/>
        <v>0</v>
      </c>
      <c r="H627" s="63">
        <f t="shared" si="230"/>
        <v>0</v>
      </c>
      <c r="I627" s="63">
        <f t="shared" si="230"/>
        <v>1.3379000000000001</v>
      </c>
      <c r="J627" s="63">
        <f t="shared" si="230"/>
        <v>0</v>
      </c>
      <c r="K627" s="86">
        <f t="shared" si="216"/>
        <v>1.3379000000000001</v>
      </c>
      <c r="L627" s="99"/>
      <c r="M627" s="1041"/>
      <c r="N627" s="330"/>
      <c r="O627" s="957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  <c r="AR627" s="49"/>
      <c r="AS627" s="49"/>
      <c r="AT627" s="49"/>
      <c r="AU627" s="49"/>
      <c r="AV627" s="49"/>
      <c r="AW627" s="49"/>
      <c r="AX627" s="49"/>
      <c r="AY627" s="49"/>
      <c r="AZ627" s="49"/>
      <c r="BA627" s="49"/>
      <c r="BB627" s="49"/>
      <c r="BC627" s="49"/>
      <c r="BD627" s="49"/>
      <c r="BE627" s="68"/>
    </row>
    <row r="628" spans="1:57" s="51" customFormat="1">
      <c r="A628" s="1039"/>
      <c r="B628" s="868"/>
      <c r="C628" s="872"/>
      <c r="D628" s="62">
        <v>2025</v>
      </c>
      <c r="E628" s="63">
        <f t="shared" si="230"/>
        <v>1.3379000000000001</v>
      </c>
      <c r="F628" s="63">
        <f t="shared" si="230"/>
        <v>0</v>
      </c>
      <c r="G628" s="63">
        <f t="shared" si="230"/>
        <v>0</v>
      </c>
      <c r="H628" s="63">
        <f t="shared" si="230"/>
        <v>0</v>
      </c>
      <c r="I628" s="63">
        <f t="shared" si="230"/>
        <v>1.3379000000000001</v>
      </c>
      <c r="J628" s="63">
        <f t="shared" si="230"/>
        <v>0</v>
      </c>
      <c r="K628" s="86">
        <f t="shared" si="216"/>
        <v>1.3379000000000001</v>
      </c>
      <c r="L628" s="99"/>
      <c r="M628" s="1041"/>
      <c r="N628" s="330"/>
      <c r="O628" s="957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  <c r="AO628" s="49"/>
      <c r="AP628" s="49"/>
      <c r="AQ628" s="49"/>
      <c r="AR628" s="49"/>
      <c r="AS628" s="49"/>
      <c r="AT628" s="49"/>
      <c r="AU628" s="49"/>
      <c r="AV628" s="49"/>
      <c r="AW628" s="49"/>
      <c r="AX628" s="49"/>
      <c r="AY628" s="49"/>
      <c r="AZ628" s="49"/>
      <c r="BA628" s="49"/>
      <c r="BB628" s="49"/>
      <c r="BC628" s="49"/>
      <c r="BD628" s="49"/>
      <c r="BE628" s="68"/>
    </row>
    <row r="629" spans="1:57" s="51" customFormat="1">
      <c r="A629" s="958"/>
      <c r="B629" s="869"/>
      <c r="C629" s="872"/>
      <c r="D629" s="62">
        <v>2026</v>
      </c>
      <c r="E629" s="63">
        <f t="shared" si="230"/>
        <v>1.3379000000000001</v>
      </c>
      <c r="F629" s="63">
        <f t="shared" si="230"/>
        <v>0</v>
      </c>
      <c r="G629" s="63">
        <f t="shared" si="230"/>
        <v>0</v>
      </c>
      <c r="H629" s="63">
        <f t="shared" si="230"/>
        <v>0</v>
      </c>
      <c r="I629" s="63">
        <f t="shared" si="230"/>
        <v>1.3379000000000001</v>
      </c>
      <c r="J629" s="63">
        <f t="shared" si="230"/>
        <v>0</v>
      </c>
      <c r="K629" s="86">
        <f t="shared" si="216"/>
        <v>1.3379000000000001</v>
      </c>
      <c r="L629" s="99"/>
      <c r="M629" s="1041"/>
      <c r="N629" s="330"/>
      <c r="O629" s="957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49"/>
      <c r="AU629" s="49"/>
      <c r="AV629" s="49"/>
      <c r="AW629" s="49"/>
      <c r="AX629" s="49"/>
      <c r="AY629" s="49"/>
      <c r="AZ629" s="49"/>
      <c r="BA629" s="49"/>
      <c r="BB629" s="49"/>
      <c r="BC629" s="49"/>
      <c r="BD629" s="49"/>
      <c r="BE629" s="68"/>
    </row>
    <row r="630" spans="1:57" s="51" customFormat="1">
      <c r="A630" s="794" t="s">
        <v>790</v>
      </c>
      <c r="B630" s="867" t="s">
        <v>791</v>
      </c>
      <c r="C630" s="94"/>
      <c r="D630" s="84" t="s">
        <v>16</v>
      </c>
      <c r="E630" s="85">
        <f t="shared" ref="E630:J630" si="231">E631+E632</f>
        <v>0.9708</v>
      </c>
      <c r="F630" s="85">
        <f t="shared" si="231"/>
        <v>0</v>
      </c>
      <c r="G630" s="85">
        <f t="shared" si="231"/>
        <v>0</v>
      </c>
      <c r="H630" s="85">
        <f t="shared" si="231"/>
        <v>0</v>
      </c>
      <c r="I630" s="85">
        <f t="shared" si="231"/>
        <v>0.9708</v>
      </c>
      <c r="J630" s="85">
        <f t="shared" si="231"/>
        <v>0</v>
      </c>
      <c r="K630" s="86">
        <f t="shared" si="216"/>
        <v>0.9708</v>
      </c>
      <c r="L630" s="99"/>
      <c r="M630" s="1041"/>
      <c r="N630" s="330"/>
      <c r="O630" s="957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  <c r="AR630" s="49"/>
      <c r="AS630" s="49"/>
      <c r="AT630" s="49"/>
      <c r="AU630" s="49"/>
      <c r="AV630" s="49"/>
      <c r="AW630" s="49"/>
      <c r="AX630" s="49"/>
      <c r="AY630" s="49"/>
      <c r="AZ630" s="49"/>
      <c r="BA630" s="49"/>
      <c r="BB630" s="49"/>
      <c r="BC630" s="49"/>
      <c r="BD630" s="49"/>
      <c r="BE630" s="68"/>
    </row>
    <row r="631" spans="1:57" s="51" customFormat="1">
      <c r="A631" s="795"/>
      <c r="B631" s="872"/>
      <c r="C631" s="94"/>
      <c r="D631" s="62">
        <v>2020</v>
      </c>
      <c r="E631" s="63">
        <f t="shared" ref="E631:J632" si="232">E633</f>
        <v>0.66839999999999999</v>
      </c>
      <c r="F631" s="63">
        <f t="shared" si="232"/>
        <v>0</v>
      </c>
      <c r="G631" s="63">
        <f t="shared" si="232"/>
        <v>0</v>
      </c>
      <c r="H631" s="63">
        <f t="shared" si="232"/>
        <v>0</v>
      </c>
      <c r="I631" s="63">
        <f t="shared" si="232"/>
        <v>0.66839999999999999</v>
      </c>
      <c r="J631" s="63">
        <f t="shared" si="232"/>
        <v>0</v>
      </c>
      <c r="K631" s="86">
        <f t="shared" si="216"/>
        <v>0.66839999999999999</v>
      </c>
      <c r="L631" s="99"/>
      <c r="M631" s="1041"/>
      <c r="N631" s="330"/>
      <c r="O631" s="957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  <c r="AR631" s="49"/>
      <c r="AS631" s="49"/>
      <c r="AT631" s="49"/>
      <c r="AU631" s="49"/>
      <c r="AV631" s="49"/>
      <c r="AW631" s="49"/>
      <c r="AX631" s="49"/>
      <c r="AY631" s="49"/>
      <c r="AZ631" s="49"/>
      <c r="BA631" s="49"/>
      <c r="BB631" s="49"/>
      <c r="BC631" s="49"/>
      <c r="BD631" s="49"/>
      <c r="BE631" s="68"/>
    </row>
    <row r="632" spans="1:57" s="51" customFormat="1">
      <c r="A632" s="796"/>
      <c r="B632" s="873"/>
      <c r="C632" s="94"/>
      <c r="D632" s="62">
        <v>2021</v>
      </c>
      <c r="E632" s="63">
        <f t="shared" si="232"/>
        <v>0.3024</v>
      </c>
      <c r="F632" s="63">
        <f t="shared" si="232"/>
        <v>0</v>
      </c>
      <c r="G632" s="63">
        <f t="shared" si="232"/>
        <v>0</v>
      </c>
      <c r="H632" s="63">
        <f t="shared" si="232"/>
        <v>0</v>
      </c>
      <c r="I632" s="63">
        <f t="shared" si="232"/>
        <v>0.3024</v>
      </c>
      <c r="J632" s="63">
        <f t="shared" si="232"/>
        <v>0</v>
      </c>
      <c r="K632" s="86">
        <f t="shared" si="216"/>
        <v>0.3024</v>
      </c>
      <c r="L632" s="99"/>
      <c r="M632" s="1041"/>
      <c r="N632" s="330"/>
      <c r="O632" s="957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  <c r="AO632" s="49"/>
      <c r="AP632" s="49"/>
      <c r="AQ632" s="49"/>
      <c r="AR632" s="49"/>
      <c r="AS632" s="49"/>
      <c r="AT632" s="49"/>
      <c r="AU632" s="49"/>
      <c r="AV632" s="49"/>
      <c r="AW632" s="49"/>
      <c r="AX632" s="49"/>
      <c r="AY632" s="49"/>
      <c r="AZ632" s="49"/>
      <c r="BA632" s="49"/>
      <c r="BB632" s="49"/>
      <c r="BC632" s="49"/>
      <c r="BD632" s="49"/>
      <c r="BE632" s="68"/>
    </row>
    <row r="633" spans="1:57" s="51" customFormat="1" ht="38.25">
      <c r="A633" s="59" t="s">
        <v>792</v>
      </c>
      <c r="B633" s="60" t="s">
        <v>793</v>
      </c>
      <c r="C633" s="94"/>
      <c r="D633" s="62">
        <v>2020</v>
      </c>
      <c r="E633" s="63">
        <f>F633+G633+H633+I633+J633</f>
        <v>0.66839999999999999</v>
      </c>
      <c r="F633" s="63">
        <v>0</v>
      </c>
      <c r="G633" s="63">
        <v>0</v>
      </c>
      <c r="H633" s="63">
        <v>0</v>
      </c>
      <c r="I633" s="63">
        <v>0.66839999999999999</v>
      </c>
      <c r="J633" s="63">
        <v>0</v>
      </c>
      <c r="K633" s="86">
        <f t="shared" si="216"/>
        <v>0.66839999999999999</v>
      </c>
      <c r="L633" s="99"/>
      <c r="M633" s="1041"/>
      <c r="N633" s="330"/>
      <c r="O633" s="957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  <c r="AO633" s="49"/>
      <c r="AP633" s="49"/>
      <c r="AQ633" s="49"/>
      <c r="AR633" s="49"/>
      <c r="AS633" s="49"/>
      <c r="AT633" s="49"/>
      <c r="AU633" s="49"/>
      <c r="AV633" s="49"/>
      <c r="AW633" s="49"/>
      <c r="AX633" s="49"/>
      <c r="AY633" s="49"/>
      <c r="AZ633" s="49"/>
      <c r="BA633" s="49"/>
      <c r="BB633" s="49"/>
      <c r="BC633" s="49"/>
      <c r="BD633" s="49"/>
      <c r="BE633" s="68"/>
    </row>
    <row r="634" spans="1:57" s="51" customFormat="1" ht="51">
      <c r="A634" s="59" t="s">
        <v>794</v>
      </c>
      <c r="B634" s="60" t="s">
        <v>795</v>
      </c>
      <c r="C634" s="94"/>
      <c r="D634" s="62">
        <v>2021</v>
      </c>
      <c r="E634" s="63">
        <f>F634+G634+H634+I634+J634</f>
        <v>0.3024</v>
      </c>
      <c r="F634" s="63">
        <v>0</v>
      </c>
      <c r="G634" s="63">
        <v>0</v>
      </c>
      <c r="H634" s="63">
        <v>0</v>
      </c>
      <c r="I634" s="63">
        <v>0.3024</v>
      </c>
      <c r="J634" s="63">
        <v>0</v>
      </c>
      <c r="K634" s="86">
        <f t="shared" si="216"/>
        <v>0.3024</v>
      </c>
      <c r="L634" s="99"/>
      <c r="M634" s="1041"/>
      <c r="N634" s="330"/>
      <c r="O634" s="957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  <c r="AO634" s="49"/>
      <c r="AP634" s="49"/>
      <c r="AQ634" s="49"/>
      <c r="AR634" s="49"/>
      <c r="AS634" s="49"/>
      <c r="AT634" s="49"/>
      <c r="AU634" s="49"/>
      <c r="AV634" s="49"/>
      <c r="AW634" s="49"/>
      <c r="AX634" s="49"/>
      <c r="AY634" s="49"/>
      <c r="AZ634" s="49"/>
      <c r="BA634" s="49"/>
      <c r="BB634" s="49"/>
      <c r="BC634" s="49"/>
      <c r="BD634" s="49"/>
      <c r="BE634" s="68"/>
    </row>
    <row r="635" spans="1:57" s="51" customFormat="1">
      <c r="A635" s="794" t="s">
        <v>796</v>
      </c>
      <c r="B635" s="867" t="s">
        <v>797</v>
      </c>
      <c r="C635" s="94"/>
      <c r="D635" s="84" t="s">
        <v>16</v>
      </c>
      <c r="E635" s="85">
        <f t="shared" ref="E635:J635" si="233">E636+E637</f>
        <v>0.75990000000000002</v>
      </c>
      <c r="F635" s="85">
        <f t="shared" si="233"/>
        <v>0</v>
      </c>
      <c r="G635" s="85">
        <f t="shared" si="233"/>
        <v>0</v>
      </c>
      <c r="H635" s="85">
        <f t="shared" si="233"/>
        <v>0</v>
      </c>
      <c r="I635" s="85">
        <f t="shared" si="233"/>
        <v>0.75990000000000002</v>
      </c>
      <c r="J635" s="85">
        <f t="shared" si="233"/>
        <v>0</v>
      </c>
      <c r="K635" s="86">
        <f t="shared" si="216"/>
        <v>0.75990000000000002</v>
      </c>
      <c r="L635" s="99"/>
      <c r="M635" s="1041"/>
      <c r="N635" s="330"/>
      <c r="O635" s="957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  <c r="AO635" s="49"/>
      <c r="AP635" s="49"/>
      <c r="AQ635" s="49"/>
      <c r="AR635" s="49"/>
      <c r="AS635" s="49"/>
      <c r="AT635" s="49"/>
      <c r="AU635" s="49"/>
      <c r="AV635" s="49"/>
      <c r="AW635" s="49"/>
      <c r="AX635" s="49"/>
      <c r="AY635" s="49"/>
      <c r="AZ635" s="49"/>
      <c r="BA635" s="49"/>
      <c r="BB635" s="49"/>
      <c r="BC635" s="49"/>
      <c r="BD635" s="49"/>
      <c r="BE635" s="68"/>
    </row>
    <row r="636" spans="1:57" s="51" customFormat="1">
      <c r="A636" s="795"/>
      <c r="B636" s="868"/>
      <c r="C636" s="94"/>
      <c r="D636" s="62">
        <v>2019</v>
      </c>
      <c r="E636" s="63">
        <f t="shared" ref="E636:J637" si="234">E638</f>
        <v>0.2369</v>
      </c>
      <c r="F636" s="63">
        <f t="shared" si="234"/>
        <v>0</v>
      </c>
      <c r="G636" s="63">
        <f t="shared" si="234"/>
        <v>0</v>
      </c>
      <c r="H636" s="63">
        <f t="shared" si="234"/>
        <v>0</v>
      </c>
      <c r="I636" s="63">
        <f t="shared" si="234"/>
        <v>0.2369</v>
      </c>
      <c r="J636" s="63">
        <f t="shared" si="234"/>
        <v>0</v>
      </c>
      <c r="K636" s="86">
        <f t="shared" si="216"/>
        <v>0.2369</v>
      </c>
      <c r="L636" s="99"/>
      <c r="M636" s="1041"/>
      <c r="N636" s="330"/>
      <c r="O636" s="957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  <c r="AO636" s="49"/>
      <c r="AP636" s="49"/>
      <c r="AQ636" s="49"/>
      <c r="AR636" s="49"/>
      <c r="AS636" s="49"/>
      <c r="AT636" s="49"/>
      <c r="AU636" s="49"/>
      <c r="AV636" s="49"/>
      <c r="AW636" s="49"/>
      <c r="AX636" s="49"/>
      <c r="AY636" s="49"/>
      <c r="AZ636" s="49"/>
      <c r="BA636" s="49"/>
      <c r="BB636" s="49"/>
      <c r="BC636" s="49"/>
      <c r="BD636" s="49"/>
      <c r="BE636" s="68"/>
    </row>
    <row r="637" spans="1:57" s="51" customFormat="1">
      <c r="A637" s="796"/>
      <c r="B637" s="869"/>
      <c r="C637" s="94"/>
      <c r="D637" s="62">
        <v>2021</v>
      </c>
      <c r="E637" s="63">
        <f t="shared" si="234"/>
        <v>0.52300000000000002</v>
      </c>
      <c r="F637" s="63">
        <f t="shared" si="234"/>
        <v>0</v>
      </c>
      <c r="G637" s="63">
        <f t="shared" si="234"/>
        <v>0</v>
      </c>
      <c r="H637" s="63">
        <f t="shared" si="234"/>
        <v>0</v>
      </c>
      <c r="I637" s="63">
        <f t="shared" si="234"/>
        <v>0.52300000000000002</v>
      </c>
      <c r="J637" s="63">
        <f t="shared" si="234"/>
        <v>0</v>
      </c>
      <c r="K637" s="86">
        <f t="shared" si="216"/>
        <v>0.52300000000000002</v>
      </c>
      <c r="L637" s="99"/>
      <c r="M637" s="1041"/>
      <c r="N637" s="330"/>
      <c r="O637" s="957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  <c r="AO637" s="49"/>
      <c r="AP637" s="49"/>
      <c r="AQ637" s="49"/>
      <c r="AR637" s="49"/>
      <c r="AS637" s="49"/>
      <c r="AT637" s="49"/>
      <c r="AU637" s="49"/>
      <c r="AV637" s="49"/>
      <c r="AW637" s="49"/>
      <c r="AX637" s="49"/>
      <c r="AY637" s="49"/>
      <c r="AZ637" s="49"/>
      <c r="BA637" s="49"/>
      <c r="BB637" s="49"/>
      <c r="BC637" s="49"/>
      <c r="BD637" s="49"/>
      <c r="BE637" s="68"/>
    </row>
    <row r="638" spans="1:57" s="51" customFormat="1" ht="25.5">
      <c r="A638" s="59" t="s">
        <v>798</v>
      </c>
      <c r="B638" s="60" t="s">
        <v>799</v>
      </c>
      <c r="C638" s="94"/>
      <c r="D638" s="62">
        <v>2019</v>
      </c>
      <c r="E638" s="63">
        <f>F638+G638+H638+J638+I638</f>
        <v>0.2369</v>
      </c>
      <c r="F638" s="63">
        <v>0</v>
      </c>
      <c r="G638" s="63">
        <v>0</v>
      </c>
      <c r="H638" s="63">
        <v>0</v>
      </c>
      <c r="I638" s="63">
        <v>0.2369</v>
      </c>
      <c r="J638" s="63">
        <v>0</v>
      </c>
      <c r="K638" s="86">
        <f t="shared" si="216"/>
        <v>0.2369</v>
      </c>
      <c r="L638" s="99"/>
      <c r="M638" s="1041"/>
      <c r="N638" s="330"/>
      <c r="O638" s="957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  <c r="AO638" s="49"/>
      <c r="AP638" s="49"/>
      <c r="AQ638" s="49"/>
      <c r="AR638" s="49"/>
      <c r="AS638" s="49"/>
      <c r="AT638" s="49"/>
      <c r="AU638" s="49"/>
      <c r="AV638" s="49"/>
      <c r="AW638" s="49"/>
      <c r="AX638" s="49"/>
      <c r="AY638" s="49"/>
      <c r="AZ638" s="49"/>
      <c r="BA638" s="49"/>
      <c r="BB638" s="49"/>
      <c r="BC638" s="49"/>
      <c r="BD638" s="49"/>
      <c r="BE638" s="68"/>
    </row>
    <row r="639" spans="1:57" s="51" customFormat="1">
      <c r="A639" s="59" t="s">
        <v>800</v>
      </c>
      <c r="B639" s="60" t="s">
        <v>801</v>
      </c>
      <c r="C639" s="94"/>
      <c r="D639" s="62">
        <v>2021</v>
      </c>
      <c r="E639" s="63">
        <f>F639+G639+H639+J639+I639</f>
        <v>0.52300000000000002</v>
      </c>
      <c r="F639" s="63">
        <v>0</v>
      </c>
      <c r="G639" s="63">
        <v>0</v>
      </c>
      <c r="H639" s="63">
        <v>0</v>
      </c>
      <c r="I639" s="63">
        <v>0.52300000000000002</v>
      </c>
      <c r="J639" s="63">
        <v>0</v>
      </c>
      <c r="K639" s="86">
        <f t="shared" si="216"/>
        <v>0.52300000000000002</v>
      </c>
      <c r="L639" s="99"/>
      <c r="M639" s="1041"/>
      <c r="N639" s="330"/>
      <c r="O639" s="957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  <c r="AO639" s="49"/>
      <c r="AP639" s="49"/>
      <c r="AQ639" s="49"/>
      <c r="AR639" s="49"/>
      <c r="AS639" s="49"/>
      <c r="AT639" s="49"/>
      <c r="AU639" s="49"/>
      <c r="AV639" s="49"/>
      <c r="AW639" s="49"/>
      <c r="AX639" s="49"/>
      <c r="AY639" s="49"/>
      <c r="AZ639" s="49"/>
      <c r="BA639" s="49"/>
      <c r="BB639" s="49"/>
      <c r="BC639" s="49"/>
      <c r="BD639" s="49"/>
      <c r="BE639" s="68"/>
    </row>
    <row r="640" spans="1:57" s="51" customFormat="1">
      <c r="A640" s="794" t="s">
        <v>802</v>
      </c>
      <c r="B640" s="867" t="s">
        <v>803</v>
      </c>
      <c r="C640" s="94"/>
      <c r="D640" s="84" t="s">
        <v>16</v>
      </c>
      <c r="E640" s="85">
        <f t="shared" ref="E640:J640" si="235">E641+E642</f>
        <v>0.80699999999999994</v>
      </c>
      <c r="F640" s="85">
        <f t="shared" si="235"/>
        <v>0</v>
      </c>
      <c r="G640" s="85">
        <f t="shared" si="235"/>
        <v>0</v>
      </c>
      <c r="H640" s="85">
        <f t="shared" si="235"/>
        <v>0</v>
      </c>
      <c r="I640" s="85">
        <f t="shared" si="235"/>
        <v>0.80699999999999994</v>
      </c>
      <c r="J640" s="85">
        <f t="shared" si="235"/>
        <v>0</v>
      </c>
      <c r="K640" s="86">
        <f t="shared" si="216"/>
        <v>0.80699999999999994</v>
      </c>
      <c r="L640" s="99"/>
      <c r="M640" s="1041"/>
      <c r="N640" s="330"/>
      <c r="O640" s="957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  <c r="AO640" s="49"/>
      <c r="AP640" s="49"/>
      <c r="AQ640" s="49"/>
      <c r="AR640" s="49"/>
      <c r="AS640" s="49"/>
      <c r="AT640" s="49"/>
      <c r="AU640" s="49"/>
      <c r="AV640" s="49"/>
      <c r="AW640" s="49"/>
      <c r="AX640" s="49"/>
      <c r="AY640" s="49"/>
      <c r="AZ640" s="49"/>
      <c r="BA640" s="49"/>
      <c r="BB640" s="49"/>
      <c r="BC640" s="49"/>
      <c r="BD640" s="49"/>
      <c r="BE640" s="68"/>
    </row>
    <row r="641" spans="1:57" s="51" customFormat="1">
      <c r="A641" s="795"/>
      <c r="B641" s="868"/>
      <c r="C641" s="94"/>
      <c r="D641" s="62">
        <v>2020</v>
      </c>
      <c r="E641" s="63">
        <f t="shared" ref="E641:J642" si="236">E643</f>
        <v>7.6999999999999999E-2</v>
      </c>
      <c r="F641" s="63">
        <f t="shared" si="236"/>
        <v>0</v>
      </c>
      <c r="G641" s="63">
        <f t="shared" si="236"/>
        <v>0</v>
      </c>
      <c r="H641" s="63">
        <f t="shared" si="236"/>
        <v>0</v>
      </c>
      <c r="I641" s="63">
        <f t="shared" si="236"/>
        <v>7.6999999999999999E-2</v>
      </c>
      <c r="J641" s="63">
        <f t="shared" si="236"/>
        <v>0</v>
      </c>
      <c r="K641" s="86">
        <f t="shared" si="216"/>
        <v>7.6999999999999999E-2</v>
      </c>
      <c r="L641" s="99"/>
      <c r="M641" s="1041"/>
      <c r="N641" s="330"/>
      <c r="O641" s="957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  <c r="AR641" s="49"/>
      <c r="AS641" s="49"/>
      <c r="AT641" s="49"/>
      <c r="AU641" s="49"/>
      <c r="AV641" s="49"/>
      <c r="AW641" s="49"/>
      <c r="AX641" s="49"/>
      <c r="AY641" s="49"/>
      <c r="AZ641" s="49"/>
      <c r="BA641" s="49"/>
      <c r="BB641" s="49"/>
      <c r="BC641" s="49"/>
      <c r="BD641" s="49"/>
      <c r="BE641" s="68"/>
    </row>
    <row r="642" spans="1:57" s="51" customFormat="1">
      <c r="A642" s="796"/>
      <c r="B642" s="869"/>
      <c r="C642" s="94"/>
      <c r="D642" s="62">
        <v>2021</v>
      </c>
      <c r="E642" s="63">
        <f t="shared" si="236"/>
        <v>0.73</v>
      </c>
      <c r="F642" s="63">
        <f t="shared" si="236"/>
        <v>0</v>
      </c>
      <c r="G642" s="63">
        <f t="shared" si="236"/>
        <v>0</v>
      </c>
      <c r="H642" s="63">
        <f t="shared" si="236"/>
        <v>0</v>
      </c>
      <c r="I642" s="63">
        <f t="shared" si="236"/>
        <v>0.73</v>
      </c>
      <c r="J642" s="63">
        <f t="shared" si="236"/>
        <v>0</v>
      </c>
      <c r="K642" s="86">
        <f t="shared" si="216"/>
        <v>0.73</v>
      </c>
      <c r="L642" s="99"/>
      <c r="M642" s="1041"/>
      <c r="N642" s="330"/>
      <c r="O642" s="957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49"/>
      <c r="AU642" s="49"/>
      <c r="AV642" s="49"/>
      <c r="AW642" s="49"/>
      <c r="AX642" s="49"/>
      <c r="AY642" s="49"/>
      <c r="AZ642" s="49"/>
      <c r="BA642" s="49"/>
      <c r="BB642" s="49"/>
      <c r="BC642" s="49"/>
      <c r="BD642" s="49"/>
      <c r="BE642" s="68"/>
    </row>
    <row r="643" spans="1:57" s="51" customFormat="1">
      <c r="A643" s="59" t="s">
        <v>804</v>
      </c>
      <c r="B643" s="60" t="s">
        <v>805</v>
      </c>
      <c r="C643" s="94"/>
      <c r="D643" s="62">
        <v>2020</v>
      </c>
      <c r="E643" s="63">
        <f>F643+G643+H643+I643+J643</f>
        <v>7.6999999999999999E-2</v>
      </c>
      <c r="F643" s="63">
        <v>0</v>
      </c>
      <c r="G643" s="63">
        <v>0</v>
      </c>
      <c r="H643" s="63">
        <v>0</v>
      </c>
      <c r="I643" s="63">
        <v>7.6999999999999999E-2</v>
      </c>
      <c r="J643" s="63">
        <v>0</v>
      </c>
      <c r="K643" s="86">
        <f t="shared" si="216"/>
        <v>7.6999999999999999E-2</v>
      </c>
      <c r="L643" s="99"/>
      <c r="M643" s="1041"/>
      <c r="N643" s="330"/>
      <c r="O643" s="957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  <c r="AO643" s="49"/>
      <c r="AP643" s="49"/>
      <c r="AQ643" s="49"/>
      <c r="AR643" s="49"/>
      <c r="AS643" s="49"/>
      <c r="AT643" s="49"/>
      <c r="AU643" s="49"/>
      <c r="AV643" s="49"/>
      <c r="AW643" s="49"/>
      <c r="AX643" s="49"/>
      <c r="AY643" s="49"/>
      <c r="AZ643" s="49"/>
      <c r="BA643" s="49"/>
      <c r="BB643" s="49"/>
      <c r="BC643" s="49"/>
      <c r="BD643" s="49"/>
      <c r="BE643" s="68"/>
    </row>
    <row r="644" spans="1:57" s="51" customFormat="1" ht="38.25">
      <c r="A644" s="59" t="s">
        <v>806</v>
      </c>
      <c r="B644" s="60" t="s">
        <v>807</v>
      </c>
      <c r="C644" s="94"/>
      <c r="D644" s="62">
        <v>2021</v>
      </c>
      <c r="E644" s="63">
        <f>F644+G644+H644+I644+J644</f>
        <v>0.73</v>
      </c>
      <c r="F644" s="63">
        <v>0</v>
      </c>
      <c r="G644" s="63">
        <v>0</v>
      </c>
      <c r="H644" s="63">
        <v>0</v>
      </c>
      <c r="I644" s="63">
        <v>0.73</v>
      </c>
      <c r="J644" s="63">
        <v>0</v>
      </c>
      <c r="K644" s="86">
        <f t="shared" si="216"/>
        <v>0.73</v>
      </c>
      <c r="L644" s="99"/>
      <c r="M644" s="1041"/>
      <c r="N644" s="330"/>
      <c r="O644" s="957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  <c r="AO644" s="49"/>
      <c r="AP644" s="49"/>
      <c r="AQ644" s="49"/>
      <c r="AR644" s="49"/>
      <c r="AS644" s="49"/>
      <c r="AT644" s="49"/>
      <c r="AU644" s="49"/>
      <c r="AV644" s="49"/>
      <c r="AW644" s="49"/>
      <c r="AX644" s="49"/>
      <c r="AY644" s="49"/>
      <c r="AZ644" s="49"/>
      <c r="BA644" s="49"/>
      <c r="BB644" s="49"/>
      <c r="BC644" s="49"/>
      <c r="BD644" s="49"/>
      <c r="BE644" s="68"/>
    </row>
    <row r="645" spans="1:57" s="51" customFormat="1" ht="24.75" customHeight="1">
      <c r="A645" s="794" t="s">
        <v>808</v>
      </c>
      <c r="B645" s="867" t="s">
        <v>809</v>
      </c>
      <c r="C645" s="94"/>
      <c r="D645" s="84" t="s">
        <v>16</v>
      </c>
      <c r="E645" s="85">
        <f t="shared" ref="E645:J645" si="237">E646+E647+E648+E649+E650+E651+E652</f>
        <v>7.6816000000000013</v>
      </c>
      <c r="F645" s="85">
        <f t="shared" si="237"/>
        <v>0</v>
      </c>
      <c r="G645" s="85">
        <f t="shared" si="237"/>
        <v>0</v>
      </c>
      <c r="H645" s="85">
        <f t="shared" si="237"/>
        <v>0</v>
      </c>
      <c r="I645" s="85">
        <f t="shared" si="237"/>
        <v>7.6816000000000013</v>
      </c>
      <c r="J645" s="85">
        <f t="shared" si="237"/>
        <v>0</v>
      </c>
      <c r="K645" s="86">
        <f t="shared" si="216"/>
        <v>7.6816000000000013</v>
      </c>
      <c r="L645" s="99"/>
      <c r="M645" s="1041"/>
      <c r="N645" s="330"/>
      <c r="O645" s="957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  <c r="AO645" s="49"/>
      <c r="AP645" s="49"/>
      <c r="AQ645" s="49"/>
      <c r="AR645" s="49"/>
      <c r="AS645" s="49"/>
      <c r="AT645" s="49"/>
      <c r="AU645" s="49"/>
      <c r="AV645" s="49"/>
      <c r="AW645" s="49"/>
      <c r="AX645" s="49"/>
      <c r="AY645" s="49"/>
      <c r="AZ645" s="49"/>
      <c r="BA645" s="49"/>
      <c r="BB645" s="49"/>
      <c r="BC645" s="49"/>
      <c r="BD645" s="49"/>
      <c r="BE645" s="68"/>
    </row>
    <row r="646" spans="1:57" s="51" customFormat="1">
      <c r="A646" s="795"/>
      <c r="B646" s="872"/>
      <c r="C646" s="94"/>
      <c r="D646" s="62">
        <v>2019</v>
      </c>
      <c r="E646" s="63">
        <f t="shared" ref="E646:J649" si="238">E653</f>
        <v>1.4332</v>
      </c>
      <c r="F646" s="63">
        <f t="shared" si="238"/>
        <v>0</v>
      </c>
      <c r="G646" s="63">
        <f t="shared" si="238"/>
        <v>0</v>
      </c>
      <c r="H646" s="63">
        <f t="shared" si="238"/>
        <v>0</v>
      </c>
      <c r="I646" s="63">
        <f t="shared" si="238"/>
        <v>1.4332</v>
      </c>
      <c r="J646" s="63">
        <f t="shared" si="238"/>
        <v>0</v>
      </c>
      <c r="K646" s="86">
        <f t="shared" si="216"/>
        <v>1.4332</v>
      </c>
      <c r="L646" s="99"/>
      <c r="M646" s="1041"/>
      <c r="N646" s="330"/>
      <c r="O646" s="957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  <c r="AR646" s="49"/>
      <c r="AS646" s="49"/>
      <c r="AT646" s="49"/>
      <c r="AU646" s="49"/>
      <c r="AV646" s="49"/>
      <c r="AW646" s="49"/>
      <c r="AX646" s="49"/>
      <c r="AY646" s="49"/>
      <c r="AZ646" s="49"/>
      <c r="BA646" s="49"/>
      <c r="BB646" s="49"/>
      <c r="BC646" s="49"/>
      <c r="BD646" s="49"/>
      <c r="BE646" s="68"/>
    </row>
    <row r="647" spans="1:57" s="51" customFormat="1">
      <c r="A647" s="795"/>
      <c r="B647" s="872"/>
      <c r="C647" s="94"/>
      <c r="D647" s="62">
        <v>2021</v>
      </c>
      <c r="E647" s="63">
        <f t="shared" si="238"/>
        <v>0.2165</v>
      </c>
      <c r="F647" s="63">
        <f t="shared" si="238"/>
        <v>0</v>
      </c>
      <c r="G647" s="63">
        <f t="shared" si="238"/>
        <v>0</v>
      </c>
      <c r="H647" s="63">
        <f t="shared" si="238"/>
        <v>0</v>
      </c>
      <c r="I647" s="63">
        <f t="shared" si="238"/>
        <v>0.2165</v>
      </c>
      <c r="J647" s="63">
        <f t="shared" si="238"/>
        <v>0</v>
      </c>
      <c r="K647" s="86">
        <f t="shared" si="216"/>
        <v>0.2165</v>
      </c>
      <c r="L647" s="99"/>
      <c r="M647" s="1041"/>
      <c r="N647" s="330"/>
      <c r="O647" s="957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  <c r="AR647" s="49"/>
      <c r="AS647" s="49"/>
      <c r="AT647" s="49"/>
      <c r="AU647" s="49"/>
      <c r="AV647" s="49"/>
      <c r="AW647" s="49"/>
      <c r="AX647" s="49"/>
      <c r="AY647" s="49"/>
      <c r="AZ647" s="49"/>
      <c r="BA647" s="49"/>
      <c r="BB647" s="49"/>
      <c r="BC647" s="49"/>
      <c r="BD647" s="49"/>
      <c r="BE647" s="68"/>
    </row>
    <row r="648" spans="1:57" s="51" customFormat="1">
      <c r="A648" s="795"/>
      <c r="B648" s="872"/>
      <c r="C648" s="94"/>
      <c r="D648" s="62">
        <v>2022</v>
      </c>
      <c r="E648" s="63">
        <f t="shared" si="238"/>
        <v>0.68030000000000002</v>
      </c>
      <c r="F648" s="63">
        <f t="shared" si="238"/>
        <v>0</v>
      </c>
      <c r="G648" s="63">
        <f t="shared" si="238"/>
        <v>0</v>
      </c>
      <c r="H648" s="63">
        <f t="shared" si="238"/>
        <v>0</v>
      </c>
      <c r="I648" s="63">
        <f t="shared" si="238"/>
        <v>0.68030000000000002</v>
      </c>
      <c r="J648" s="63">
        <f t="shared" si="238"/>
        <v>0</v>
      </c>
      <c r="K648" s="86">
        <f t="shared" si="216"/>
        <v>0.68030000000000002</v>
      </c>
      <c r="L648" s="99"/>
      <c r="M648" s="1041"/>
      <c r="N648" s="330"/>
      <c r="O648" s="957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  <c r="AO648" s="49"/>
      <c r="AP648" s="49"/>
      <c r="AQ648" s="49"/>
      <c r="AR648" s="49"/>
      <c r="AS648" s="49"/>
      <c r="AT648" s="49"/>
      <c r="AU648" s="49"/>
      <c r="AV648" s="49"/>
      <c r="AW648" s="49"/>
      <c r="AX648" s="49"/>
      <c r="AY648" s="49"/>
      <c r="AZ648" s="49"/>
      <c r="BA648" s="49"/>
      <c r="BB648" s="49"/>
      <c r="BC648" s="49"/>
      <c r="BD648" s="49"/>
      <c r="BE648" s="68"/>
    </row>
    <row r="649" spans="1:57" s="51" customFormat="1">
      <c r="A649" s="795"/>
      <c r="B649" s="872"/>
      <c r="C649" s="94"/>
      <c r="D649" s="62">
        <v>2023</v>
      </c>
      <c r="E649" s="63">
        <f t="shared" si="238"/>
        <v>1.3379000000000001</v>
      </c>
      <c r="F649" s="63">
        <f t="shared" si="238"/>
        <v>0</v>
      </c>
      <c r="G649" s="63">
        <f t="shared" si="238"/>
        <v>0</v>
      </c>
      <c r="H649" s="63">
        <f t="shared" si="238"/>
        <v>0</v>
      </c>
      <c r="I649" s="63">
        <f t="shared" si="238"/>
        <v>1.3379000000000001</v>
      </c>
      <c r="J649" s="63">
        <f t="shared" si="238"/>
        <v>0</v>
      </c>
      <c r="K649" s="86">
        <f t="shared" si="216"/>
        <v>1.3379000000000001</v>
      </c>
      <c r="L649" s="99"/>
      <c r="M649" s="1041"/>
      <c r="N649" s="330"/>
      <c r="O649" s="957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  <c r="AR649" s="49"/>
      <c r="AS649" s="49"/>
      <c r="AT649" s="49"/>
      <c r="AU649" s="49"/>
      <c r="AV649" s="49"/>
      <c r="AW649" s="49"/>
      <c r="AX649" s="49"/>
      <c r="AY649" s="49"/>
      <c r="AZ649" s="49"/>
      <c r="BA649" s="49"/>
      <c r="BB649" s="49"/>
      <c r="BC649" s="49"/>
      <c r="BD649" s="49"/>
      <c r="BE649" s="68"/>
    </row>
    <row r="650" spans="1:57" s="51" customFormat="1">
      <c r="A650" s="795"/>
      <c r="B650" s="872"/>
      <c r="C650" s="94"/>
      <c r="D650" s="62">
        <v>2024</v>
      </c>
      <c r="E650" s="63">
        <f t="shared" ref="E650:I652" si="239">E657</f>
        <v>1.3379000000000001</v>
      </c>
      <c r="F650" s="63">
        <f t="shared" si="239"/>
        <v>0</v>
      </c>
      <c r="G650" s="63">
        <f t="shared" si="239"/>
        <v>0</v>
      </c>
      <c r="H650" s="63">
        <f t="shared" si="239"/>
        <v>0</v>
      </c>
      <c r="I650" s="63">
        <f t="shared" si="239"/>
        <v>1.3379000000000001</v>
      </c>
      <c r="J650" s="63">
        <f>J660</f>
        <v>0</v>
      </c>
      <c r="K650" s="86">
        <f t="shared" si="216"/>
        <v>1.3379000000000001</v>
      </c>
      <c r="L650" s="99"/>
      <c r="M650" s="1041"/>
      <c r="N650" s="330"/>
      <c r="O650" s="957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  <c r="AR650" s="49"/>
      <c r="AS650" s="49"/>
      <c r="AT650" s="49"/>
      <c r="AU650" s="49"/>
      <c r="AV650" s="49"/>
      <c r="AW650" s="49"/>
      <c r="AX650" s="49"/>
      <c r="AY650" s="49"/>
      <c r="AZ650" s="49"/>
      <c r="BA650" s="49"/>
      <c r="BB650" s="49"/>
      <c r="BC650" s="49"/>
      <c r="BD650" s="49"/>
      <c r="BE650" s="68"/>
    </row>
    <row r="651" spans="1:57" s="51" customFormat="1">
      <c r="A651" s="795"/>
      <c r="B651" s="872"/>
      <c r="C651" s="94"/>
      <c r="D651" s="62">
        <v>2025</v>
      </c>
      <c r="E651" s="63">
        <f t="shared" si="239"/>
        <v>1.3379000000000001</v>
      </c>
      <c r="F651" s="63">
        <f t="shared" si="239"/>
        <v>0</v>
      </c>
      <c r="G651" s="63">
        <f t="shared" si="239"/>
        <v>0</v>
      </c>
      <c r="H651" s="63">
        <f t="shared" si="239"/>
        <v>0</v>
      </c>
      <c r="I651" s="63">
        <f t="shared" si="239"/>
        <v>1.3379000000000001</v>
      </c>
      <c r="J651" s="63">
        <f>J661</f>
        <v>0</v>
      </c>
      <c r="K651" s="86">
        <f t="shared" ref="K651:K711" si="240">F651+G651+H651+I651+J651</f>
        <v>1.3379000000000001</v>
      </c>
      <c r="L651" s="99"/>
      <c r="M651" s="1041"/>
      <c r="N651" s="330"/>
      <c r="O651" s="957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  <c r="AO651" s="49"/>
      <c r="AP651" s="49"/>
      <c r="AQ651" s="49"/>
      <c r="AR651" s="49"/>
      <c r="AS651" s="49"/>
      <c r="AT651" s="49"/>
      <c r="AU651" s="49"/>
      <c r="AV651" s="49"/>
      <c r="AW651" s="49"/>
      <c r="AX651" s="49"/>
      <c r="AY651" s="49"/>
      <c r="AZ651" s="49"/>
      <c r="BA651" s="49"/>
      <c r="BB651" s="49"/>
      <c r="BC651" s="49"/>
      <c r="BD651" s="49"/>
      <c r="BE651" s="68"/>
    </row>
    <row r="652" spans="1:57" s="51" customFormat="1" ht="24.75" customHeight="1">
      <c r="A652" s="796"/>
      <c r="B652" s="873"/>
      <c r="C652" s="94"/>
      <c r="D652" s="62">
        <v>2026</v>
      </c>
      <c r="E652" s="63">
        <f t="shared" si="239"/>
        <v>1.3379000000000001</v>
      </c>
      <c r="F652" s="63">
        <f t="shared" si="239"/>
        <v>0</v>
      </c>
      <c r="G652" s="63">
        <f t="shared" si="239"/>
        <v>0</v>
      </c>
      <c r="H652" s="63">
        <f t="shared" si="239"/>
        <v>0</v>
      </c>
      <c r="I652" s="63">
        <f t="shared" si="239"/>
        <v>1.3379000000000001</v>
      </c>
      <c r="J652" s="63">
        <f>J659</f>
        <v>0</v>
      </c>
      <c r="K652" s="86">
        <f t="shared" si="240"/>
        <v>1.3379000000000001</v>
      </c>
      <c r="L652" s="99"/>
      <c r="M652" s="1041"/>
      <c r="N652" s="330"/>
      <c r="O652" s="957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  <c r="AR652" s="49"/>
      <c r="AS652" s="49"/>
      <c r="AT652" s="49"/>
      <c r="AU652" s="49"/>
      <c r="AV652" s="49"/>
      <c r="AW652" s="49"/>
      <c r="AX652" s="49"/>
      <c r="AY652" s="49"/>
      <c r="AZ652" s="49"/>
      <c r="BA652" s="49"/>
      <c r="BB652" s="49"/>
      <c r="BC652" s="49"/>
      <c r="BD652" s="49"/>
      <c r="BE652" s="68"/>
    </row>
    <row r="653" spans="1:57" s="51" customFormat="1">
      <c r="A653" s="155" t="s">
        <v>810</v>
      </c>
      <c r="B653" s="78" t="s">
        <v>811</v>
      </c>
      <c r="C653" s="94"/>
      <c r="D653" s="62">
        <v>2019</v>
      </c>
      <c r="E653" s="63">
        <f t="shared" ref="E653:E659" si="241">F653+G653+H653+I653+J653</f>
        <v>1.4332</v>
      </c>
      <c r="F653" s="63">
        <v>0</v>
      </c>
      <c r="G653" s="63">
        <v>0</v>
      </c>
      <c r="H653" s="63">
        <v>0</v>
      </c>
      <c r="I653" s="63">
        <v>1.4332</v>
      </c>
      <c r="J653" s="63">
        <v>0</v>
      </c>
      <c r="K653" s="86">
        <f t="shared" si="240"/>
        <v>1.4332</v>
      </c>
      <c r="L653" s="99"/>
      <c r="M653" s="1041"/>
      <c r="N653" s="330"/>
      <c r="O653" s="957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  <c r="AO653" s="49"/>
      <c r="AP653" s="49"/>
      <c r="AQ653" s="49"/>
      <c r="AR653" s="49"/>
      <c r="AS653" s="49"/>
      <c r="AT653" s="49"/>
      <c r="AU653" s="49"/>
      <c r="AV653" s="49"/>
      <c r="AW653" s="49"/>
      <c r="AX653" s="49"/>
      <c r="AY653" s="49"/>
      <c r="AZ653" s="49"/>
      <c r="BA653" s="49"/>
      <c r="BB653" s="49"/>
      <c r="BC653" s="49"/>
      <c r="BD653" s="49"/>
      <c r="BE653" s="68"/>
    </row>
    <row r="654" spans="1:57" s="51" customFormat="1">
      <c r="A654" s="155" t="s">
        <v>812</v>
      </c>
      <c r="B654" s="78" t="s">
        <v>813</v>
      </c>
      <c r="C654" s="94"/>
      <c r="D654" s="62">
        <v>2021</v>
      </c>
      <c r="E654" s="63">
        <f t="shared" si="241"/>
        <v>0.2165</v>
      </c>
      <c r="F654" s="63">
        <v>0</v>
      </c>
      <c r="G654" s="63">
        <v>0</v>
      </c>
      <c r="H654" s="63">
        <v>0</v>
      </c>
      <c r="I654" s="63">
        <v>0.2165</v>
      </c>
      <c r="J654" s="63">
        <v>0</v>
      </c>
      <c r="K654" s="86">
        <f t="shared" si="240"/>
        <v>0.2165</v>
      </c>
      <c r="L654" s="99"/>
      <c r="M654" s="1041"/>
      <c r="N654" s="330"/>
      <c r="O654" s="957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  <c r="AR654" s="49"/>
      <c r="AS654" s="49"/>
      <c r="AT654" s="49"/>
      <c r="AU654" s="49"/>
      <c r="AV654" s="49"/>
      <c r="AW654" s="49"/>
      <c r="AX654" s="49"/>
      <c r="AY654" s="49"/>
      <c r="AZ654" s="49"/>
      <c r="BA654" s="49"/>
      <c r="BB654" s="49"/>
      <c r="BC654" s="49"/>
      <c r="BD654" s="49"/>
      <c r="BE654" s="68"/>
    </row>
    <row r="655" spans="1:57" s="51" customFormat="1" ht="38.25">
      <c r="A655" s="59" t="s">
        <v>814</v>
      </c>
      <c r="B655" s="60" t="s">
        <v>815</v>
      </c>
      <c r="C655" s="94"/>
      <c r="D655" s="62">
        <v>2022</v>
      </c>
      <c r="E655" s="63">
        <f t="shared" si="241"/>
        <v>0.68030000000000002</v>
      </c>
      <c r="F655" s="63">
        <v>0</v>
      </c>
      <c r="G655" s="63">
        <v>0</v>
      </c>
      <c r="H655" s="63">
        <v>0</v>
      </c>
      <c r="I655" s="63">
        <v>0.68030000000000002</v>
      </c>
      <c r="J655" s="63">
        <v>0</v>
      </c>
      <c r="K655" s="86">
        <f t="shared" si="240"/>
        <v>0.68030000000000002</v>
      </c>
      <c r="L655" s="99"/>
      <c r="M655" s="1041"/>
      <c r="N655" s="330"/>
      <c r="O655" s="957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49"/>
      <c r="AU655" s="49"/>
      <c r="AV655" s="49"/>
      <c r="AW655" s="49"/>
      <c r="AX655" s="49"/>
      <c r="AY655" s="49"/>
      <c r="AZ655" s="49"/>
      <c r="BA655" s="49"/>
      <c r="BB655" s="49"/>
      <c r="BC655" s="49"/>
      <c r="BD655" s="49"/>
      <c r="BE655" s="68"/>
    </row>
    <row r="656" spans="1:57" s="51" customFormat="1">
      <c r="A656" s="794" t="s">
        <v>816</v>
      </c>
      <c r="B656" s="867" t="s">
        <v>817</v>
      </c>
      <c r="C656" s="94"/>
      <c r="D656" s="62">
        <v>2023</v>
      </c>
      <c r="E656" s="63">
        <f t="shared" si="241"/>
        <v>1.3379000000000001</v>
      </c>
      <c r="F656" s="63">
        <v>0</v>
      </c>
      <c r="G656" s="63">
        <v>0</v>
      </c>
      <c r="H656" s="63">
        <v>0</v>
      </c>
      <c r="I656" s="63">
        <v>1.3379000000000001</v>
      </c>
      <c r="J656" s="63">
        <v>0</v>
      </c>
      <c r="K656" s="86">
        <f t="shared" si="240"/>
        <v>1.3379000000000001</v>
      </c>
      <c r="L656" s="99"/>
      <c r="M656" s="1041"/>
      <c r="N656" s="330"/>
      <c r="O656" s="957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  <c r="AR656" s="49"/>
      <c r="AS656" s="49"/>
      <c r="AT656" s="49"/>
      <c r="AU656" s="49"/>
      <c r="AV656" s="49"/>
      <c r="AW656" s="49"/>
      <c r="AX656" s="49"/>
      <c r="AY656" s="49"/>
      <c r="AZ656" s="49"/>
      <c r="BA656" s="49"/>
      <c r="BB656" s="49"/>
      <c r="BC656" s="49"/>
      <c r="BD656" s="49"/>
      <c r="BE656" s="68"/>
    </row>
    <row r="657" spans="1:57" s="51" customFormat="1">
      <c r="A657" s="795"/>
      <c r="B657" s="872"/>
      <c r="C657" s="94"/>
      <c r="D657" s="62">
        <v>2024</v>
      </c>
      <c r="E657" s="63">
        <f t="shared" si="241"/>
        <v>1.3379000000000001</v>
      </c>
      <c r="F657" s="63">
        <v>0</v>
      </c>
      <c r="G657" s="63">
        <v>0</v>
      </c>
      <c r="H657" s="63">
        <v>0</v>
      </c>
      <c r="I657" s="63">
        <v>1.3379000000000001</v>
      </c>
      <c r="J657" s="63">
        <v>0</v>
      </c>
      <c r="K657" s="86">
        <f t="shared" si="240"/>
        <v>1.3379000000000001</v>
      </c>
      <c r="L657" s="99"/>
      <c r="M657" s="1041"/>
      <c r="N657" s="330"/>
      <c r="O657" s="957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  <c r="AR657" s="49"/>
      <c r="AS657" s="49"/>
      <c r="AT657" s="49"/>
      <c r="AU657" s="49"/>
      <c r="AV657" s="49"/>
      <c r="AW657" s="49"/>
      <c r="AX657" s="49"/>
      <c r="AY657" s="49"/>
      <c r="AZ657" s="49"/>
      <c r="BA657" s="49"/>
      <c r="BB657" s="49"/>
      <c r="BC657" s="49"/>
      <c r="BD657" s="49"/>
      <c r="BE657" s="68"/>
    </row>
    <row r="658" spans="1:57" s="51" customFormat="1">
      <c r="A658" s="795"/>
      <c r="B658" s="872"/>
      <c r="C658" s="94"/>
      <c r="D658" s="62">
        <v>2025</v>
      </c>
      <c r="E658" s="63">
        <f t="shared" si="241"/>
        <v>1.3379000000000001</v>
      </c>
      <c r="F658" s="63">
        <v>0</v>
      </c>
      <c r="G658" s="63">
        <v>0</v>
      </c>
      <c r="H658" s="63">
        <v>0</v>
      </c>
      <c r="I658" s="63">
        <v>1.3379000000000001</v>
      </c>
      <c r="J658" s="63">
        <v>0</v>
      </c>
      <c r="K658" s="86">
        <f t="shared" si="240"/>
        <v>1.3379000000000001</v>
      </c>
      <c r="L658" s="99"/>
      <c r="M658" s="1041"/>
      <c r="N658" s="330"/>
      <c r="O658" s="957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  <c r="AR658" s="49"/>
      <c r="AS658" s="49"/>
      <c r="AT658" s="49"/>
      <c r="AU658" s="49"/>
      <c r="AV658" s="49"/>
      <c r="AW658" s="49"/>
      <c r="AX658" s="49"/>
      <c r="AY658" s="49"/>
      <c r="AZ658" s="49"/>
      <c r="BA658" s="49"/>
      <c r="BB658" s="49"/>
      <c r="BC658" s="49"/>
      <c r="BD658" s="49"/>
      <c r="BE658" s="68"/>
    </row>
    <row r="659" spans="1:57" s="51" customFormat="1">
      <c r="A659" s="795"/>
      <c r="B659" s="872"/>
      <c r="C659" s="94"/>
      <c r="D659" s="62">
        <v>2026</v>
      </c>
      <c r="E659" s="63">
        <f t="shared" si="241"/>
        <v>1.3379000000000001</v>
      </c>
      <c r="F659" s="63">
        <v>0</v>
      </c>
      <c r="G659" s="63">
        <v>0</v>
      </c>
      <c r="H659" s="63">
        <v>0</v>
      </c>
      <c r="I659" s="63">
        <v>1.3379000000000001</v>
      </c>
      <c r="J659" s="63">
        <v>0</v>
      </c>
      <c r="K659" s="86">
        <f t="shared" si="240"/>
        <v>1.3379000000000001</v>
      </c>
      <c r="L659" s="99"/>
      <c r="M659" s="1041"/>
      <c r="N659" s="330"/>
      <c r="O659" s="957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  <c r="AR659" s="49"/>
      <c r="AS659" s="49"/>
      <c r="AT659" s="49"/>
      <c r="AU659" s="49"/>
      <c r="AV659" s="49"/>
      <c r="AW659" s="49"/>
      <c r="AX659" s="49"/>
      <c r="AY659" s="49"/>
      <c r="AZ659" s="49"/>
      <c r="BA659" s="49"/>
      <c r="BB659" s="49"/>
      <c r="BC659" s="49"/>
      <c r="BD659" s="49"/>
      <c r="BE659" s="68"/>
    </row>
    <row r="660" spans="1:57" s="51" customFormat="1">
      <c r="A660" s="59" t="s">
        <v>818</v>
      </c>
      <c r="B660" s="60" t="s">
        <v>819</v>
      </c>
      <c r="C660" s="94"/>
      <c r="D660" s="84" t="s">
        <v>16</v>
      </c>
      <c r="E660" s="85">
        <f t="shared" ref="E660:J660" si="242">E661</f>
        <v>0.28520000000000001</v>
      </c>
      <c r="F660" s="85">
        <f t="shared" si="242"/>
        <v>0</v>
      </c>
      <c r="G660" s="85">
        <f t="shared" si="242"/>
        <v>0</v>
      </c>
      <c r="H660" s="85">
        <f t="shared" si="242"/>
        <v>0</v>
      </c>
      <c r="I660" s="85">
        <f t="shared" si="242"/>
        <v>0.28520000000000001</v>
      </c>
      <c r="J660" s="85">
        <f t="shared" si="242"/>
        <v>0</v>
      </c>
      <c r="K660" s="86">
        <f t="shared" si="240"/>
        <v>0.28520000000000001</v>
      </c>
      <c r="L660" s="99"/>
      <c r="M660" s="1041"/>
      <c r="N660" s="330"/>
      <c r="O660" s="957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  <c r="AR660" s="49"/>
      <c r="AS660" s="49"/>
      <c r="AT660" s="49"/>
      <c r="AU660" s="49"/>
      <c r="AV660" s="49"/>
      <c r="AW660" s="49"/>
      <c r="AX660" s="49"/>
      <c r="AY660" s="49"/>
      <c r="AZ660" s="49"/>
      <c r="BA660" s="49"/>
      <c r="BB660" s="49"/>
      <c r="BC660" s="49"/>
      <c r="BD660" s="49"/>
      <c r="BE660" s="68"/>
    </row>
    <row r="661" spans="1:57" s="51" customFormat="1" ht="17.25" customHeight="1">
      <c r="A661" s="59" t="s">
        <v>820</v>
      </c>
      <c r="B661" s="60" t="s">
        <v>821</v>
      </c>
      <c r="C661" s="94"/>
      <c r="D661" s="62">
        <v>2022</v>
      </c>
      <c r="E661" s="63">
        <f>F661+G661+H661+I661+J661</f>
        <v>0.28520000000000001</v>
      </c>
      <c r="F661" s="63">
        <v>0</v>
      </c>
      <c r="G661" s="63">
        <v>0</v>
      </c>
      <c r="H661" s="63">
        <v>0</v>
      </c>
      <c r="I661" s="63">
        <v>0.28520000000000001</v>
      </c>
      <c r="J661" s="63">
        <v>0</v>
      </c>
      <c r="K661" s="86">
        <f t="shared" si="240"/>
        <v>0.28520000000000001</v>
      </c>
      <c r="L661" s="99"/>
      <c r="M661" s="1041"/>
      <c r="N661" s="330"/>
      <c r="O661" s="957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  <c r="AT661" s="49"/>
      <c r="AU661" s="49"/>
      <c r="AV661" s="49"/>
      <c r="AW661" s="49"/>
      <c r="AX661" s="49"/>
      <c r="AY661" s="49"/>
      <c r="AZ661" s="49"/>
      <c r="BA661" s="49"/>
      <c r="BB661" s="49"/>
      <c r="BC661" s="49"/>
      <c r="BD661" s="49"/>
      <c r="BE661" s="68"/>
    </row>
    <row r="662" spans="1:57" s="51" customFormat="1" ht="18.75" customHeight="1">
      <c r="A662" s="59" t="s">
        <v>822</v>
      </c>
      <c r="B662" s="60" t="s">
        <v>823</v>
      </c>
      <c r="C662" s="94"/>
      <c r="D662" s="84" t="s">
        <v>16</v>
      </c>
      <c r="E662" s="85">
        <f t="shared" ref="E662:J662" si="243">E663</f>
        <v>0.25340000000000001</v>
      </c>
      <c r="F662" s="85">
        <f t="shared" si="243"/>
        <v>0</v>
      </c>
      <c r="G662" s="85">
        <f t="shared" si="243"/>
        <v>0</v>
      </c>
      <c r="H662" s="85">
        <f t="shared" si="243"/>
        <v>0</v>
      </c>
      <c r="I662" s="85">
        <f t="shared" si="243"/>
        <v>0.25340000000000001</v>
      </c>
      <c r="J662" s="85">
        <f t="shared" si="243"/>
        <v>0</v>
      </c>
      <c r="K662" s="86">
        <f t="shared" si="240"/>
        <v>0.25340000000000001</v>
      </c>
      <c r="L662" s="99"/>
      <c r="M662" s="1041"/>
      <c r="N662" s="330"/>
      <c r="O662" s="957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  <c r="AT662" s="49"/>
      <c r="AU662" s="49"/>
      <c r="AV662" s="49"/>
      <c r="AW662" s="49"/>
      <c r="AX662" s="49"/>
      <c r="AY662" s="49"/>
      <c r="AZ662" s="49"/>
      <c r="BA662" s="49"/>
      <c r="BB662" s="49"/>
      <c r="BC662" s="49"/>
      <c r="BD662" s="49"/>
      <c r="BE662" s="68"/>
    </row>
    <row r="663" spans="1:57" s="51" customFormat="1" ht="22.5" customHeight="1">
      <c r="A663" s="59" t="s">
        <v>824</v>
      </c>
      <c r="B663" s="60" t="s">
        <v>821</v>
      </c>
      <c r="C663" s="96"/>
      <c r="D663" s="62">
        <v>2019</v>
      </c>
      <c r="E663" s="63">
        <f>F663+G663+H663+I663+J663</f>
        <v>0.25340000000000001</v>
      </c>
      <c r="F663" s="63">
        <v>0</v>
      </c>
      <c r="G663" s="63">
        <v>0</v>
      </c>
      <c r="H663" s="63">
        <v>0</v>
      </c>
      <c r="I663" s="63">
        <v>0.25340000000000001</v>
      </c>
      <c r="J663" s="63">
        <v>0</v>
      </c>
      <c r="K663" s="86">
        <f t="shared" si="240"/>
        <v>0.25340000000000001</v>
      </c>
      <c r="L663" s="99"/>
      <c r="M663" s="1042"/>
      <c r="N663" s="330"/>
      <c r="O663" s="85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49"/>
      <c r="AT663" s="49"/>
      <c r="AU663" s="49"/>
      <c r="AV663" s="49"/>
      <c r="AW663" s="49"/>
      <c r="AX663" s="49"/>
      <c r="AY663" s="49"/>
      <c r="AZ663" s="49"/>
      <c r="BA663" s="49"/>
      <c r="BB663" s="49"/>
      <c r="BC663" s="49"/>
      <c r="BD663" s="49"/>
      <c r="BE663" s="68"/>
    </row>
    <row r="664" spans="1:57" s="51" customFormat="1">
      <c r="A664" s="794" t="s">
        <v>825</v>
      </c>
      <c r="B664" s="867" t="s">
        <v>826</v>
      </c>
      <c r="C664" s="867" t="s">
        <v>532</v>
      </c>
      <c r="D664" s="84" t="s">
        <v>16</v>
      </c>
      <c r="E664" s="85">
        <f t="shared" ref="E664:J664" si="244">E665</f>
        <v>1.5</v>
      </c>
      <c r="F664" s="85">
        <f t="shared" si="244"/>
        <v>0</v>
      </c>
      <c r="G664" s="85">
        <f t="shared" si="244"/>
        <v>0</v>
      </c>
      <c r="H664" s="85">
        <f t="shared" si="244"/>
        <v>1.425</v>
      </c>
      <c r="I664" s="85">
        <f t="shared" si="244"/>
        <v>0</v>
      </c>
      <c r="J664" s="85">
        <f t="shared" si="244"/>
        <v>7.4999999999999997E-2</v>
      </c>
      <c r="K664" s="86">
        <f t="shared" si="240"/>
        <v>1.5</v>
      </c>
      <c r="L664" s="99"/>
      <c r="M664" s="88"/>
      <c r="N664" s="330"/>
      <c r="O664" s="867" t="s">
        <v>737</v>
      </c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  <c r="AO664" s="49"/>
      <c r="AP664" s="49"/>
      <c r="AQ664" s="49"/>
      <c r="AR664" s="49"/>
      <c r="AS664" s="49"/>
      <c r="AT664" s="49"/>
      <c r="AU664" s="49"/>
      <c r="AV664" s="49"/>
      <c r="AW664" s="49"/>
      <c r="AX664" s="49"/>
      <c r="AY664" s="49"/>
      <c r="AZ664" s="49"/>
      <c r="BA664" s="49"/>
      <c r="BB664" s="49"/>
      <c r="BC664" s="49"/>
      <c r="BD664" s="49"/>
      <c r="BE664" s="68"/>
    </row>
    <row r="665" spans="1:57" s="51" customFormat="1" ht="46.5" customHeight="1">
      <c r="A665" s="795"/>
      <c r="B665" s="872"/>
      <c r="C665" s="869"/>
      <c r="D665" s="62">
        <v>2023</v>
      </c>
      <c r="E665" s="63">
        <f>F665+G665+H665+I665+J665</f>
        <v>1.5</v>
      </c>
      <c r="F665" s="63">
        <v>0</v>
      </c>
      <c r="G665" s="63">
        <v>0</v>
      </c>
      <c r="H665" s="63">
        <v>1.425</v>
      </c>
      <c r="I665" s="63">
        <v>0</v>
      </c>
      <c r="J665" s="63">
        <v>7.4999999999999997E-2</v>
      </c>
      <c r="K665" s="86">
        <f t="shared" si="240"/>
        <v>1.5</v>
      </c>
      <c r="L665" s="99"/>
      <c r="M665" s="88"/>
      <c r="N665" s="330"/>
      <c r="O665" s="873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  <c r="AO665" s="49"/>
      <c r="AP665" s="49"/>
      <c r="AQ665" s="49"/>
      <c r="AR665" s="49"/>
      <c r="AS665" s="49"/>
      <c r="AT665" s="49"/>
      <c r="AU665" s="49"/>
      <c r="AV665" s="49"/>
      <c r="AW665" s="49"/>
      <c r="AX665" s="49"/>
      <c r="AY665" s="49"/>
      <c r="AZ665" s="49"/>
      <c r="BA665" s="49"/>
      <c r="BB665" s="49"/>
      <c r="BC665" s="49"/>
      <c r="BD665" s="49"/>
      <c r="BE665" s="68"/>
    </row>
    <row r="666" spans="1:57" s="51" customFormat="1" ht="12.75" customHeight="1">
      <c r="A666" s="794" t="s">
        <v>827</v>
      </c>
      <c r="B666" s="858" t="s">
        <v>828</v>
      </c>
      <c r="C666" s="858" t="s">
        <v>829</v>
      </c>
      <c r="D666" s="84" t="s">
        <v>16</v>
      </c>
      <c r="E666" s="85">
        <f t="shared" ref="E666:J666" si="245">E667+E668+E669+E670+E671+E672</f>
        <v>546.70360000000005</v>
      </c>
      <c r="F666" s="85">
        <f t="shared" si="245"/>
        <v>0</v>
      </c>
      <c r="G666" s="85">
        <f t="shared" si="245"/>
        <v>0</v>
      </c>
      <c r="H666" s="85">
        <f t="shared" si="245"/>
        <v>531.51620000000003</v>
      </c>
      <c r="I666" s="85">
        <f t="shared" si="245"/>
        <v>0</v>
      </c>
      <c r="J666" s="85">
        <f t="shared" si="245"/>
        <v>15.1874</v>
      </c>
      <c r="K666" s="86">
        <f t="shared" si="240"/>
        <v>546.70360000000005</v>
      </c>
      <c r="L666" s="99"/>
      <c r="M666" s="88"/>
      <c r="N666" s="89"/>
      <c r="O666" s="842" t="s">
        <v>830</v>
      </c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  <c r="AR666" s="49"/>
      <c r="AS666" s="49"/>
      <c r="AT666" s="49"/>
      <c r="AU666" s="49"/>
      <c r="AV666" s="49"/>
      <c r="AW666" s="49"/>
      <c r="AX666" s="49"/>
      <c r="AY666" s="49"/>
      <c r="AZ666" s="49"/>
      <c r="BA666" s="49"/>
      <c r="BB666" s="49"/>
      <c r="BC666" s="49"/>
      <c r="BD666" s="49"/>
      <c r="BE666" s="68"/>
    </row>
    <row r="667" spans="1:57" s="51" customFormat="1">
      <c r="A667" s="795"/>
      <c r="B667" s="871"/>
      <c r="C667" s="871"/>
      <c r="D667" s="62">
        <v>2019</v>
      </c>
      <c r="E667" s="63">
        <f t="shared" ref="E667:E672" si="246">F667+G667+H667+I667+J667</f>
        <v>499.49900000000002</v>
      </c>
      <c r="F667" s="63">
        <v>0</v>
      </c>
      <c r="G667" s="63">
        <v>0</v>
      </c>
      <c r="H667" s="63">
        <v>484.50920000000002</v>
      </c>
      <c r="I667" s="63">
        <v>0</v>
      </c>
      <c r="J667" s="63">
        <v>14.989800000000001</v>
      </c>
      <c r="K667" s="86">
        <f t="shared" si="240"/>
        <v>499.49900000000002</v>
      </c>
      <c r="L667" s="99"/>
      <c r="M667" s="88"/>
      <c r="N667" s="89"/>
      <c r="O667" s="1016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  <c r="AR667" s="49"/>
      <c r="AS667" s="49"/>
      <c r="AT667" s="49"/>
      <c r="AU667" s="49"/>
      <c r="AV667" s="49"/>
      <c r="AW667" s="49"/>
      <c r="AX667" s="49"/>
      <c r="AY667" s="49"/>
      <c r="AZ667" s="49"/>
      <c r="BA667" s="49"/>
      <c r="BB667" s="49"/>
      <c r="BC667" s="49"/>
      <c r="BD667" s="49"/>
      <c r="BE667" s="68"/>
    </row>
    <row r="668" spans="1:57" s="51" customFormat="1">
      <c r="A668" s="795"/>
      <c r="B668" s="871"/>
      <c r="C668" s="871"/>
      <c r="D668" s="62">
        <v>2020</v>
      </c>
      <c r="E668" s="63">
        <f t="shared" si="246"/>
        <v>4.9539999999999997</v>
      </c>
      <c r="F668" s="63">
        <v>0</v>
      </c>
      <c r="G668" s="63">
        <v>0</v>
      </c>
      <c r="H668" s="63">
        <v>4.9539999999999997</v>
      </c>
      <c r="I668" s="63">
        <v>0</v>
      </c>
      <c r="J668" s="63">
        <v>0</v>
      </c>
      <c r="K668" s="86">
        <f t="shared" si="240"/>
        <v>4.9539999999999997</v>
      </c>
      <c r="L668" s="99"/>
      <c r="M668" s="88"/>
      <c r="N668" s="89"/>
      <c r="O668" s="1016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49"/>
      <c r="AU668" s="49"/>
      <c r="AV668" s="49"/>
      <c r="AW668" s="49"/>
      <c r="AX668" s="49"/>
      <c r="AY668" s="49"/>
      <c r="AZ668" s="49"/>
      <c r="BA668" s="49"/>
      <c r="BB668" s="49"/>
      <c r="BC668" s="49"/>
      <c r="BD668" s="49"/>
      <c r="BE668" s="68"/>
    </row>
    <row r="669" spans="1:57" s="51" customFormat="1">
      <c r="A669" s="795"/>
      <c r="B669" s="871"/>
      <c r="C669" s="871"/>
      <c r="D669" s="62">
        <v>2021</v>
      </c>
      <c r="E669" s="63">
        <f t="shared" si="246"/>
        <v>0</v>
      </c>
      <c r="F669" s="63">
        <v>0</v>
      </c>
      <c r="G669" s="63">
        <v>0</v>
      </c>
      <c r="H669" s="63">
        <v>0</v>
      </c>
      <c r="I669" s="63">
        <v>0</v>
      </c>
      <c r="J669" s="63">
        <v>0</v>
      </c>
      <c r="K669" s="86">
        <f t="shared" si="240"/>
        <v>0</v>
      </c>
      <c r="L669" s="99"/>
      <c r="M669" s="88"/>
      <c r="N669" s="89"/>
      <c r="O669" s="1016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  <c r="AO669" s="49"/>
      <c r="AP669" s="49"/>
      <c r="AQ669" s="49"/>
      <c r="AR669" s="49"/>
      <c r="AS669" s="49"/>
      <c r="AT669" s="49"/>
      <c r="AU669" s="49"/>
      <c r="AV669" s="49"/>
      <c r="AW669" s="49"/>
      <c r="AX669" s="49"/>
      <c r="AY669" s="49"/>
      <c r="AZ669" s="49"/>
      <c r="BA669" s="49"/>
      <c r="BB669" s="49"/>
      <c r="BC669" s="49"/>
      <c r="BD669" s="49"/>
      <c r="BE669" s="68"/>
    </row>
    <row r="670" spans="1:57" s="51" customFormat="1">
      <c r="A670" s="795"/>
      <c r="B670" s="871"/>
      <c r="C670" s="871"/>
      <c r="D670" s="62">
        <v>2022</v>
      </c>
      <c r="E670" s="63">
        <f t="shared" si="246"/>
        <v>0</v>
      </c>
      <c r="F670" s="63">
        <v>0</v>
      </c>
      <c r="G670" s="63">
        <v>0</v>
      </c>
      <c r="H670" s="63">
        <v>0</v>
      </c>
      <c r="I670" s="63">
        <v>0</v>
      </c>
      <c r="J670" s="63">
        <v>0</v>
      </c>
      <c r="K670" s="86">
        <f t="shared" si="240"/>
        <v>0</v>
      </c>
      <c r="L670" s="99"/>
      <c r="M670" s="88"/>
      <c r="N670" s="89"/>
      <c r="O670" s="1016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  <c r="AO670" s="49"/>
      <c r="AP670" s="49"/>
      <c r="AQ670" s="49"/>
      <c r="AR670" s="49"/>
      <c r="AS670" s="49"/>
      <c r="AT670" s="49"/>
      <c r="AU670" s="49"/>
      <c r="AV670" s="49"/>
      <c r="AW670" s="49"/>
      <c r="AX670" s="49"/>
      <c r="AY670" s="49"/>
      <c r="AZ670" s="49"/>
      <c r="BA670" s="49"/>
      <c r="BB670" s="49"/>
      <c r="BC670" s="49"/>
      <c r="BD670" s="49"/>
      <c r="BE670" s="68"/>
    </row>
    <row r="671" spans="1:57" s="51" customFormat="1">
      <c r="A671" s="795"/>
      <c r="B671" s="871"/>
      <c r="C671" s="871"/>
      <c r="D671" s="62">
        <v>2023</v>
      </c>
      <c r="E671" s="63">
        <f t="shared" si="246"/>
        <v>0</v>
      </c>
      <c r="F671" s="63">
        <v>0</v>
      </c>
      <c r="G671" s="63">
        <v>0</v>
      </c>
      <c r="H671" s="63">
        <v>0</v>
      </c>
      <c r="I671" s="63">
        <v>0</v>
      </c>
      <c r="J671" s="63">
        <v>0</v>
      </c>
      <c r="K671" s="86">
        <f t="shared" si="240"/>
        <v>0</v>
      </c>
      <c r="L671" s="99"/>
      <c r="M671" s="88"/>
      <c r="N671" s="89"/>
      <c r="O671" s="1016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  <c r="AR671" s="49"/>
      <c r="AS671" s="49"/>
      <c r="AT671" s="49"/>
      <c r="AU671" s="49"/>
      <c r="AV671" s="49"/>
      <c r="AW671" s="49"/>
      <c r="AX671" s="49"/>
      <c r="AY671" s="49"/>
      <c r="AZ671" s="49"/>
      <c r="BA671" s="49"/>
      <c r="BB671" s="49"/>
      <c r="BC671" s="49"/>
      <c r="BD671" s="49"/>
      <c r="BE671" s="68"/>
    </row>
    <row r="672" spans="1:57" s="51" customFormat="1">
      <c r="A672" s="796"/>
      <c r="B672" s="988"/>
      <c r="C672" s="988"/>
      <c r="D672" s="62">
        <v>2024</v>
      </c>
      <c r="E672" s="63">
        <f t="shared" si="246"/>
        <v>42.250599999999999</v>
      </c>
      <c r="F672" s="63">
        <v>0</v>
      </c>
      <c r="G672" s="63">
        <v>0</v>
      </c>
      <c r="H672" s="63">
        <v>42.052999999999997</v>
      </c>
      <c r="I672" s="63">
        <v>0</v>
      </c>
      <c r="J672" s="63">
        <v>0.1976</v>
      </c>
      <c r="K672" s="86">
        <f t="shared" si="240"/>
        <v>42.250599999999999</v>
      </c>
      <c r="L672" s="99"/>
      <c r="M672" s="88"/>
      <c r="N672" s="89"/>
      <c r="O672" s="843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  <c r="AR672" s="49"/>
      <c r="AS672" s="49"/>
      <c r="AT672" s="49"/>
      <c r="AU672" s="49"/>
      <c r="AV672" s="49"/>
      <c r="AW672" s="49"/>
      <c r="AX672" s="49"/>
      <c r="AY672" s="49"/>
      <c r="AZ672" s="49"/>
      <c r="BA672" s="49"/>
      <c r="BB672" s="49"/>
      <c r="BC672" s="49"/>
      <c r="BD672" s="49"/>
      <c r="BE672" s="68"/>
    </row>
    <row r="673" spans="1:137" s="51" customFormat="1">
      <c r="A673" s="794" t="s">
        <v>831</v>
      </c>
      <c r="B673" s="867" t="s">
        <v>832</v>
      </c>
      <c r="C673" s="858" t="s">
        <v>833</v>
      </c>
      <c r="D673" s="84" t="s">
        <v>16</v>
      </c>
      <c r="E673" s="85">
        <f t="shared" ref="E673:J673" si="247">E674+E675+E676+E677+E678+E679</f>
        <v>17.276</v>
      </c>
      <c r="F673" s="85">
        <f t="shared" si="247"/>
        <v>0</v>
      </c>
      <c r="G673" s="85">
        <f t="shared" si="247"/>
        <v>0</v>
      </c>
      <c r="H673" s="85">
        <f t="shared" si="247"/>
        <v>16.757999999999999</v>
      </c>
      <c r="I673" s="85">
        <f t="shared" si="247"/>
        <v>0</v>
      </c>
      <c r="J673" s="85">
        <f t="shared" si="247"/>
        <v>0.51800000000000002</v>
      </c>
      <c r="K673" s="86">
        <f t="shared" si="240"/>
        <v>17.276</v>
      </c>
      <c r="L673" s="99"/>
      <c r="M673" s="88"/>
      <c r="N673" s="89"/>
      <c r="O673" s="858" t="s">
        <v>640</v>
      </c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  <c r="AO673" s="49"/>
      <c r="AP673" s="49"/>
      <c r="AQ673" s="49"/>
      <c r="AR673" s="49"/>
      <c r="AS673" s="49"/>
      <c r="AT673" s="49"/>
      <c r="AU673" s="49"/>
      <c r="AV673" s="49"/>
      <c r="AW673" s="49"/>
      <c r="AX673" s="49"/>
      <c r="AY673" s="49"/>
      <c r="AZ673" s="49"/>
      <c r="BA673" s="49"/>
      <c r="BB673" s="49"/>
      <c r="BC673" s="49"/>
      <c r="BD673" s="49"/>
      <c r="BE673" s="68"/>
    </row>
    <row r="674" spans="1:137" s="51" customFormat="1">
      <c r="A674" s="826"/>
      <c r="B674" s="868"/>
      <c r="C674" s="868"/>
      <c r="D674" s="62">
        <v>2019</v>
      </c>
      <c r="E674" s="63">
        <f t="shared" ref="E674:E679" si="248">F674+G674+H674+I674+J674</f>
        <v>17.276</v>
      </c>
      <c r="F674" s="63">
        <v>0</v>
      </c>
      <c r="G674" s="63">
        <v>0</v>
      </c>
      <c r="H674" s="63">
        <v>16.757999999999999</v>
      </c>
      <c r="I674" s="63">
        <v>0</v>
      </c>
      <c r="J674" s="63">
        <v>0.51800000000000002</v>
      </c>
      <c r="K674" s="86">
        <f t="shared" si="240"/>
        <v>17.276</v>
      </c>
      <c r="L674" s="99"/>
      <c r="M674" s="88"/>
      <c r="N674" s="89"/>
      <c r="O674" s="868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  <c r="AT674" s="49"/>
      <c r="AU674" s="49"/>
      <c r="AV674" s="49"/>
      <c r="AW674" s="49"/>
      <c r="AX674" s="49"/>
      <c r="AY674" s="49"/>
      <c r="AZ674" s="49"/>
      <c r="BA674" s="49"/>
      <c r="BB674" s="49"/>
      <c r="BC674" s="49"/>
      <c r="BD674" s="49"/>
      <c r="BE674" s="68"/>
    </row>
    <row r="675" spans="1:137" s="51" customFormat="1">
      <c r="A675" s="826"/>
      <c r="B675" s="868"/>
      <c r="C675" s="868"/>
      <c r="D675" s="103">
        <v>2020</v>
      </c>
      <c r="E675" s="63">
        <f t="shared" si="248"/>
        <v>0</v>
      </c>
      <c r="F675" s="63">
        <v>0</v>
      </c>
      <c r="G675" s="63">
        <v>0</v>
      </c>
      <c r="H675" s="63">
        <v>0</v>
      </c>
      <c r="I675" s="63">
        <v>0</v>
      </c>
      <c r="J675" s="63">
        <v>0</v>
      </c>
      <c r="K675" s="86">
        <f t="shared" si="240"/>
        <v>0</v>
      </c>
      <c r="L675" s="99"/>
      <c r="M675" s="88"/>
      <c r="N675" s="89"/>
      <c r="O675" s="868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  <c r="AO675" s="49"/>
      <c r="AP675" s="49"/>
      <c r="AQ675" s="49"/>
      <c r="AR675" s="49"/>
      <c r="AS675" s="49"/>
      <c r="AT675" s="49"/>
      <c r="AU675" s="49"/>
      <c r="AV675" s="49"/>
      <c r="AW675" s="49"/>
      <c r="AX675" s="49"/>
      <c r="AY675" s="49"/>
      <c r="AZ675" s="49"/>
      <c r="BA675" s="49"/>
      <c r="BB675" s="49"/>
      <c r="BC675" s="49"/>
      <c r="BD675" s="49"/>
      <c r="BE675" s="68"/>
    </row>
    <row r="676" spans="1:137" s="51" customFormat="1">
      <c r="A676" s="826"/>
      <c r="B676" s="868"/>
      <c r="C676" s="868"/>
      <c r="D676" s="103">
        <v>2021</v>
      </c>
      <c r="E676" s="63">
        <f t="shared" si="248"/>
        <v>0</v>
      </c>
      <c r="F676" s="63">
        <v>0</v>
      </c>
      <c r="G676" s="63">
        <v>0</v>
      </c>
      <c r="H676" s="63">
        <v>0</v>
      </c>
      <c r="I676" s="63">
        <v>0</v>
      </c>
      <c r="J676" s="63">
        <v>0</v>
      </c>
      <c r="K676" s="86">
        <f t="shared" si="240"/>
        <v>0</v>
      </c>
      <c r="L676" s="99"/>
      <c r="M676" s="88"/>
      <c r="N676" s="89"/>
      <c r="O676" s="868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  <c r="AO676" s="49"/>
      <c r="AP676" s="49"/>
      <c r="AQ676" s="49"/>
      <c r="AR676" s="49"/>
      <c r="AS676" s="49"/>
      <c r="AT676" s="49"/>
      <c r="AU676" s="49"/>
      <c r="AV676" s="49"/>
      <c r="AW676" s="49"/>
      <c r="AX676" s="49"/>
      <c r="AY676" s="49"/>
      <c r="AZ676" s="49"/>
      <c r="BA676" s="49"/>
      <c r="BB676" s="49"/>
      <c r="BC676" s="49"/>
      <c r="BD676" s="49"/>
      <c r="BE676" s="68"/>
    </row>
    <row r="677" spans="1:137" s="51" customFormat="1">
      <c r="A677" s="826"/>
      <c r="B677" s="868"/>
      <c r="C677" s="868"/>
      <c r="D677" s="103">
        <v>2022</v>
      </c>
      <c r="E677" s="63">
        <f t="shared" si="248"/>
        <v>0</v>
      </c>
      <c r="F677" s="63">
        <v>0</v>
      </c>
      <c r="G677" s="63">
        <v>0</v>
      </c>
      <c r="H677" s="63">
        <v>0</v>
      </c>
      <c r="I677" s="63">
        <v>0</v>
      </c>
      <c r="J677" s="63">
        <v>0</v>
      </c>
      <c r="K677" s="86">
        <f t="shared" si="240"/>
        <v>0</v>
      </c>
      <c r="L677" s="99"/>
      <c r="M677" s="88"/>
      <c r="N677" s="89"/>
      <c r="O677" s="868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  <c r="AR677" s="49"/>
      <c r="AS677" s="49"/>
      <c r="AT677" s="49"/>
      <c r="AU677" s="49"/>
      <c r="AV677" s="49"/>
      <c r="AW677" s="49"/>
      <c r="AX677" s="49"/>
      <c r="AY677" s="49"/>
      <c r="AZ677" s="49"/>
      <c r="BA677" s="49"/>
      <c r="BB677" s="49"/>
      <c r="BC677" s="49"/>
      <c r="BD677" s="49"/>
      <c r="BE677" s="68"/>
    </row>
    <row r="678" spans="1:137" s="51" customFormat="1">
      <c r="A678" s="826"/>
      <c r="B678" s="868"/>
      <c r="C678" s="868"/>
      <c r="D678" s="103">
        <v>2023</v>
      </c>
      <c r="E678" s="63">
        <f t="shared" si="248"/>
        <v>0</v>
      </c>
      <c r="F678" s="63">
        <v>0</v>
      </c>
      <c r="G678" s="63">
        <v>0</v>
      </c>
      <c r="H678" s="63">
        <v>0</v>
      </c>
      <c r="I678" s="63">
        <v>0</v>
      </c>
      <c r="J678" s="63">
        <v>0</v>
      </c>
      <c r="K678" s="86">
        <f t="shared" si="240"/>
        <v>0</v>
      </c>
      <c r="L678" s="99"/>
      <c r="M678" s="88"/>
      <c r="N678" s="89"/>
      <c r="O678" s="868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  <c r="AO678" s="49"/>
      <c r="AP678" s="49"/>
      <c r="AQ678" s="49"/>
      <c r="AR678" s="49"/>
      <c r="AS678" s="49"/>
      <c r="AT678" s="49"/>
      <c r="AU678" s="49"/>
      <c r="AV678" s="49"/>
      <c r="AW678" s="49"/>
      <c r="AX678" s="49"/>
      <c r="AY678" s="49"/>
      <c r="AZ678" s="49"/>
      <c r="BA678" s="49"/>
      <c r="BB678" s="49"/>
      <c r="BC678" s="49"/>
      <c r="BD678" s="49"/>
      <c r="BE678" s="68"/>
    </row>
    <row r="679" spans="1:137" s="51" customFormat="1">
      <c r="A679" s="952"/>
      <c r="B679" s="869"/>
      <c r="C679" s="869"/>
      <c r="D679" s="103">
        <v>2024</v>
      </c>
      <c r="E679" s="63">
        <f t="shared" si="248"/>
        <v>0</v>
      </c>
      <c r="F679" s="63">
        <v>0</v>
      </c>
      <c r="G679" s="63">
        <v>0</v>
      </c>
      <c r="H679" s="63">
        <v>0</v>
      </c>
      <c r="I679" s="63">
        <v>0</v>
      </c>
      <c r="J679" s="63">
        <v>0</v>
      </c>
      <c r="K679" s="86">
        <f t="shared" si="240"/>
        <v>0</v>
      </c>
      <c r="L679" s="99"/>
      <c r="M679" s="88"/>
      <c r="N679" s="89"/>
      <c r="O679" s="86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  <c r="AO679" s="49"/>
      <c r="AP679" s="49"/>
      <c r="AQ679" s="49"/>
      <c r="AR679" s="49"/>
      <c r="AS679" s="49"/>
      <c r="AT679" s="49"/>
      <c r="AU679" s="49"/>
      <c r="AV679" s="49"/>
      <c r="AW679" s="49"/>
      <c r="AX679" s="49"/>
      <c r="AY679" s="49"/>
      <c r="AZ679" s="49"/>
      <c r="BA679" s="49"/>
      <c r="BB679" s="49"/>
      <c r="BC679" s="49"/>
      <c r="BD679" s="49"/>
      <c r="BE679" s="68"/>
    </row>
    <row r="680" spans="1:137" s="51" customFormat="1">
      <c r="A680" s="265"/>
      <c r="B680" s="881" t="s">
        <v>834</v>
      </c>
      <c r="C680" s="881" t="s">
        <v>835</v>
      </c>
      <c r="D680" s="114" t="s">
        <v>16</v>
      </c>
      <c r="E680" s="85">
        <f t="shared" ref="E680:J680" si="249">E681</f>
        <v>2.8313999999999999</v>
      </c>
      <c r="F680" s="85">
        <f t="shared" si="249"/>
        <v>0</v>
      </c>
      <c r="G680" s="85">
        <f t="shared" si="249"/>
        <v>0</v>
      </c>
      <c r="H680" s="85">
        <f t="shared" si="249"/>
        <v>2.742</v>
      </c>
      <c r="I680" s="85">
        <f t="shared" si="249"/>
        <v>0</v>
      </c>
      <c r="J680" s="85">
        <f t="shared" si="249"/>
        <v>8.9399999999999993E-2</v>
      </c>
      <c r="K680" s="86">
        <f t="shared" si="240"/>
        <v>2.8313999999999999</v>
      </c>
      <c r="L680" s="99"/>
      <c r="M680" s="88"/>
      <c r="N680" s="89"/>
      <c r="O680" s="94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  <c r="AO680" s="49"/>
      <c r="AP680" s="49"/>
      <c r="AQ680" s="49"/>
      <c r="AR680" s="49"/>
      <c r="AS680" s="49"/>
      <c r="AT680" s="49"/>
      <c r="AU680" s="49"/>
      <c r="AV680" s="49"/>
      <c r="AW680" s="49"/>
      <c r="AX680" s="49"/>
      <c r="AY680" s="49"/>
      <c r="AZ680" s="49"/>
      <c r="BA680" s="49"/>
      <c r="BB680" s="49"/>
      <c r="BC680" s="49"/>
      <c r="BD680" s="49"/>
      <c r="BE680" s="68"/>
    </row>
    <row r="681" spans="1:137" s="51" customFormat="1" ht="18.75" customHeight="1">
      <c r="A681" s="265"/>
      <c r="B681" s="964"/>
      <c r="C681" s="882"/>
      <c r="D681" s="103">
        <v>2019</v>
      </c>
      <c r="E681" s="63">
        <f>F681+G681+H681+I681+J681</f>
        <v>2.8313999999999999</v>
      </c>
      <c r="F681" s="63">
        <v>0</v>
      </c>
      <c r="G681" s="63">
        <v>0</v>
      </c>
      <c r="H681" s="63">
        <v>2.742</v>
      </c>
      <c r="I681" s="63">
        <v>0</v>
      </c>
      <c r="J681" s="63">
        <v>8.9399999999999993E-2</v>
      </c>
      <c r="K681" s="86">
        <f t="shared" si="240"/>
        <v>2.8313999999999999</v>
      </c>
      <c r="L681" s="99"/>
      <c r="M681" s="88"/>
      <c r="N681" s="89"/>
      <c r="O681" s="94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49"/>
      <c r="AU681" s="49"/>
      <c r="AV681" s="49"/>
      <c r="AW681" s="49"/>
      <c r="AX681" s="49"/>
      <c r="AY681" s="49"/>
      <c r="AZ681" s="49"/>
      <c r="BA681" s="49"/>
      <c r="BB681" s="49"/>
      <c r="BC681" s="49"/>
      <c r="BD681" s="49"/>
      <c r="BE681" s="68"/>
    </row>
    <row r="682" spans="1:137" s="51" customFormat="1">
      <c r="A682" s="386" t="s">
        <v>836</v>
      </c>
      <c r="B682" s="881" t="s">
        <v>837</v>
      </c>
      <c r="C682" s="882"/>
      <c r="D682" s="114" t="s">
        <v>16</v>
      </c>
      <c r="E682" s="63">
        <f t="shared" ref="E682:J682" si="250">E683</f>
        <v>3.5242999999999998</v>
      </c>
      <c r="F682" s="63">
        <f t="shared" si="250"/>
        <v>0</v>
      </c>
      <c r="G682" s="63">
        <f t="shared" si="250"/>
        <v>0</v>
      </c>
      <c r="H682" s="63">
        <f t="shared" si="250"/>
        <v>3.4129999999999998</v>
      </c>
      <c r="I682" s="63">
        <f t="shared" si="250"/>
        <v>0</v>
      </c>
      <c r="J682" s="63">
        <f t="shared" si="250"/>
        <v>0.1113</v>
      </c>
      <c r="K682" s="86">
        <f t="shared" si="240"/>
        <v>3.5242999999999998</v>
      </c>
      <c r="L682" s="99"/>
      <c r="M682" s="88"/>
      <c r="N682" s="89"/>
      <c r="O682" s="94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  <c r="AR682" s="49"/>
      <c r="AS682" s="49"/>
      <c r="AT682" s="49"/>
      <c r="AU682" s="49"/>
      <c r="AV682" s="49"/>
      <c r="AW682" s="49"/>
      <c r="AX682" s="49"/>
      <c r="AY682" s="49"/>
      <c r="AZ682" s="49"/>
      <c r="BA682" s="49"/>
      <c r="BB682" s="49"/>
      <c r="BC682" s="49"/>
      <c r="BD682" s="49"/>
      <c r="BE682" s="68"/>
    </row>
    <row r="683" spans="1:137" s="51" customFormat="1" ht="24" customHeight="1">
      <c r="A683" s="265"/>
      <c r="B683" s="964"/>
      <c r="C683" s="882"/>
      <c r="D683" s="103">
        <v>2019</v>
      </c>
      <c r="E683" s="63">
        <f>F683+G683+H683+I683+J683</f>
        <v>3.5242999999999998</v>
      </c>
      <c r="F683" s="63">
        <v>0</v>
      </c>
      <c r="G683" s="63">
        <v>0</v>
      </c>
      <c r="H683" s="63">
        <v>3.4129999999999998</v>
      </c>
      <c r="I683" s="63">
        <v>0</v>
      </c>
      <c r="J683" s="63">
        <v>0.1113</v>
      </c>
      <c r="K683" s="86">
        <f t="shared" si="240"/>
        <v>3.5242999999999998</v>
      </c>
      <c r="L683" s="99"/>
      <c r="M683" s="88"/>
      <c r="N683" s="89"/>
      <c r="O683" s="94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  <c r="AO683" s="49"/>
      <c r="AP683" s="49"/>
      <c r="AQ683" s="49"/>
      <c r="AR683" s="49"/>
      <c r="AS683" s="49"/>
      <c r="AT683" s="49"/>
      <c r="AU683" s="49"/>
      <c r="AV683" s="49"/>
      <c r="AW683" s="49"/>
      <c r="AX683" s="49"/>
      <c r="AY683" s="49"/>
      <c r="AZ683" s="49"/>
      <c r="BA683" s="49"/>
      <c r="BB683" s="49"/>
      <c r="BC683" s="49"/>
      <c r="BD683" s="49"/>
      <c r="BE683" s="68"/>
    </row>
    <row r="684" spans="1:137" s="51" customFormat="1">
      <c r="A684" s="794" t="s">
        <v>838</v>
      </c>
      <c r="B684" s="867" t="s">
        <v>839</v>
      </c>
      <c r="C684" s="870" t="s">
        <v>840</v>
      </c>
      <c r="D684" s="114" t="s">
        <v>16</v>
      </c>
      <c r="E684" s="85">
        <f t="shared" ref="E684:J684" si="251">E685+E686</f>
        <v>5.5</v>
      </c>
      <c r="F684" s="85">
        <f t="shared" si="251"/>
        <v>0</v>
      </c>
      <c r="G684" s="85">
        <f t="shared" si="251"/>
        <v>0</v>
      </c>
      <c r="H684" s="85">
        <f t="shared" si="251"/>
        <v>4.75</v>
      </c>
      <c r="I684" s="85">
        <f t="shared" si="251"/>
        <v>0</v>
      </c>
      <c r="J684" s="85">
        <f t="shared" si="251"/>
        <v>0.75</v>
      </c>
      <c r="K684" s="86">
        <f t="shared" si="240"/>
        <v>5.5</v>
      </c>
      <c r="L684" s="99"/>
      <c r="M684" s="88"/>
      <c r="N684" s="89"/>
      <c r="O684" s="867" t="s">
        <v>574</v>
      </c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  <c r="AO684" s="49"/>
      <c r="AP684" s="49"/>
      <c r="AQ684" s="49"/>
      <c r="AR684" s="49"/>
      <c r="AS684" s="49"/>
      <c r="AT684" s="49"/>
      <c r="AU684" s="49"/>
      <c r="AV684" s="49"/>
      <c r="AW684" s="49"/>
      <c r="AX684" s="49"/>
      <c r="AY684" s="49"/>
      <c r="AZ684" s="49"/>
      <c r="BA684" s="49"/>
      <c r="BB684" s="49"/>
      <c r="BC684" s="49"/>
      <c r="BD684" s="49"/>
      <c r="BE684" s="68"/>
      <c r="EG684" s="51" t="s">
        <v>841</v>
      </c>
    </row>
    <row r="685" spans="1:137" s="51" customFormat="1" ht="17.25" customHeight="1">
      <c r="A685" s="795"/>
      <c r="B685" s="872"/>
      <c r="C685" s="870"/>
      <c r="D685" s="103">
        <v>2020</v>
      </c>
      <c r="E685" s="63">
        <f>F685+G685+H685+I685+J685</f>
        <v>0.5</v>
      </c>
      <c r="F685" s="63">
        <v>0</v>
      </c>
      <c r="G685" s="63">
        <v>0</v>
      </c>
      <c r="H685" s="63">
        <v>0</v>
      </c>
      <c r="I685" s="63">
        <v>0</v>
      </c>
      <c r="J685" s="63">
        <v>0.5</v>
      </c>
      <c r="K685" s="86">
        <f t="shared" si="240"/>
        <v>0.5</v>
      </c>
      <c r="L685" s="99"/>
      <c r="M685" s="88"/>
      <c r="N685" s="89"/>
      <c r="O685" s="872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  <c r="AO685" s="49"/>
      <c r="AP685" s="49"/>
      <c r="AQ685" s="49"/>
      <c r="AR685" s="49"/>
      <c r="AS685" s="49"/>
      <c r="AT685" s="49"/>
      <c r="AU685" s="49"/>
      <c r="AV685" s="49"/>
      <c r="AW685" s="49"/>
      <c r="AX685" s="49"/>
      <c r="AY685" s="49"/>
      <c r="AZ685" s="49"/>
      <c r="BA685" s="49"/>
      <c r="BB685" s="49"/>
      <c r="BC685" s="49"/>
      <c r="BD685" s="49"/>
      <c r="BE685" s="68"/>
    </row>
    <row r="686" spans="1:137" s="51" customFormat="1" ht="30.75" customHeight="1">
      <c r="A686" s="795"/>
      <c r="B686" s="872"/>
      <c r="C686" s="870"/>
      <c r="D686" s="103">
        <v>2021</v>
      </c>
      <c r="E686" s="63">
        <f>F686+G686+H686+I686+J686</f>
        <v>5</v>
      </c>
      <c r="F686" s="63">
        <v>0</v>
      </c>
      <c r="G686" s="63">
        <v>0</v>
      </c>
      <c r="H686" s="63">
        <v>4.75</v>
      </c>
      <c r="I686" s="63">
        <v>0</v>
      </c>
      <c r="J686" s="63">
        <v>0.25</v>
      </c>
      <c r="K686" s="86">
        <f t="shared" si="240"/>
        <v>5</v>
      </c>
      <c r="L686" s="99"/>
      <c r="M686" s="88"/>
      <c r="N686" s="89"/>
      <c r="O686" s="872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  <c r="AR686" s="49"/>
      <c r="AS686" s="49"/>
      <c r="AT686" s="49"/>
      <c r="AU686" s="49"/>
      <c r="AV686" s="49"/>
      <c r="AW686" s="49"/>
      <c r="AX686" s="49"/>
      <c r="AY686" s="49"/>
      <c r="AZ686" s="49"/>
      <c r="BA686" s="49"/>
      <c r="BB686" s="49"/>
      <c r="BC686" s="49"/>
      <c r="BD686" s="49"/>
      <c r="BE686" s="68"/>
    </row>
    <row r="687" spans="1:137" s="51" customFormat="1" ht="17.25" customHeight="1">
      <c r="A687" s="794" t="s">
        <v>842</v>
      </c>
      <c r="B687" s="867" t="s">
        <v>843</v>
      </c>
      <c r="C687" s="867" t="s">
        <v>840</v>
      </c>
      <c r="D687" s="114" t="s">
        <v>16</v>
      </c>
      <c r="E687" s="85">
        <f t="shared" ref="E687:J687" si="252">E688+E689+E690+E691</f>
        <v>3.452</v>
      </c>
      <c r="F687" s="85">
        <f t="shared" si="252"/>
        <v>0</v>
      </c>
      <c r="G687" s="85">
        <f t="shared" si="252"/>
        <v>0</v>
      </c>
      <c r="H687" s="85">
        <f t="shared" si="252"/>
        <v>2.375</v>
      </c>
      <c r="I687" s="85">
        <f t="shared" si="252"/>
        <v>0</v>
      </c>
      <c r="J687" s="85">
        <f t="shared" si="252"/>
        <v>1.077</v>
      </c>
      <c r="K687" s="86">
        <f t="shared" si="240"/>
        <v>3.452</v>
      </c>
      <c r="L687" s="99"/>
      <c r="M687" s="88"/>
      <c r="N687" s="89"/>
      <c r="O687" s="872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  <c r="AR687" s="49"/>
      <c r="AS687" s="49"/>
      <c r="AT687" s="49"/>
      <c r="AU687" s="49"/>
      <c r="AV687" s="49"/>
      <c r="AW687" s="49"/>
      <c r="AX687" s="49"/>
      <c r="AY687" s="49"/>
      <c r="AZ687" s="49"/>
      <c r="BA687" s="49"/>
      <c r="BB687" s="49"/>
      <c r="BC687" s="49"/>
      <c r="BD687" s="49"/>
      <c r="BE687" s="68"/>
    </row>
    <row r="688" spans="1:137" s="51" customFormat="1" ht="17.25" customHeight="1">
      <c r="A688" s="795"/>
      <c r="B688" s="872"/>
      <c r="C688" s="872"/>
      <c r="D688" s="103">
        <v>2019</v>
      </c>
      <c r="E688" s="63">
        <f>F688+G688+H688+I688+J688</f>
        <v>4.8000000000000001E-2</v>
      </c>
      <c r="F688" s="63">
        <v>0</v>
      </c>
      <c r="G688" s="63">
        <v>0</v>
      </c>
      <c r="H688" s="63">
        <v>0</v>
      </c>
      <c r="I688" s="63">
        <v>0</v>
      </c>
      <c r="J688" s="63">
        <v>4.8000000000000001E-2</v>
      </c>
      <c r="K688" s="86">
        <f t="shared" si="240"/>
        <v>4.8000000000000001E-2</v>
      </c>
      <c r="L688" s="99"/>
      <c r="M688" s="88"/>
      <c r="N688" s="89"/>
      <c r="O688" s="872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  <c r="AO688" s="49"/>
      <c r="AP688" s="49"/>
      <c r="AQ688" s="49"/>
      <c r="AR688" s="49"/>
      <c r="AS688" s="49"/>
      <c r="AT688" s="49"/>
      <c r="AU688" s="49"/>
      <c r="AV688" s="49"/>
      <c r="AW688" s="49"/>
      <c r="AX688" s="49"/>
      <c r="AY688" s="49"/>
      <c r="AZ688" s="49"/>
      <c r="BA688" s="49"/>
      <c r="BB688" s="49"/>
      <c r="BC688" s="49"/>
      <c r="BD688" s="49"/>
      <c r="BE688" s="68"/>
    </row>
    <row r="689" spans="1:57" s="51" customFormat="1" ht="17.25" customHeight="1">
      <c r="A689" s="795"/>
      <c r="B689" s="872"/>
      <c r="C689" s="872"/>
      <c r="D689" s="103">
        <v>2020</v>
      </c>
      <c r="E689" s="63">
        <f>F689+G689+H689+I689+J689</f>
        <v>0.45200000000000001</v>
      </c>
      <c r="F689" s="63">
        <v>0</v>
      </c>
      <c r="G689" s="63">
        <v>0</v>
      </c>
      <c r="H689" s="63">
        <v>0</v>
      </c>
      <c r="I689" s="63">
        <v>0</v>
      </c>
      <c r="J689" s="63">
        <v>0.45200000000000001</v>
      </c>
      <c r="K689" s="86">
        <f t="shared" si="240"/>
        <v>0.45200000000000001</v>
      </c>
      <c r="L689" s="99"/>
      <c r="M689" s="88"/>
      <c r="N689" s="89"/>
      <c r="O689" s="872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  <c r="AR689" s="49"/>
      <c r="AS689" s="49"/>
      <c r="AT689" s="49"/>
      <c r="AU689" s="49"/>
      <c r="AV689" s="49"/>
      <c r="AW689" s="49"/>
      <c r="AX689" s="49"/>
      <c r="AY689" s="49"/>
      <c r="AZ689" s="49"/>
      <c r="BA689" s="49"/>
      <c r="BB689" s="49"/>
      <c r="BC689" s="49"/>
      <c r="BD689" s="49"/>
      <c r="BE689" s="68"/>
    </row>
    <row r="690" spans="1:57" s="51" customFormat="1" ht="17.25" customHeight="1">
      <c r="A690" s="795"/>
      <c r="B690" s="872"/>
      <c r="C690" s="872"/>
      <c r="D690" s="103">
        <v>2021</v>
      </c>
      <c r="E690" s="63">
        <f>F690+G690+H690+I690+J690</f>
        <v>0.45200000000000001</v>
      </c>
      <c r="F690" s="63">
        <v>0</v>
      </c>
      <c r="G690" s="63">
        <v>0</v>
      </c>
      <c r="H690" s="63">
        <v>0</v>
      </c>
      <c r="I690" s="63">
        <v>0</v>
      </c>
      <c r="J690" s="63">
        <v>0.45200000000000001</v>
      </c>
      <c r="K690" s="86">
        <f t="shared" si="240"/>
        <v>0.45200000000000001</v>
      </c>
      <c r="L690" s="99"/>
      <c r="M690" s="88"/>
      <c r="N690" s="89"/>
      <c r="O690" s="872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  <c r="AR690" s="49"/>
      <c r="AS690" s="49"/>
      <c r="AT690" s="49"/>
      <c r="AU690" s="49"/>
      <c r="AV690" s="49"/>
      <c r="AW690" s="49"/>
      <c r="AX690" s="49"/>
      <c r="AY690" s="49"/>
      <c r="AZ690" s="49"/>
      <c r="BA690" s="49"/>
      <c r="BB690" s="49"/>
      <c r="BC690" s="49"/>
      <c r="BD690" s="49"/>
      <c r="BE690" s="68"/>
    </row>
    <row r="691" spans="1:57" s="51" customFormat="1" ht="17.25" customHeight="1">
      <c r="A691" s="796"/>
      <c r="B691" s="873"/>
      <c r="C691" s="873"/>
      <c r="D691" s="103">
        <v>2022</v>
      </c>
      <c r="E691" s="63">
        <f>F691+G691+H691+I691+J691</f>
        <v>2.5</v>
      </c>
      <c r="F691" s="63">
        <v>0</v>
      </c>
      <c r="G691" s="63">
        <v>0</v>
      </c>
      <c r="H691" s="63">
        <v>2.375</v>
      </c>
      <c r="I691" s="63">
        <v>0</v>
      </c>
      <c r="J691" s="63">
        <v>0.125</v>
      </c>
      <c r="K691" s="86">
        <f t="shared" si="240"/>
        <v>2.5</v>
      </c>
      <c r="L691" s="99"/>
      <c r="M691" s="88"/>
      <c r="N691" s="89"/>
      <c r="O691" s="872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  <c r="AR691" s="49"/>
      <c r="AS691" s="49"/>
      <c r="AT691" s="49"/>
      <c r="AU691" s="49"/>
      <c r="AV691" s="49"/>
      <c r="AW691" s="49"/>
      <c r="AX691" s="49"/>
      <c r="AY691" s="49"/>
      <c r="AZ691" s="49"/>
      <c r="BA691" s="49"/>
      <c r="BB691" s="49"/>
      <c r="BC691" s="49"/>
      <c r="BD691" s="49"/>
      <c r="BE691" s="68"/>
    </row>
    <row r="692" spans="1:57" s="51" customFormat="1" ht="12.75" customHeight="1">
      <c r="A692" s="926" t="s">
        <v>844</v>
      </c>
      <c r="B692" s="929" t="s">
        <v>845</v>
      </c>
      <c r="C692" s="987"/>
      <c r="D692" s="84" t="s">
        <v>16</v>
      </c>
      <c r="E692" s="85">
        <f t="shared" ref="E692:J692" si="253">E693+E694+E696+E695</f>
        <v>3781.3798999999999</v>
      </c>
      <c r="F692" s="85">
        <f t="shared" si="253"/>
        <v>14.9191</v>
      </c>
      <c r="G692" s="85">
        <f t="shared" si="253"/>
        <v>0</v>
      </c>
      <c r="H692" s="85">
        <f t="shared" si="253"/>
        <v>3762.7631999999994</v>
      </c>
      <c r="I692" s="85">
        <f t="shared" si="253"/>
        <v>0</v>
      </c>
      <c r="J692" s="85">
        <f t="shared" si="253"/>
        <v>3.6976</v>
      </c>
      <c r="K692" s="86">
        <f t="shared" si="240"/>
        <v>3781.3798999999995</v>
      </c>
      <c r="L692" s="99"/>
      <c r="M692" s="88"/>
      <c r="N692" s="89"/>
      <c r="O692" s="90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  <c r="AR692" s="49"/>
      <c r="AS692" s="49"/>
      <c r="AT692" s="49"/>
      <c r="AU692" s="49"/>
      <c r="AV692" s="49"/>
      <c r="AW692" s="49"/>
      <c r="AX692" s="49"/>
      <c r="AY692" s="49"/>
      <c r="AZ692" s="49"/>
      <c r="BA692" s="49"/>
      <c r="BB692" s="49"/>
      <c r="BC692" s="49"/>
      <c r="BD692" s="49"/>
      <c r="BE692" s="68"/>
    </row>
    <row r="693" spans="1:57" s="51" customFormat="1" ht="12.75" customHeight="1">
      <c r="A693" s="1003"/>
      <c r="B693" s="953"/>
      <c r="C693" s="868"/>
      <c r="D693" s="84">
        <v>2019</v>
      </c>
      <c r="E693" s="85">
        <f t="shared" ref="E693:J693" si="254">E698+E706+E709</f>
        <v>3589.7775999999999</v>
      </c>
      <c r="F693" s="85">
        <f t="shared" si="254"/>
        <v>0</v>
      </c>
      <c r="G693" s="85">
        <f t="shared" si="254"/>
        <v>0</v>
      </c>
      <c r="H693" s="85">
        <f t="shared" si="254"/>
        <v>3586.1655999999998</v>
      </c>
      <c r="I693" s="85">
        <f t="shared" si="254"/>
        <v>0</v>
      </c>
      <c r="J693" s="85">
        <f t="shared" si="254"/>
        <v>3.6120000000000001</v>
      </c>
      <c r="K693" s="86">
        <f t="shared" si="240"/>
        <v>3589.7775999999999</v>
      </c>
      <c r="L693" s="99"/>
      <c r="M693" s="88"/>
      <c r="N693" s="89"/>
      <c r="O693" s="90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  <c r="AR693" s="49"/>
      <c r="AS693" s="49"/>
      <c r="AT693" s="49"/>
      <c r="AU693" s="49"/>
      <c r="AV693" s="49"/>
      <c r="AW693" s="49"/>
      <c r="AX693" s="49"/>
      <c r="AY693" s="49"/>
      <c r="AZ693" s="49"/>
      <c r="BA693" s="49"/>
      <c r="BB693" s="49"/>
      <c r="BC693" s="49"/>
      <c r="BD693" s="49"/>
      <c r="BE693" s="68"/>
    </row>
    <row r="694" spans="1:57" s="51" customFormat="1" ht="12.75" customHeight="1">
      <c r="A694" s="1003"/>
      <c r="B694" s="953"/>
      <c r="C694" s="868"/>
      <c r="D694" s="84">
        <v>2020</v>
      </c>
      <c r="E694" s="85">
        <f t="shared" ref="E694:J694" si="255">E699+E71+E7253+E707</f>
        <v>22.34</v>
      </c>
      <c r="F694" s="85">
        <f t="shared" si="255"/>
        <v>3.8628</v>
      </c>
      <c r="G694" s="85">
        <f t="shared" si="255"/>
        <v>0</v>
      </c>
      <c r="H694" s="85">
        <f t="shared" si="255"/>
        <v>18.460599999999999</v>
      </c>
      <c r="I694" s="85">
        <f t="shared" si="255"/>
        <v>0</v>
      </c>
      <c r="J694" s="85">
        <f t="shared" si="255"/>
        <v>1.66E-2</v>
      </c>
      <c r="K694" s="86">
        <f t="shared" si="240"/>
        <v>22.34</v>
      </c>
      <c r="L694" s="99"/>
      <c r="M694" s="88"/>
      <c r="N694" s="89"/>
      <c r="O694" s="90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49"/>
      <c r="AU694" s="49"/>
      <c r="AV694" s="49"/>
      <c r="AW694" s="49"/>
      <c r="AX694" s="49"/>
      <c r="AY694" s="49"/>
      <c r="AZ694" s="49"/>
      <c r="BA694" s="49"/>
      <c r="BB694" s="49"/>
      <c r="BC694" s="49"/>
      <c r="BD694" s="49"/>
      <c r="BE694" s="68"/>
    </row>
    <row r="695" spans="1:57" s="51" customFormat="1" ht="12.75" customHeight="1">
      <c r="A695" s="1003"/>
      <c r="B695" s="953"/>
      <c r="C695" s="868"/>
      <c r="D695" s="84">
        <v>2021</v>
      </c>
      <c r="E695" s="85">
        <f t="shared" ref="E695:J695" si="256">E700+E703+E712</f>
        <v>130.78029999999998</v>
      </c>
      <c r="F695" s="85">
        <f t="shared" si="256"/>
        <v>11.0563</v>
      </c>
      <c r="G695" s="85">
        <f t="shared" si="256"/>
        <v>0</v>
      </c>
      <c r="H695" s="85">
        <f t="shared" si="256"/>
        <v>119.691</v>
      </c>
      <c r="I695" s="85">
        <f t="shared" si="256"/>
        <v>0</v>
      </c>
      <c r="J695" s="85">
        <f t="shared" si="256"/>
        <v>3.3000000000000002E-2</v>
      </c>
      <c r="K695" s="86">
        <f t="shared" si="240"/>
        <v>130.78029999999998</v>
      </c>
      <c r="L695" s="99"/>
      <c r="M695" s="88"/>
      <c r="N695" s="89"/>
      <c r="O695" s="90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  <c r="AO695" s="49"/>
      <c r="AP695" s="49"/>
      <c r="AQ695" s="49"/>
      <c r="AR695" s="49"/>
      <c r="AS695" s="49"/>
      <c r="AT695" s="49"/>
      <c r="AU695" s="49"/>
      <c r="AV695" s="49"/>
      <c r="AW695" s="49"/>
      <c r="AX695" s="49"/>
      <c r="AY695" s="49"/>
      <c r="AZ695" s="49"/>
      <c r="BA695" s="49"/>
      <c r="BB695" s="49"/>
      <c r="BC695" s="49"/>
      <c r="BD695" s="49"/>
      <c r="BE695" s="68"/>
    </row>
    <row r="696" spans="1:57" s="51" customFormat="1" ht="15.75" customHeight="1">
      <c r="A696" s="1004"/>
      <c r="B696" s="954"/>
      <c r="C696" s="869"/>
      <c r="D696" s="84">
        <v>2022</v>
      </c>
      <c r="E696" s="85">
        <f t="shared" ref="E696:J696" si="257">E704+E713</f>
        <v>38.481999999999999</v>
      </c>
      <c r="F696" s="85">
        <f t="shared" si="257"/>
        <v>0</v>
      </c>
      <c r="G696" s="85">
        <f t="shared" si="257"/>
        <v>0</v>
      </c>
      <c r="H696" s="85">
        <f t="shared" si="257"/>
        <v>38.445999999999998</v>
      </c>
      <c r="I696" s="85">
        <f t="shared" si="257"/>
        <v>0</v>
      </c>
      <c r="J696" s="85">
        <f t="shared" si="257"/>
        <v>3.6000000000000004E-2</v>
      </c>
      <c r="K696" s="86">
        <f t="shared" si="240"/>
        <v>38.481999999999999</v>
      </c>
      <c r="L696" s="99"/>
      <c r="M696" s="88"/>
      <c r="N696" s="89"/>
      <c r="O696" s="3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  <c r="AR696" s="49"/>
      <c r="AS696" s="49"/>
      <c r="AT696" s="49"/>
      <c r="AU696" s="49"/>
      <c r="AV696" s="49"/>
      <c r="AW696" s="49"/>
      <c r="AX696" s="49"/>
      <c r="AY696" s="49"/>
      <c r="AZ696" s="49"/>
      <c r="BA696" s="49"/>
      <c r="BB696" s="49"/>
      <c r="BC696" s="49"/>
      <c r="BD696" s="49"/>
      <c r="BE696" s="68"/>
    </row>
    <row r="697" spans="1:57" s="51" customFormat="1" ht="22.5" customHeight="1">
      <c r="A697" s="794" t="s">
        <v>846</v>
      </c>
      <c r="B697" s="867" t="s">
        <v>847</v>
      </c>
      <c r="C697" s="838" t="s">
        <v>848</v>
      </c>
      <c r="D697" s="84" t="s">
        <v>16</v>
      </c>
      <c r="E697" s="85">
        <f t="shared" ref="E697:J697" si="258">E698+E699+E700</f>
        <v>119.34049999999999</v>
      </c>
      <c r="F697" s="85">
        <f t="shared" si="258"/>
        <v>13.2447</v>
      </c>
      <c r="G697" s="85">
        <f t="shared" si="258"/>
        <v>0</v>
      </c>
      <c r="H697" s="85">
        <f t="shared" si="258"/>
        <v>106.0958</v>
      </c>
      <c r="I697" s="85">
        <f t="shared" si="258"/>
        <v>0</v>
      </c>
      <c r="J697" s="85">
        <f t="shared" si="258"/>
        <v>0</v>
      </c>
      <c r="K697" s="86">
        <f t="shared" si="240"/>
        <v>119.34049999999999</v>
      </c>
      <c r="L697" s="99" t="s">
        <v>849</v>
      </c>
      <c r="M697" s="88"/>
      <c r="N697" s="89">
        <v>0</v>
      </c>
      <c r="O697" s="858" t="s">
        <v>360</v>
      </c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  <c r="AR697" s="49"/>
      <c r="AS697" s="49"/>
      <c r="AT697" s="49"/>
      <c r="AU697" s="49"/>
      <c r="AV697" s="49"/>
      <c r="AW697" s="49"/>
      <c r="AX697" s="49"/>
      <c r="AY697" s="49"/>
      <c r="AZ697" s="49"/>
      <c r="BA697" s="49"/>
      <c r="BB697" s="49"/>
      <c r="BC697" s="49"/>
      <c r="BD697" s="49"/>
      <c r="BE697" s="68"/>
    </row>
    <row r="698" spans="1:57" s="51" customFormat="1" ht="15" customHeight="1">
      <c r="A698" s="795"/>
      <c r="B698" s="868"/>
      <c r="C698" s="839"/>
      <c r="D698" s="62">
        <v>2019</v>
      </c>
      <c r="E698" s="63">
        <v>0</v>
      </c>
      <c r="F698" s="63">
        <v>0</v>
      </c>
      <c r="G698" s="63">
        <v>0</v>
      </c>
      <c r="H698" s="63">
        <v>0</v>
      </c>
      <c r="I698" s="63">
        <v>0</v>
      </c>
      <c r="J698" s="63">
        <v>0</v>
      </c>
      <c r="K698" s="86">
        <f t="shared" si="240"/>
        <v>0</v>
      </c>
      <c r="L698" s="185" t="s">
        <v>850</v>
      </c>
      <c r="M698" s="88"/>
      <c r="N698" s="301">
        <v>0</v>
      </c>
      <c r="O698" s="871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  <c r="AR698" s="49"/>
      <c r="AS698" s="49"/>
      <c r="AT698" s="49"/>
      <c r="AU698" s="49"/>
      <c r="AV698" s="49"/>
      <c r="AW698" s="49"/>
      <c r="AX698" s="49"/>
      <c r="AY698" s="49"/>
      <c r="AZ698" s="49"/>
      <c r="BA698" s="49"/>
      <c r="BB698" s="49"/>
      <c r="BC698" s="49"/>
      <c r="BD698" s="49"/>
      <c r="BE698" s="68"/>
    </row>
    <row r="699" spans="1:57" s="51" customFormat="1">
      <c r="A699" s="795"/>
      <c r="B699" s="868"/>
      <c r="C699" s="839"/>
      <c r="D699" s="62">
        <v>2020</v>
      </c>
      <c r="E699" s="63">
        <f>F699+H699</f>
        <v>19.005200000000002</v>
      </c>
      <c r="F699" s="63">
        <v>2.1884000000000001</v>
      </c>
      <c r="G699" s="63">
        <v>0</v>
      </c>
      <c r="H699" s="63">
        <v>16.816800000000001</v>
      </c>
      <c r="I699" s="63">
        <v>0</v>
      </c>
      <c r="J699" s="63">
        <v>0</v>
      </c>
      <c r="K699" s="86">
        <f t="shared" si="240"/>
        <v>19.005200000000002</v>
      </c>
      <c r="L699" s="185" t="s">
        <v>850</v>
      </c>
      <c r="M699" s="88"/>
      <c r="N699" s="301"/>
      <c r="O699" s="871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  <c r="AR699" s="49"/>
      <c r="AS699" s="49"/>
      <c r="AT699" s="49"/>
      <c r="AU699" s="49"/>
      <c r="AV699" s="49"/>
      <c r="AW699" s="49"/>
      <c r="AX699" s="49"/>
      <c r="AY699" s="49"/>
      <c r="AZ699" s="49"/>
      <c r="BA699" s="49"/>
      <c r="BB699" s="49"/>
      <c r="BC699" s="49"/>
      <c r="BD699" s="49"/>
      <c r="BE699" s="68"/>
    </row>
    <row r="700" spans="1:57" s="51" customFormat="1">
      <c r="A700" s="796"/>
      <c r="B700" s="869"/>
      <c r="C700" s="854"/>
      <c r="D700" s="62">
        <v>2021</v>
      </c>
      <c r="E700" s="63">
        <f>F700+H700</f>
        <v>100.33529999999999</v>
      </c>
      <c r="F700" s="63">
        <v>11.0563</v>
      </c>
      <c r="G700" s="63">
        <v>0</v>
      </c>
      <c r="H700" s="63">
        <v>89.278999999999996</v>
      </c>
      <c r="I700" s="63">
        <v>0</v>
      </c>
      <c r="J700" s="63">
        <v>0</v>
      </c>
      <c r="K700" s="86">
        <f t="shared" si="240"/>
        <v>100.33529999999999</v>
      </c>
      <c r="L700" s="185" t="s">
        <v>851</v>
      </c>
      <c r="M700" s="88"/>
      <c r="N700" s="301">
        <v>0</v>
      </c>
      <c r="O700" s="988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  <c r="AR700" s="49"/>
      <c r="AS700" s="49"/>
      <c r="AT700" s="49"/>
      <c r="AU700" s="49"/>
      <c r="AV700" s="49"/>
      <c r="AW700" s="49"/>
      <c r="AX700" s="49"/>
      <c r="AY700" s="49"/>
      <c r="AZ700" s="49"/>
      <c r="BA700" s="49"/>
      <c r="BB700" s="49"/>
      <c r="BC700" s="49"/>
      <c r="BD700" s="49"/>
      <c r="BE700" s="68"/>
    </row>
    <row r="701" spans="1:57" s="51" customFormat="1">
      <c r="A701" s="921" t="s">
        <v>852</v>
      </c>
      <c r="B701" s="1043" t="s">
        <v>853</v>
      </c>
      <c r="C701" s="870" t="s">
        <v>854</v>
      </c>
      <c r="D701" s="84" t="s">
        <v>16</v>
      </c>
      <c r="E701" s="63">
        <f t="shared" ref="E701:J701" si="259">E702+E703+E704</f>
        <v>70.13</v>
      </c>
      <c r="F701" s="63">
        <f t="shared" si="259"/>
        <v>0</v>
      </c>
      <c r="G701" s="63">
        <f t="shared" si="259"/>
        <v>0</v>
      </c>
      <c r="H701" s="63">
        <f t="shared" si="259"/>
        <v>70.06</v>
      </c>
      <c r="I701" s="63">
        <f t="shared" si="259"/>
        <v>0</v>
      </c>
      <c r="J701" s="63">
        <f t="shared" si="259"/>
        <v>7.0000000000000007E-2</v>
      </c>
      <c r="K701" s="86">
        <f t="shared" si="240"/>
        <v>70.13</v>
      </c>
      <c r="L701" s="185"/>
      <c r="M701" s="88"/>
      <c r="N701" s="301"/>
      <c r="O701" s="842" t="s">
        <v>533</v>
      </c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  <c r="AR701" s="49"/>
      <c r="AS701" s="49"/>
      <c r="AT701" s="49"/>
      <c r="AU701" s="49"/>
      <c r="AV701" s="49"/>
      <c r="AW701" s="49"/>
      <c r="AX701" s="49"/>
      <c r="AY701" s="49"/>
      <c r="AZ701" s="49"/>
      <c r="BA701" s="49"/>
      <c r="BB701" s="49"/>
      <c r="BC701" s="49"/>
      <c r="BD701" s="49"/>
      <c r="BE701" s="68"/>
    </row>
    <row r="702" spans="1:57" s="51" customFormat="1">
      <c r="A702" s="921"/>
      <c r="B702" s="1044"/>
      <c r="C702" s="870"/>
      <c r="D702" s="62">
        <v>2020</v>
      </c>
      <c r="E702" s="63">
        <f>F702+G702+H702+I702+J702</f>
        <v>30.61</v>
      </c>
      <c r="F702" s="63">
        <v>0</v>
      </c>
      <c r="G702" s="63">
        <v>0</v>
      </c>
      <c r="H702" s="63">
        <v>30.58</v>
      </c>
      <c r="I702" s="63">
        <v>0</v>
      </c>
      <c r="J702" s="63">
        <v>0.03</v>
      </c>
      <c r="K702" s="86">
        <f t="shared" si="240"/>
        <v>30.61</v>
      </c>
      <c r="L702" s="185"/>
      <c r="M702" s="88"/>
      <c r="N702" s="301"/>
      <c r="O702" s="1016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  <c r="AR702" s="49"/>
      <c r="AS702" s="49"/>
      <c r="AT702" s="49"/>
      <c r="AU702" s="49"/>
      <c r="AV702" s="49"/>
      <c r="AW702" s="49"/>
      <c r="AX702" s="49"/>
      <c r="AY702" s="49"/>
      <c r="AZ702" s="49"/>
      <c r="BA702" s="49"/>
      <c r="BB702" s="49"/>
      <c r="BC702" s="49"/>
      <c r="BD702" s="49"/>
      <c r="BE702" s="68"/>
    </row>
    <row r="703" spans="1:57" s="51" customFormat="1">
      <c r="A703" s="921"/>
      <c r="B703" s="1044"/>
      <c r="C703" s="870"/>
      <c r="D703" s="62">
        <v>2021</v>
      </c>
      <c r="E703" s="63">
        <f>F703+G703+H703+I703+J703</f>
        <v>17.02</v>
      </c>
      <c r="F703" s="63">
        <v>0</v>
      </c>
      <c r="G703" s="63">
        <v>0</v>
      </c>
      <c r="H703" s="63">
        <v>17</v>
      </c>
      <c r="I703" s="63">
        <v>0</v>
      </c>
      <c r="J703" s="63">
        <v>0.02</v>
      </c>
      <c r="K703" s="86">
        <f t="shared" si="240"/>
        <v>17.02</v>
      </c>
      <c r="L703" s="185"/>
      <c r="M703" s="88"/>
      <c r="N703" s="301"/>
      <c r="O703" s="1016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  <c r="AR703" s="49"/>
      <c r="AS703" s="49"/>
      <c r="AT703" s="49"/>
      <c r="AU703" s="49"/>
      <c r="AV703" s="49"/>
      <c r="AW703" s="49"/>
      <c r="AX703" s="49"/>
      <c r="AY703" s="49"/>
      <c r="AZ703" s="49"/>
      <c r="BA703" s="49"/>
      <c r="BB703" s="49"/>
      <c r="BC703" s="49"/>
      <c r="BD703" s="49"/>
      <c r="BE703" s="68"/>
    </row>
    <row r="704" spans="1:57" s="51" customFormat="1">
      <c r="A704" s="921"/>
      <c r="B704" s="1045"/>
      <c r="C704" s="870"/>
      <c r="D704" s="62">
        <v>2022</v>
      </c>
      <c r="E704" s="63">
        <f>F704+G704+H704+I704+J704</f>
        <v>22.5</v>
      </c>
      <c r="F704" s="63">
        <v>0</v>
      </c>
      <c r="G704" s="63">
        <v>0</v>
      </c>
      <c r="H704" s="63">
        <v>22.48</v>
      </c>
      <c r="I704" s="63">
        <v>0</v>
      </c>
      <c r="J704" s="63">
        <v>0.02</v>
      </c>
      <c r="K704" s="86">
        <f t="shared" si="240"/>
        <v>22.5</v>
      </c>
      <c r="L704" s="185"/>
      <c r="M704" s="88"/>
      <c r="N704" s="301"/>
      <c r="O704" s="843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  <c r="AR704" s="49"/>
      <c r="AS704" s="49"/>
      <c r="AT704" s="49"/>
      <c r="AU704" s="49"/>
      <c r="AV704" s="49"/>
      <c r="AW704" s="49"/>
      <c r="AX704" s="49"/>
      <c r="AY704" s="49"/>
      <c r="AZ704" s="49"/>
      <c r="BA704" s="49"/>
      <c r="BB704" s="49"/>
      <c r="BC704" s="49"/>
      <c r="BD704" s="49"/>
      <c r="BE704" s="68"/>
    </row>
    <row r="705" spans="1:57" s="51" customFormat="1">
      <c r="A705" s="921" t="s">
        <v>855</v>
      </c>
      <c r="B705" s="1019" t="s">
        <v>856</v>
      </c>
      <c r="C705" s="69"/>
      <c r="D705" s="84" t="s">
        <v>16</v>
      </c>
      <c r="E705" s="63">
        <f t="shared" ref="E705:J705" si="260">E706+E707</f>
        <v>4.1509999999999998</v>
      </c>
      <c r="F705" s="63">
        <f t="shared" si="260"/>
        <v>0</v>
      </c>
      <c r="G705" s="63">
        <f t="shared" si="260"/>
        <v>0</v>
      </c>
      <c r="H705" s="63">
        <f t="shared" si="260"/>
        <v>4.1093999999999999</v>
      </c>
      <c r="I705" s="63">
        <f t="shared" si="260"/>
        <v>0</v>
      </c>
      <c r="J705" s="63">
        <f t="shared" si="260"/>
        <v>4.1599999999999998E-2</v>
      </c>
      <c r="K705" s="86">
        <f t="shared" si="240"/>
        <v>4.1509999999999998</v>
      </c>
      <c r="L705" s="185"/>
      <c r="M705" s="88"/>
      <c r="N705" s="301"/>
      <c r="O705" s="995" t="s">
        <v>857</v>
      </c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  <c r="AR705" s="49"/>
      <c r="AS705" s="49"/>
      <c r="AT705" s="49"/>
      <c r="AU705" s="49"/>
      <c r="AV705" s="49"/>
      <c r="AW705" s="49"/>
      <c r="AX705" s="49"/>
      <c r="AY705" s="49"/>
      <c r="AZ705" s="49"/>
      <c r="BA705" s="49"/>
      <c r="BB705" s="49"/>
      <c r="BC705" s="49"/>
      <c r="BD705" s="49"/>
      <c r="BE705" s="68"/>
    </row>
    <row r="706" spans="1:57" s="51" customFormat="1" ht="12.75" customHeight="1">
      <c r="A706" s="921"/>
      <c r="B706" s="1019"/>
      <c r="C706" s="69"/>
      <c r="D706" s="62">
        <v>2019</v>
      </c>
      <c r="E706" s="63">
        <f>F706+G706+H706+I706+J706</f>
        <v>2.4905999999999997</v>
      </c>
      <c r="F706" s="63">
        <v>0</v>
      </c>
      <c r="G706" s="63">
        <v>0</v>
      </c>
      <c r="H706" s="63">
        <v>2.4655999999999998</v>
      </c>
      <c r="I706" s="63">
        <v>0</v>
      </c>
      <c r="J706" s="63">
        <v>2.5000000000000001E-2</v>
      </c>
      <c r="K706" s="86">
        <f t="shared" si="240"/>
        <v>2.4905999999999997</v>
      </c>
      <c r="L706" s="185"/>
      <c r="M706" s="88"/>
      <c r="N706" s="301"/>
      <c r="O706" s="1030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  <c r="AR706" s="49"/>
      <c r="AS706" s="49"/>
      <c r="AT706" s="49"/>
      <c r="AU706" s="49"/>
      <c r="AV706" s="49"/>
      <c r="AW706" s="49"/>
      <c r="AX706" s="49"/>
      <c r="AY706" s="49"/>
      <c r="AZ706" s="49"/>
      <c r="BA706" s="49"/>
      <c r="BB706" s="49"/>
      <c r="BC706" s="49"/>
      <c r="BD706" s="49"/>
      <c r="BE706" s="68"/>
    </row>
    <row r="707" spans="1:57" s="51" customFormat="1">
      <c r="A707" s="921"/>
      <c r="B707" s="1019"/>
      <c r="C707" s="69"/>
      <c r="D707" s="62">
        <v>2020</v>
      </c>
      <c r="E707" s="63">
        <f>F707+G707+H707+I707+J707</f>
        <v>1.6603999999999999</v>
      </c>
      <c r="F707" s="63">
        <v>0</v>
      </c>
      <c r="G707" s="63">
        <v>0</v>
      </c>
      <c r="H707" s="63">
        <v>1.6437999999999999</v>
      </c>
      <c r="I707" s="63">
        <v>0</v>
      </c>
      <c r="J707" s="320">
        <v>1.66E-2</v>
      </c>
      <c r="K707" s="86">
        <f t="shared" si="240"/>
        <v>1.6603999999999999</v>
      </c>
      <c r="L707" s="185"/>
      <c r="M707" s="88"/>
      <c r="N707" s="301"/>
      <c r="O707" s="1030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49"/>
      <c r="AU707" s="49"/>
      <c r="AV707" s="49"/>
      <c r="AW707" s="49"/>
      <c r="AX707" s="49"/>
      <c r="AY707" s="49"/>
      <c r="AZ707" s="49"/>
      <c r="BA707" s="49"/>
      <c r="BB707" s="49"/>
      <c r="BC707" s="49"/>
      <c r="BD707" s="49"/>
      <c r="BE707" s="68"/>
    </row>
    <row r="708" spans="1:57" s="51" customFormat="1" ht="18.75" customHeight="1">
      <c r="A708" s="921" t="s">
        <v>858</v>
      </c>
      <c r="B708" s="881" t="s">
        <v>859</v>
      </c>
      <c r="C708" s="69"/>
      <c r="D708" s="84" t="s">
        <v>16</v>
      </c>
      <c r="E708" s="63">
        <f t="shared" ref="E708:J708" si="261">E709</f>
        <v>3587.2869999999998</v>
      </c>
      <c r="F708" s="63">
        <f t="shared" si="261"/>
        <v>0</v>
      </c>
      <c r="G708" s="63">
        <f t="shared" si="261"/>
        <v>0</v>
      </c>
      <c r="H708" s="63">
        <f t="shared" si="261"/>
        <v>3583.7</v>
      </c>
      <c r="I708" s="63">
        <f t="shared" si="261"/>
        <v>0</v>
      </c>
      <c r="J708" s="63">
        <f t="shared" si="261"/>
        <v>3.5870000000000002</v>
      </c>
      <c r="K708" s="86">
        <f t="shared" si="240"/>
        <v>3587.2869999999998</v>
      </c>
      <c r="L708" s="185"/>
      <c r="M708" s="88"/>
      <c r="N708" s="301"/>
      <c r="O708" s="1030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  <c r="AR708" s="49"/>
      <c r="AS708" s="49"/>
      <c r="AT708" s="49"/>
      <c r="AU708" s="49"/>
      <c r="AV708" s="49"/>
      <c r="AW708" s="49"/>
      <c r="AX708" s="49"/>
      <c r="AY708" s="49"/>
      <c r="AZ708" s="49"/>
      <c r="BA708" s="49"/>
      <c r="BB708" s="49"/>
      <c r="BC708" s="49"/>
      <c r="BD708" s="49"/>
      <c r="BE708" s="68"/>
    </row>
    <row r="709" spans="1:57" s="51" customFormat="1" ht="32.25" customHeight="1">
      <c r="A709" s="921"/>
      <c r="B709" s="964"/>
      <c r="C709" s="69"/>
      <c r="D709" s="62">
        <v>2019</v>
      </c>
      <c r="E709" s="63">
        <f>F709+G709+H709+I709+J709</f>
        <v>3587.2869999999998</v>
      </c>
      <c r="F709" s="63">
        <v>0</v>
      </c>
      <c r="G709" s="63">
        <v>0</v>
      </c>
      <c r="H709" s="63">
        <v>3583.7</v>
      </c>
      <c r="I709" s="63">
        <v>0</v>
      </c>
      <c r="J709" s="63">
        <v>3.5870000000000002</v>
      </c>
      <c r="K709" s="86">
        <f t="shared" si="240"/>
        <v>3587.2869999999998</v>
      </c>
      <c r="L709" s="185"/>
      <c r="M709" s="88"/>
      <c r="N709" s="301"/>
      <c r="O709" s="996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  <c r="AR709" s="49"/>
      <c r="AS709" s="49"/>
      <c r="AT709" s="49"/>
      <c r="AU709" s="49"/>
      <c r="AV709" s="49"/>
      <c r="AW709" s="49"/>
      <c r="AX709" s="49"/>
      <c r="AY709" s="49"/>
      <c r="AZ709" s="49"/>
      <c r="BA709" s="49"/>
      <c r="BB709" s="49"/>
      <c r="BC709" s="49"/>
      <c r="BD709" s="49"/>
      <c r="BE709" s="68"/>
    </row>
    <row r="710" spans="1:57" s="51" customFormat="1" ht="39" customHeight="1">
      <c r="A710" s="794" t="s">
        <v>860</v>
      </c>
      <c r="B710" s="881" t="s">
        <v>861</v>
      </c>
      <c r="C710" s="69"/>
      <c r="D710" s="84" t="s">
        <v>16</v>
      </c>
      <c r="E710" s="63">
        <f t="shared" ref="E710:J710" si="262">E711+E712+E713</f>
        <v>61.373000000000005</v>
      </c>
      <c r="F710" s="63">
        <f t="shared" si="262"/>
        <v>0</v>
      </c>
      <c r="G710" s="63">
        <f t="shared" si="262"/>
        <v>0</v>
      </c>
      <c r="H710" s="63">
        <f t="shared" si="262"/>
        <v>61.312000000000005</v>
      </c>
      <c r="I710" s="63">
        <f t="shared" si="262"/>
        <v>0</v>
      </c>
      <c r="J710" s="63">
        <f t="shared" si="262"/>
        <v>6.0999999999999999E-2</v>
      </c>
      <c r="K710" s="86">
        <f t="shared" si="240"/>
        <v>61.373000000000005</v>
      </c>
      <c r="L710" s="185"/>
      <c r="M710" s="88"/>
      <c r="N710" s="301"/>
      <c r="O710" s="314" t="s">
        <v>862</v>
      </c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  <c r="AR710" s="49"/>
      <c r="AS710" s="49"/>
      <c r="AT710" s="49"/>
      <c r="AU710" s="49"/>
      <c r="AV710" s="49"/>
      <c r="AW710" s="49"/>
      <c r="AX710" s="49"/>
      <c r="AY710" s="49"/>
      <c r="AZ710" s="49"/>
      <c r="BA710" s="49"/>
      <c r="BB710" s="49"/>
      <c r="BC710" s="49"/>
      <c r="BD710" s="49"/>
      <c r="BE710" s="68"/>
    </row>
    <row r="711" spans="1:57" s="51" customFormat="1">
      <c r="A711" s="795"/>
      <c r="B711" s="882"/>
      <c r="C711" s="69"/>
      <c r="D711" s="62">
        <v>2020</v>
      </c>
      <c r="E711" s="63">
        <f>F711+G711+H711+I711+J711</f>
        <v>31.966000000000001</v>
      </c>
      <c r="F711" s="63">
        <v>0</v>
      </c>
      <c r="G711" s="63">
        <v>0</v>
      </c>
      <c r="H711" s="63">
        <v>31.934000000000001</v>
      </c>
      <c r="I711" s="63">
        <v>0</v>
      </c>
      <c r="J711" s="63">
        <v>3.2000000000000001E-2</v>
      </c>
      <c r="K711" s="86">
        <f t="shared" si="240"/>
        <v>31.966000000000001</v>
      </c>
      <c r="L711" s="185"/>
      <c r="M711" s="88"/>
      <c r="N711" s="301"/>
      <c r="O711" s="314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  <c r="AR711" s="49"/>
      <c r="AS711" s="49"/>
      <c r="AT711" s="49"/>
      <c r="AU711" s="49"/>
      <c r="AV711" s="49"/>
      <c r="AW711" s="49"/>
      <c r="AX711" s="49"/>
      <c r="AY711" s="49"/>
      <c r="AZ711" s="49"/>
      <c r="BA711" s="49"/>
      <c r="BB711" s="49"/>
      <c r="BC711" s="49"/>
      <c r="BD711" s="49"/>
      <c r="BE711" s="68"/>
    </row>
    <row r="712" spans="1:57" s="51" customFormat="1">
      <c r="A712" s="795"/>
      <c r="B712" s="882"/>
      <c r="C712" s="69"/>
      <c r="D712" s="62">
        <v>2021</v>
      </c>
      <c r="E712" s="63">
        <f>F712+G712+H712+I712+J712</f>
        <v>13.425000000000001</v>
      </c>
      <c r="F712" s="63">
        <v>0</v>
      </c>
      <c r="G712" s="63">
        <v>0</v>
      </c>
      <c r="H712" s="63">
        <v>13.412000000000001</v>
      </c>
      <c r="I712" s="63">
        <v>0</v>
      </c>
      <c r="J712" s="63">
        <v>1.2999999999999999E-2</v>
      </c>
      <c r="K712" s="86"/>
      <c r="L712" s="185"/>
      <c r="M712" s="88"/>
      <c r="N712" s="301"/>
      <c r="O712" s="314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  <c r="AR712" s="49"/>
      <c r="AS712" s="49"/>
      <c r="AT712" s="49"/>
      <c r="AU712" s="49"/>
      <c r="AV712" s="49"/>
      <c r="AW712" s="49"/>
      <c r="AX712" s="49"/>
      <c r="AY712" s="49"/>
      <c r="AZ712" s="49"/>
      <c r="BA712" s="49"/>
      <c r="BB712" s="49"/>
      <c r="BC712" s="49"/>
      <c r="BD712" s="49"/>
      <c r="BE712" s="68"/>
    </row>
    <row r="713" spans="1:57" s="51" customFormat="1">
      <c r="A713" s="796"/>
      <c r="B713" s="964"/>
      <c r="C713" s="69"/>
      <c r="D713" s="62">
        <v>2022</v>
      </c>
      <c r="E713" s="63">
        <f>F713+G713+H713+I713+J713</f>
        <v>15.981999999999999</v>
      </c>
      <c r="F713" s="63">
        <v>0</v>
      </c>
      <c r="G713" s="63">
        <v>0</v>
      </c>
      <c r="H713" s="63">
        <v>15.965999999999999</v>
      </c>
      <c r="I713" s="63">
        <v>0</v>
      </c>
      <c r="J713" s="63">
        <v>1.6E-2</v>
      </c>
      <c r="K713" s="86"/>
      <c r="L713" s="185"/>
      <c r="M713" s="88"/>
      <c r="N713" s="301"/>
      <c r="O713" s="314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  <c r="AR713" s="49"/>
      <c r="AS713" s="49"/>
      <c r="AT713" s="49"/>
      <c r="AU713" s="49"/>
      <c r="AV713" s="49"/>
      <c r="AW713" s="49"/>
      <c r="AX713" s="49"/>
      <c r="AY713" s="49"/>
      <c r="AZ713" s="49"/>
      <c r="BA713" s="49"/>
      <c r="BB713" s="49"/>
      <c r="BC713" s="49"/>
      <c r="BD713" s="49"/>
      <c r="BE713" s="68"/>
    </row>
    <row r="714" spans="1:57" s="51" customFormat="1" ht="15" customHeight="1">
      <c r="A714" s="926" t="s">
        <v>863</v>
      </c>
      <c r="B714" s="929" t="s">
        <v>864</v>
      </c>
      <c r="C714" s="317"/>
      <c r="D714" s="84" t="s">
        <v>16</v>
      </c>
      <c r="E714" s="85">
        <f t="shared" ref="E714:J714" si="263">SUM(E715:E726)</f>
        <v>0.94011130231500806</v>
      </c>
      <c r="F714" s="85">
        <f t="shared" si="263"/>
        <v>0.94011130231500806</v>
      </c>
      <c r="G714" s="85">
        <f t="shared" si="263"/>
        <v>0</v>
      </c>
      <c r="H714" s="85">
        <f t="shared" si="263"/>
        <v>0</v>
      </c>
      <c r="I714" s="85">
        <f t="shared" si="263"/>
        <v>0</v>
      </c>
      <c r="J714" s="85">
        <f t="shared" si="263"/>
        <v>0</v>
      </c>
      <c r="K714" s="86">
        <f t="shared" ref="K714:K759" si="264">F714+G714+H714+I714+J714</f>
        <v>0.94011130231500806</v>
      </c>
      <c r="L714" s="185"/>
      <c r="M714" s="88"/>
      <c r="N714" s="301"/>
      <c r="O714" s="31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  <c r="AO714" s="49"/>
      <c r="AP714" s="49"/>
      <c r="AQ714" s="49"/>
      <c r="AR714" s="49"/>
      <c r="AS714" s="49"/>
      <c r="AT714" s="49"/>
      <c r="AU714" s="49"/>
      <c r="AV714" s="49"/>
      <c r="AW714" s="49"/>
      <c r="AX714" s="49"/>
      <c r="AY714" s="49"/>
      <c r="AZ714" s="49"/>
      <c r="BA714" s="49"/>
      <c r="BB714" s="49"/>
      <c r="BC714" s="49"/>
      <c r="BD714" s="49"/>
      <c r="BE714" s="68"/>
    </row>
    <row r="715" spans="1:57" s="51" customFormat="1" ht="15" customHeight="1">
      <c r="A715" s="927"/>
      <c r="B715" s="868"/>
      <c r="C715" s="94"/>
      <c r="D715" s="84">
        <v>2019</v>
      </c>
      <c r="E715" s="85">
        <f t="shared" ref="E715:J715" si="265">E728+E741+E742</f>
        <v>2.0999999999999998E-2</v>
      </c>
      <c r="F715" s="85">
        <f t="shared" si="265"/>
        <v>2.0999999999999998E-2</v>
      </c>
      <c r="G715" s="85">
        <f t="shared" si="265"/>
        <v>0</v>
      </c>
      <c r="H715" s="85">
        <f t="shared" si="265"/>
        <v>0</v>
      </c>
      <c r="I715" s="85">
        <f t="shared" si="265"/>
        <v>0</v>
      </c>
      <c r="J715" s="85">
        <f t="shared" si="265"/>
        <v>0</v>
      </c>
      <c r="K715" s="86">
        <f t="shared" si="264"/>
        <v>2.0999999999999998E-2</v>
      </c>
      <c r="L715" s="185"/>
      <c r="M715" s="88"/>
      <c r="N715" s="301"/>
      <c r="O715" s="31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  <c r="AO715" s="49"/>
      <c r="AP715" s="49"/>
      <c r="AQ715" s="49"/>
      <c r="AR715" s="49"/>
      <c r="AS715" s="49"/>
      <c r="AT715" s="49"/>
      <c r="AU715" s="49"/>
      <c r="AV715" s="49"/>
      <c r="AW715" s="49"/>
      <c r="AX715" s="49"/>
      <c r="AY715" s="49"/>
      <c r="AZ715" s="49"/>
      <c r="BA715" s="49"/>
      <c r="BB715" s="49"/>
      <c r="BC715" s="49"/>
      <c r="BD715" s="49"/>
      <c r="BE715" s="68"/>
    </row>
    <row r="716" spans="1:57" s="219" customFormat="1" ht="15" customHeight="1">
      <c r="A716" s="927"/>
      <c r="B716" s="868"/>
      <c r="C716" s="387"/>
      <c r="D716" s="193">
        <v>2020</v>
      </c>
      <c r="E716" s="194">
        <f t="shared" ref="E716:E726" si="266">F716</f>
        <v>5.5E-2</v>
      </c>
      <c r="F716" s="194">
        <f t="shared" ref="F716:F726" si="267">F729+F744</f>
        <v>5.5E-2</v>
      </c>
      <c r="G716" s="194">
        <v>0</v>
      </c>
      <c r="H716" s="194">
        <v>0</v>
      </c>
      <c r="I716" s="194">
        <v>0</v>
      </c>
      <c r="J716" s="194">
        <v>0</v>
      </c>
      <c r="K716" s="129">
        <f t="shared" si="264"/>
        <v>5.5E-2</v>
      </c>
      <c r="L716" s="371"/>
      <c r="M716" s="220"/>
      <c r="N716" s="303"/>
      <c r="O716" s="388"/>
      <c r="P716" s="221"/>
      <c r="Q716" s="221"/>
      <c r="R716" s="221"/>
      <c r="S716" s="221"/>
      <c r="T716" s="221"/>
      <c r="U716" s="221"/>
      <c r="V716" s="221"/>
      <c r="W716" s="221"/>
      <c r="X716" s="221"/>
      <c r="Y716" s="221"/>
      <c r="Z716" s="221"/>
      <c r="AA716" s="221"/>
      <c r="AB716" s="221"/>
      <c r="AC716" s="221"/>
      <c r="AD716" s="221"/>
      <c r="AE716" s="221"/>
      <c r="AF716" s="221"/>
      <c r="AG716" s="221"/>
      <c r="AH716" s="221"/>
      <c r="AI716" s="221"/>
      <c r="AJ716" s="221"/>
      <c r="AK716" s="221"/>
      <c r="AL716" s="221"/>
      <c r="AM716" s="221"/>
      <c r="AN716" s="221"/>
      <c r="AO716" s="221"/>
      <c r="AP716" s="221"/>
      <c r="AQ716" s="221"/>
      <c r="AR716" s="221"/>
      <c r="AS716" s="221"/>
      <c r="AT716" s="221"/>
      <c r="AU716" s="221"/>
      <c r="AV716" s="221"/>
      <c r="AW716" s="221"/>
      <c r="AX716" s="221"/>
      <c r="AY716" s="221"/>
      <c r="AZ716" s="221"/>
      <c r="BA716" s="221"/>
      <c r="BB716" s="221"/>
      <c r="BC716" s="221"/>
      <c r="BD716" s="221"/>
      <c r="BE716" s="222"/>
    </row>
    <row r="717" spans="1:57" s="219" customFormat="1" ht="15" customHeight="1">
      <c r="A717" s="927"/>
      <c r="B717" s="868"/>
      <c r="C717" s="372"/>
      <c r="D717" s="193">
        <v>2021</v>
      </c>
      <c r="E717" s="194">
        <f t="shared" si="266"/>
        <v>5.62E-2</v>
      </c>
      <c r="F717" s="194">
        <f t="shared" si="267"/>
        <v>5.62E-2</v>
      </c>
      <c r="G717" s="194">
        <v>0</v>
      </c>
      <c r="H717" s="194">
        <v>0</v>
      </c>
      <c r="I717" s="194">
        <v>0</v>
      </c>
      <c r="J717" s="194">
        <v>0</v>
      </c>
      <c r="K717" s="129">
        <f t="shared" si="264"/>
        <v>5.62E-2</v>
      </c>
      <c r="L717" s="371"/>
      <c r="M717" s="220"/>
      <c r="N717" s="303"/>
      <c r="O717" s="388"/>
      <c r="P717" s="221"/>
      <c r="Q717" s="221"/>
      <c r="R717" s="221"/>
      <c r="S717" s="221"/>
      <c r="T717" s="221"/>
      <c r="U717" s="221"/>
      <c r="V717" s="221"/>
      <c r="W717" s="221"/>
      <c r="X717" s="221"/>
      <c r="Y717" s="221"/>
      <c r="Z717" s="221"/>
      <c r="AA717" s="221"/>
      <c r="AB717" s="221"/>
      <c r="AC717" s="221"/>
      <c r="AD717" s="221"/>
      <c r="AE717" s="221"/>
      <c r="AF717" s="221"/>
      <c r="AG717" s="221"/>
      <c r="AH717" s="221"/>
      <c r="AI717" s="221"/>
      <c r="AJ717" s="221"/>
      <c r="AK717" s="221"/>
      <c r="AL717" s="221"/>
      <c r="AM717" s="221"/>
      <c r="AN717" s="221"/>
      <c r="AO717" s="221"/>
      <c r="AP717" s="221"/>
      <c r="AQ717" s="221"/>
      <c r="AR717" s="221"/>
      <c r="AS717" s="221"/>
      <c r="AT717" s="221"/>
      <c r="AU717" s="221"/>
      <c r="AV717" s="221"/>
      <c r="AW717" s="221"/>
      <c r="AX717" s="221"/>
      <c r="AY717" s="221"/>
      <c r="AZ717" s="221"/>
      <c r="BA717" s="221"/>
      <c r="BB717" s="221"/>
      <c r="BC717" s="221"/>
      <c r="BD717" s="221"/>
      <c r="BE717" s="222"/>
    </row>
    <row r="718" spans="1:57" s="219" customFormat="1" ht="15" customHeight="1">
      <c r="A718" s="927"/>
      <c r="B718" s="868"/>
      <c r="C718" s="372"/>
      <c r="D718" s="193">
        <v>2022</v>
      </c>
      <c r="E718" s="194">
        <f t="shared" si="266"/>
        <v>5.7459999999999997E-2</v>
      </c>
      <c r="F718" s="194">
        <f t="shared" si="267"/>
        <v>5.7459999999999997E-2</v>
      </c>
      <c r="G718" s="194">
        <v>0</v>
      </c>
      <c r="H718" s="194">
        <v>0</v>
      </c>
      <c r="I718" s="194">
        <v>0</v>
      </c>
      <c r="J718" s="194">
        <v>0</v>
      </c>
      <c r="K718" s="129">
        <f t="shared" si="264"/>
        <v>5.7459999999999997E-2</v>
      </c>
      <c r="L718" s="371"/>
      <c r="M718" s="220"/>
      <c r="N718" s="303"/>
      <c r="O718" s="388"/>
      <c r="P718" s="221"/>
      <c r="Q718" s="221"/>
      <c r="R718" s="221"/>
      <c r="S718" s="221"/>
      <c r="T718" s="221"/>
      <c r="U718" s="221"/>
      <c r="V718" s="221"/>
      <c r="W718" s="221"/>
      <c r="X718" s="221"/>
      <c r="Y718" s="221"/>
      <c r="Z718" s="221"/>
      <c r="AA718" s="221"/>
      <c r="AB718" s="221"/>
      <c r="AC718" s="221"/>
      <c r="AD718" s="221"/>
      <c r="AE718" s="221"/>
      <c r="AF718" s="221"/>
      <c r="AG718" s="221"/>
      <c r="AH718" s="221"/>
      <c r="AI718" s="221"/>
      <c r="AJ718" s="221"/>
      <c r="AK718" s="221"/>
      <c r="AL718" s="221"/>
      <c r="AM718" s="221"/>
      <c r="AN718" s="221"/>
      <c r="AO718" s="221"/>
      <c r="AP718" s="221"/>
      <c r="AQ718" s="221"/>
      <c r="AR718" s="221"/>
      <c r="AS718" s="221"/>
      <c r="AT718" s="221"/>
      <c r="AU718" s="221"/>
      <c r="AV718" s="221"/>
      <c r="AW718" s="221"/>
      <c r="AX718" s="221"/>
      <c r="AY718" s="221"/>
      <c r="AZ718" s="221"/>
      <c r="BA718" s="221"/>
      <c r="BB718" s="221"/>
      <c r="BC718" s="221"/>
      <c r="BD718" s="221"/>
      <c r="BE718" s="222"/>
    </row>
    <row r="719" spans="1:57" s="51" customFormat="1" ht="15" customHeight="1">
      <c r="A719" s="927"/>
      <c r="B719" s="868"/>
      <c r="C719" s="94"/>
      <c r="D719" s="84">
        <v>2023</v>
      </c>
      <c r="E719" s="85">
        <f t="shared" si="266"/>
        <v>8.5000000000000006E-2</v>
      </c>
      <c r="F719" s="85">
        <f t="shared" si="267"/>
        <v>8.5000000000000006E-2</v>
      </c>
      <c r="G719" s="85">
        <v>0</v>
      </c>
      <c r="H719" s="85">
        <v>0</v>
      </c>
      <c r="I719" s="85">
        <v>0</v>
      </c>
      <c r="J719" s="85">
        <v>0</v>
      </c>
      <c r="K719" s="86">
        <f t="shared" si="264"/>
        <v>8.5000000000000006E-2</v>
      </c>
      <c r="L719" s="185"/>
      <c r="M719" s="88"/>
      <c r="N719" s="301"/>
      <c r="O719" s="31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  <c r="AO719" s="49"/>
      <c r="AP719" s="49"/>
      <c r="AQ719" s="49"/>
      <c r="AR719" s="49"/>
      <c r="AS719" s="49"/>
      <c r="AT719" s="49"/>
      <c r="AU719" s="49"/>
      <c r="AV719" s="49"/>
      <c r="AW719" s="49"/>
      <c r="AX719" s="49"/>
      <c r="AY719" s="49"/>
      <c r="AZ719" s="49"/>
      <c r="BA719" s="49"/>
      <c r="BB719" s="49"/>
      <c r="BC719" s="49"/>
      <c r="BD719" s="49"/>
      <c r="BE719" s="68"/>
    </row>
    <row r="720" spans="1:57" s="51" customFormat="1" ht="15" customHeight="1">
      <c r="A720" s="927"/>
      <c r="B720" s="868"/>
      <c r="C720" s="94"/>
      <c r="D720" s="84">
        <v>2024</v>
      </c>
      <c r="E720" s="85">
        <f t="shared" si="266"/>
        <v>8.6800000000000002E-2</v>
      </c>
      <c r="F720" s="85">
        <f t="shared" si="267"/>
        <v>8.6800000000000002E-2</v>
      </c>
      <c r="G720" s="85">
        <v>0</v>
      </c>
      <c r="H720" s="85">
        <v>0</v>
      </c>
      <c r="I720" s="85">
        <v>0</v>
      </c>
      <c r="J720" s="85">
        <v>0</v>
      </c>
      <c r="K720" s="86">
        <f t="shared" si="264"/>
        <v>8.6800000000000002E-2</v>
      </c>
      <c r="L720" s="185"/>
      <c r="M720" s="88"/>
      <c r="N720" s="301"/>
      <c r="O720" s="31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49"/>
      <c r="AU720" s="49"/>
      <c r="AV720" s="49"/>
      <c r="AW720" s="49"/>
      <c r="AX720" s="49"/>
      <c r="AY720" s="49"/>
      <c r="AZ720" s="49"/>
      <c r="BA720" s="49"/>
      <c r="BB720" s="49"/>
      <c r="BC720" s="49"/>
      <c r="BD720" s="49"/>
      <c r="BE720" s="68"/>
    </row>
    <row r="721" spans="1:57" s="51" customFormat="1" ht="15" customHeight="1">
      <c r="A721" s="927"/>
      <c r="B721" s="868"/>
      <c r="C721" s="94"/>
      <c r="D721" s="84">
        <v>2025</v>
      </c>
      <c r="E721" s="85">
        <f t="shared" si="266"/>
        <v>8.8669999999999999E-2</v>
      </c>
      <c r="F721" s="85">
        <f t="shared" si="267"/>
        <v>8.8669999999999999E-2</v>
      </c>
      <c r="G721" s="85">
        <v>0</v>
      </c>
      <c r="H721" s="85">
        <v>0</v>
      </c>
      <c r="I721" s="85">
        <v>0</v>
      </c>
      <c r="J721" s="85">
        <v>0</v>
      </c>
      <c r="K721" s="86">
        <f t="shared" si="264"/>
        <v>8.8669999999999999E-2</v>
      </c>
      <c r="L721" s="185"/>
      <c r="M721" s="88"/>
      <c r="N721" s="301"/>
      <c r="O721" s="31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  <c r="AR721" s="49"/>
      <c r="AS721" s="49"/>
      <c r="AT721" s="49"/>
      <c r="AU721" s="49"/>
      <c r="AV721" s="49"/>
      <c r="AW721" s="49"/>
      <c r="AX721" s="49"/>
      <c r="AY721" s="49"/>
      <c r="AZ721" s="49"/>
      <c r="BA721" s="49"/>
      <c r="BB721" s="49"/>
      <c r="BC721" s="49"/>
      <c r="BD721" s="49"/>
      <c r="BE721" s="68"/>
    </row>
    <row r="722" spans="1:57" s="51" customFormat="1" ht="15" customHeight="1">
      <c r="A722" s="927"/>
      <c r="B722" s="868"/>
      <c r="C722" s="94"/>
      <c r="D722" s="84">
        <v>2026</v>
      </c>
      <c r="E722" s="85">
        <f t="shared" si="266"/>
        <v>9.1616799999999998E-2</v>
      </c>
      <c r="F722" s="85">
        <f t="shared" si="267"/>
        <v>9.1616799999999998E-2</v>
      </c>
      <c r="G722" s="85">
        <v>0</v>
      </c>
      <c r="H722" s="85">
        <v>0</v>
      </c>
      <c r="I722" s="85">
        <v>0</v>
      </c>
      <c r="J722" s="85">
        <v>0</v>
      </c>
      <c r="K722" s="86">
        <f t="shared" si="264"/>
        <v>9.1616799999999998E-2</v>
      </c>
      <c r="L722" s="185"/>
      <c r="M722" s="88"/>
      <c r="N722" s="301"/>
      <c r="O722" s="31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  <c r="AR722" s="49"/>
      <c r="AS722" s="49"/>
      <c r="AT722" s="49"/>
      <c r="AU722" s="49"/>
      <c r="AV722" s="49"/>
      <c r="AW722" s="49"/>
      <c r="AX722" s="49"/>
      <c r="AY722" s="49"/>
      <c r="AZ722" s="49"/>
      <c r="BA722" s="49"/>
      <c r="BB722" s="49"/>
      <c r="BC722" s="49"/>
      <c r="BD722" s="49"/>
      <c r="BE722" s="68"/>
    </row>
    <row r="723" spans="1:57" s="51" customFormat="1" ht="15" customHeight="1">
      <c r="A723" s="927"/>
      <c r="B723" s="868"/>
      <c r="C723" s="94"/>
      <c r="D723" s="84">
        <v>2027</v>
      </c>
      <c r="E723" s="85">
        <f t="shared" si="266"/>
        <v>9.4681472000000003E-2</v>
      </c>
      <c r="F723" s="85">
        <f t="shared" si="267"/>
        <v>9.4681472000000003E-2</v>
      </c>
      <c r="G723" s="85">
        <v>0</v>
      </c>
      <c r="H723" s="85">
        <v>0</v>
      </c>
      <c r="I723" s="85">
        <v>0</v>
      </c>
      <c r="J723" s="85">
        <v>0</v>
      </c>
      <c r="K723" s="86">
        <f t="shared" si="264"/>
        <v>9.4681472000000003E-2</v>
      </c>
      <c r="L723" s="185"/>
      <c r="M723" s="88"/>
      <c r="N723" s="301"/>
      <c r="O723" s="31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  <c r="AR723" s="49"/>
      <c r="AS723" s="49"/>
      <c r="AT723" s="49"/>
      <c r="AU723" s="49"/>
      <c r="AV723" s="49"/>
      <c r="AW723" s="49"/>
      <c r="AX723" s="49"/>
      <c r="AY723" s="49"/>
      <c r="AZ723" s="49"/>
      <c r="BA723" s="49"/>
      <c r="BB723" s="49"/>
      <c r="BC723" s="49"/>
      <c r="BD723" s="49"/>
      <c r="BE723" s="68"/>
    </row>
    <row r="724" spans="1:57" s="51" customFormat="1" ht="15" customHeight="1">
      <c r="A724" s="927"/>
      <c r="B724" s="868"/>
      <c r="C724" s="94"/>
      <c r="D724" s="84">
        <v>2028</v>
      </c>
      <c r="E724" s="85">
        <f t="shared" si="266"/>
        <v>9.7868730880000004E-2</v>
      </c>
      <c r="F724" s="85">
        <f t="shared" si="267"/>
        <v>9.7868730880000004E-2</v>
      </c>
      <c r="G724" s="85">
        <v>0</v>
      </c>
      <c r="H724" s="85">
        <v>0</v>
      </c>
      <c r="I724" s="85">
        <v>0</v>
      </c>
      <c r="J724" s="85">
        <v>0</v>
      </c>
      <c r="K724" s="86">
        <f t="shared" si="264"/>
        <v>9.7868730880000004E-2</v>
      </c>
      <c r="L724" s="185"/>
      <c r="M724" s="88"/>
      <c r="N724" s="301"/>
      <c r="O724" s="31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  <c r="AR724" s="49"/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68"/>
    </row>
    <row r="725" spans="1:57" s="51" customFormat="1" ht="15" customHeight="1">
      <c r="A725" s="927"/>
      <c r="B725" s="868"/>
      <c r="C725" s="94"/>
      <c r="D725" s="84">
        <v>2029</v>
      </c>
      <c r="E725" s="85">
        <f t="shared" si="266"/>
        <v>0.10118348011520001</v>
      </c>
      <c r="F725" s="85">
        <f t="shared" si="267"/>
        <v>0.10118348011520001</v>
      </c>
      <c r="G725" s="85">
        <v>0</v>
      </c>
      <c r="H725" s="85">
        <v>0</v>
      </c>
      <c r="I725" s="85">
        <v>0</v>
      </c>
      <c r="J725" s="85">
        <v>0</v>
      </c>
      <c r="K725" s="86">
        <f t="shared" si="264"/>
        <v>0.10118348011520001</v>
      </c>
      <c r="L725" s="185"/>
      <c r="M725" s="88"/>
      <c r="N725" s="301"/>
      <c r="O725" s="31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  <c r="AR725" s="49"/>
      <c r="AS725" s="49"/>
      <c r="AT725" s="49"/>
      <c r="AU725" s="49"/>
      <c r="AV725" s="49"/>
      <c r="AW725" s="49"/>
      <c r="AX725" s="49"/>
      <c r="AY725" s="49"/>
      <c r="AZ725" s="49"/>
      <c r="BA725" s="49"/>
      <c r="BB725" s="49"/>
      <c r="BC725" s="49"/>
      <c r="BD725" s="49"/>
      <c r="BE725" s="68"/>
    </row>
    <row r="726" spans="1:57" s="51" customFormat="1" ht="15" customHeight="1">
      <c r="A726" s="927"/>
      <c r="B726" s="869"/>
      <c r="C726" s="94"/>
      <c r="D726" s="84">
        <v>2030</v>
      </c>
      <c r="E726" s="85">
        <f t="shared" si="266"/>
        <v>0.10463081931980801</v>
      </c>
      <c r="F726" s="85">
        <f t="shared" si="267"/>
        <v>0.10463081931980801</v>
      </c>
      <c r="G726" s="85">
        <v>0</v>
      </c>
      <c r="H726" s="85">
        <v>0</v>
      </c>
      <c r="I726" s="85">
        <v>0</v>
      </c>
      <c r="J726" s="85">
        <v>0</v>
      </c>
      <c r="K726" s="86">
        <f t="shared" si="264"/>
        <v>0.10463081931980801</v>
      </c>
      <c r="L726" s="185"/>
      <c r="M726" s="88"/>
      <c r="N726" s="301"/>
      <c r="O726" s="31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68"/>
    </row>
    <row r="727" spans="1:57" s="51" customFormat="1">
      <c r="A727" s="900" t="s">
        <v>865</v>
      </c>
      <c r="B727" s="872" t="s">
        <v>866</v>
      </c>
      <c r="D727" s="84" t="s">
        <v>16</v>
      </c>
      <c r="E727" s="85">
        <f t="shared" ref="E727:J727" si="268">SUM(E728:E739)</f>
        <v>0.16122000000000003</v>
      </c>
      <c r="F727" s="85">
        <f t="shared" si="268"/>
        <v>0.16122000000000003</v>
      </c>
      <c r="G727" s="85">
        <f t="shared" si="268"/>
        <v>0</v>
      </c>
      <c r="H727" s="85">
        <f t="shared" si="268"/>
        <v>0</v>
      </c>
      <c r="I727" s="85">
        <f t="shared" si="268"/>
        <v>0</v>
      </c>
      <c r="J727" s="85">
        <f t="shared" si="268"/>
        <v>0</v>
      </c>
      <c r="K727" s="86">
        <f t="shared" si="264"/>
        <v>0.16122000000000003</v>
      </c>
      <c r="L727" s="185"/>
      <c r="M727" s="88"/>
      <c r="N727" s="301"/>
      <c r="O727" s="31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  <c r="AT727" s="49"/>
      <c r="AU727" s="49"/>
      <c r="AV727" s="49"/>
      <c r="AW727" s="49"/>
      <c r="AX727" s="49"/>
      <c r="AY727" s="49"/>
      <c r="AZ727" s="49"/>
      <c r="BA727" s="49"/>
      <c r="BB727" s="49"/>
      <c r="BC727" s="49"/>
      <c r="BD727" s="49"/>
      <c r="BE727" s="68"/>
    </row>
    <row r="728" spans="1:57" s="51" customFormat="1" ht="77.25" customHeight="1">
      <c r="A728" s="834"/>
      <c r="B728" s="868"/>
      <c r="C728" s="60" t="s">
        <v>867</v>
      </c>
      <c r="D728" s="62">
        <v>2019</v>
      </c>
      <c r="E728" s="63">
        <f t="shared" ref="E728:E739" si="269">F728</f>
        <v>0.01</v>
      </c>
      <c r="F728" s="63">
        <v>0.01</v>
      </c>
      <c r="G728" s="63">
        <v>0</v>
      </c>
      <c r="H728" s="63">
        <v>0</v>
      </c>
      <c r="I728" s="63">
        <v>0</v>
      </c>
      <c r="J728" s="63">
        <v>0</v>
      </c>
      <c r="K728" s="86">
        <f t="shared" si="264"/>
        <v>0.01</v>
      </c>
      <c r="L728" s="185"/>
      <c r="M728" s="88"/>
      <c r="N728" s="301"/>
      <c r="O728" s="858" t="s">
        <v>352</v>
      </c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49"/>
      <c r="AT728" s="49"/>
      <c r="AU728" s="49"/>
      <c r="AV728" s="49"/>
      <c r="AW728" s="49"/>
      <c r="AX728" s="49"/>
      <c r="AY728" s="49"/>
      <c r="AZ728" s="49"/>
      <c r="BA728" s="49"/>
      <c r="BB728" s="49"/>
      <c r="BC728" s="49"/>
      <c r="BD728" s="49"/>
      <c r="BE728" s="68"/>
    </row>
    <row r="729" spans="1:57" s="219" customFormat="1" ht="22.5" customHeight="1">
      <c r="A729" s="834"/>
      <c r="B729" s="868"/>
      <c r="C729" s="867" t="s">
        <v>868</v>
      </c>
      <c r="D729" s="197">
        <v>2020</v>
      </c>
      <c r="E729" s="198">
        <f t="shared" si="269"/>
        <v>0.01</v>
      </c>
      <c r="F729" s="198">
        <v>0.01</v>
      </c>
      <c r="G729" s="198">
        <v>0</v>
      </c>
      <c r="H729" s="198">
        <v>0</v>
      </c>
      <c r="I729" s="198">
        <v>0</v>
      </c>
      <c r="J729" s="198">
        <v>0</v>
      </c>
      <c r="K729" s="129">
        <f t="shared" si="264"/>
        <v>0.01</v>
      </c>
      <c r="L729" s="371"/>
      <c r="M729" s="220"/>
      <c r="N729" s="303"/>
      <c r="O729" s="871"/>
      <c r="P729" s="221"/>
      <c r="Q729" s="221"/>
      <c r="R729" s="221"/>
      <c r="S729" s="221"/>
      <c r="T729" s="221"/>
      <c r="U729" s="221"/>
      <c r="V729" s="221"/>
      <c r="W729" s="221"/>
      <c r="X729" s="221"/>
      <c r="Y729" s="221"/>
      <c r="Z729" s="221"/>
      <c r="AA729" s="221"/>
      <c r="AB729" s="221"/>
      <c r="AC729" s="221"/>
      <c r="AD729" s="221"/>
      <c r="AE729" s="221"/>
      <c r="AF729" s="221"/>
      <c r="AG729" s="221"/>
      <c r="AH729" s="221"/>
      <c r="AI729" s="221"/>
      <c r="AJ729" s="221"/>
      <c r="AK729" s="221"/>
      <c r="AL729" s="221"/>
      <c r="AM729" s="221"/>
      <c r="AN729" s="221"/>
      <c r="AO729" s="221"/>
      <c r="AP729" s="221"/>
      <c r="AQ729" s="221"/>
      <c r="AR729" s="221"/>
      <c r="AS729" s="221"/>
      <c r="AT729" s="221"/>
      <c r="AU729" s="221"/>
      <c r="AV729" s="221"/>
      <c r="AW729" s="221"/>
      <c r="AX729" s="221"/>
      <c r="AY729" s="221"/>
      <c r="AZ729" s="221"/>
      <c r="BA729" s="221"/>
      <c r="BB729" s="221"/>
      <c r="BC729" s="221"/>
      <c r="BD729" s="221"/>
      <c r="BE729" s="222"/>
    </row>
    <row r="730" spans="1:57" s="219" customFormat="1" ht="22.5" customHeight="1">
      <c r="A730" s="834"/>
      <c r="B730" s="868"/>
      <c r="C730" s="872"/>
      <c r="D730" s="197">
        <v>2021</v>
      </c>
      <c r="E730" s="198">
        <f t="shared" si="269"/>
        <v>1.04E-2</v>
      </c>
      <c r="F730" s="198">
        <v>1.04E-2</v>
      </c>
      <c r="G730" s="198">
        <v>0</v>
      </c>
      <c r="H730" s="198">
        <v>0</v>
      </c>
      <c r="I730" s="198">
        <v>0</v>
      </c>
      <c r="J730" s="198">
        <v>0</v>
      </c>
      <c r="K730" s="129">
        <f t="shared" si="264"/>
        <v>1.04E-2</v>
      </c>
      <c r="L730" s="371"/>
      <c r="M730" s="220"/>
      <c r="N730" s="303"/>
      <c r="O730" s="871"/>
      <c r="P730" s="221"/>
      <c r="Q730" s="221"/>
      <c r="R730" s="221"/>
      <c r="S730" s="221"/>
      <c r="T730" s="221"/>
      <c r="U730" s="221"/>
      <c r="V730" s="221"/>
      <c r="W730" s="221"/>
      <c r="X730" s="221"/>
      <c r="Y730" s="221"/>
      <c r="Z730" s="221"/>
      <c r="AA730" s="221"/>
      <c r="AB730" s="221"/>
      <c r="AC730" s="221"/>
      <c r="AD730" s="221"/>
      <c r="AE730" s="221"/>
      <c r="AF730" s="221"/>
      <c r="AG730" s="221"/>
      <c r="AH730" s="221"/>
      <c r="AI730" s="221"/>
      <c r="AJ730" s="221"/>
      <c r="AK730" s="221"/>
      <c r="AL730" s="221"/>
      <c r="AM730" s="221"/>
      <c r="AN730" s="221"/>
      <c r="AO730" s="221"/>
      <c r="AP730" s="221"/>
      <c r="AQ730" s="221"/>
      <c r="AR730" s="221"/>
      <c r="AS730" s="221"/>
      <c r="AT730" s="221"/>
      <c r="AU730" s="221"/>
      <c r="AV730" s="221"/>
      <c r="AW730" s="221"/>
      <c r="AX730" s="221"/>
      <c r="AY730" s="221"/>
      <c r="AZ730" s="221"/>
      <c r="BA730" s="221"/>
      <c r="BB730" s="221"/>
      <c r="BC730" s="221"/>
      <c r="BD730" s="221"/>
      <c r="BE730" s="222"/>
    </row>
    <row r="731" spans="1:57" s="219" customFormat="1" ht="22.5" customHeight="1">
      <c r="A731" s="834"/>
      <c r="B731" s="868"/>
      <c r="C731" s="872"/>
      <c r="D731" s="197">
        <v>2022</v>
      </c>
      <c r="E731" s="198">
        <f t="shared" si="269"/>
        <v>1.082E-2</v>
      </c>
      <c r="F731" s="198">
        <v>1.082E-2</v>
      </c>
      <c r="G731" s="198">
        <v>0</v>
      </c>
      <c r="H731" s="198">
        <v>0</v>
      </c>
      <c r="I731" s="198">
        <v>0</v>
      </c>
      <c r="J731" s="198">
        <v>0</v>
      </c>
      <c r="K731" s="129">
        <f t="shared" si="264"/>
        <v>1.082E-2</v>
      </c>
      <c r="L731" s="371"/>
      <c r="M731" s="220"/>
      <c r="N731" s="303"/>
      <c r="O731" s="87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  <c r="AA731" s="221"/>
      <c r="AB731" s="221"/>
      <c r="AC731" s="221"/>
      <c r="AD731" s="221"/>
      <c r="AE731" s="221"/>
      <c r="AF731" s="221"/>
      <c r="AG731" s="221"/>
      <c r="AH731" s="221"/>
      <c r="AI731" s="221"/>
      <c r="AJ731" s="221"/>
      <c r="AK731" s="221"/>
      <c r="AL731" s="221"/>
      <c r="AM731" s="221"/>
      <c r="AN731" s="221"/>
      <c r="AO731" s="221"/>
      <c r="AP731" s="221"/>
      <c r="AQ731" s="221"/>
      <c r="AR731" s="221"/>
      <c r="AS731" s="221"/>
      <c r="AT731" s="221"/>
      <c r="AU731" s="221"/>
      <c r="AV731" s="221"/>
      <c r="AW731" s="221"/>
      <c r="AX731" s="221"/>
      <c r="AY731" s="221"/>
      <c r="AZ731" s="221"/>
      <c r="BA731" s="221"/>
      <c r="BB731" s="221"/>
      <c r="BC731" s="221"/>
      <c r="BD731" s="221"/>
      <c r="BE731" s="222"/>
    </row>
    <row r="732" spans="1:57" s="51" customFormat="1" ht="22.5" customHeight="1">
      <c r="A732" s="834"/>
      <c r="B732" s="868"/>
      <c r="C732" s="872"/>
      <c r="D732" s="62">
        <v>2023</v>
      </c>
      <c r="E732" s="63">
        <f t="shared" si="269"/>
        <v>1.4999999999999999E-2</v>
      </c>
      <c r="F732" s="63">
        <v>1.4999999999999999E-2</v>
      </c>
      <c r="G732" s="63">
        <v>0</v>
      </c>
      <c r="H732" s="63">
        <v>0</v>
      </c>
      <c r="I732" s="63">
        <v>0</v>
      </c>
      <c r="J732" s="63">
        <v>0</v>
      </c>
      <c r="K732" s="86">
        <f t="shared" si="264"/>
        <v>1.4999999999999999E-2</v>
      </c>
      <c r="L732" s="185"/>
      <c r="M732" s="88"/>
      <c r="N732" s="301"/>
      <c r="O732" s="871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  <c r="AT732" s="49"/>
      <c r="AU732" s="49"/>
      <c r="AV732" s="49"/>
      <c r="AW732" s="49"/>
      <c r="AX732" s="49"/>
      <c r="AY732" s="49"/>
      <c r="AZ732" s="49"/>
      <c r="BA732" s="49"/>
      <c r="BB732" s="49"/>
      <c r="BC732" s="49"/>
      <c r="BD732" s="49"/>
      <c r="BE732" s="68"/>
    </row>
    <row r="733" spans="1:57" s="51" customFormat="1" ht="22.5" customHeight="1">
      <c r="A733" s="834"/>
      <c r="B733" s="868"/>
      <c r="C733" s="872"/>
      <c r="D733" s="62">
        <v>2024</v>
      </c>
      <c r="E733" s="63">
        <f t="shared" si="269"/>
        <v>1.4999999999999999E-2</v>
      </c>
      <c r="F733" s="63">
        <v>1.4999999999999999E-2</v>
      </c>
      <c r="G733" s="63">
        <v>0</v>
      </c>
      <c r="H733" s="63">
        <v>0</v>
      </c>
      <c r="I733" s="63">
        <v>0</v>
      </c>
      <c r="J733" s="63">
        <v>0</v>
      </c>
      <c r="K733" s="86">
        <f t="shared" si="264"/>
        <v>1.4999999999999999E-2</v>
      </c>
      <c r="L733" s="185"/>
      <c r="M733" s="88"/>
      <c r="N733" s="301"/>
      <c r="O733" s="871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49"/>
      <c r="AU733" s="49"/>
      <c r="AV733" s="49"/>
      <c r="AW733" s="49"/>
      <c r="AX733" s="49"/>
      <c r="AY733" s="49"/>
      <c r="AZ733" s="49"/>
      <c r="BA733" s="49"/>
      <c r="BB733" s="49"/>
      <c r="BC733" s="49"/>
      <c r="BD733" s="49"/>
      <c r="BE733" s="68"/>
    </row>
    <row r="734" spans="1:57" s="51" customFormat="1" ht="22.5" customHeight="1">
      <c r="A734" s="834"/>
      <c r="B734" s="868"/>
      <c r="C734" s="872"/>
      <c r="D734" s="62">
        <v>2025</v>
      </c>
      <c r="E734" s="63">
        <f t="shared" si="269"/>
        <v>1.4999999999999999E-2</v>
      </c>
      <c r="F734" s="63">
        <v>1.4999999999999999E-2</v>
      </c>
      <c r="G734" s="63">
        <v>0</v>
      </c>
      <c r="H734" s="63">
        <v>0</v>
      </c>
      <c r="I734" s="63">
        <v>0</v>
      </c>
      <c r="J734" s="63">
        <v>0</v>
      </c>
      <c r="K734" s="86">
        <f t="shared" si="264"/>
        <v>1.4999999999999999E-2</v>
      </c>
      <c r="L734" s="185"/>
      <c r="M734" s="88"/>
      <c r="N734" s="301"/>
      <c r="O734" s="871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  <c r="AT734" s="49"/>
      <c r="AU734" s="49"/>
      <c r="AV734" s="49"/>
      <c r="AW734" s="49"/>
      <c r="AX734" s="49"/>
      <c r="AY734" s="49"/>
      <c r="AZ734" s="49"/>
      <c r="BA734" s="49"/>
      <c r="BB734" s="49"/>
      <c r="BC734" s="49"/>
      <c r="BD734" s="49"/>
      <c r="BE734" s="68"/>
    </row>
    <row r="735" spans="1:57" s="51" customFormat="1" ht="22.5" customHeight="1">
      <c r="A735" s="834"/>
      <c r="B735" s="868"/>
      <c r="C735" s="872"/>
      <c r="D735" s="62">
        <v>2026</v>
      </c>
      <c r="E735" s="63">
        <f t="shared" si="269"/>
        <v>1.4999999999999999E-2</v>
      </c>
      <c r="F735" s="63">
        <v>1.4999999999999999E-2</v>
      </c>
      <c r="G735" s="63">
        <v>0</v>
      </c>
      <c r="H735" s="63">
        <v>0</v>
      </c>
      <c r="I735" s="63">
        <v>0</v>
      </c>
      <c r="J735" s="63">
        <v>0</v>
      </c>
      <c r="K735" s="86">
        <f t="shared" si="264"/>
        <v>1.4999999999999999E-2</v>
      </c>
      <c r="L735" s="185"/>
      <c r="M735" s="88"/>
      <c r="N735" s="301"/>
      <c r="O735" s="871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  <c r="AT735" s="49"/>
      <c r="AU735" s="49"/>
      <c r="AV735" s="49"/>
      <c r="AW735" s="49"/>
      <c r="AX735" s="49"/>
      <c r="AY735" s="49"/>
      <c r="AZ735" s="49"/>
      <c r="BA735" s="49"/>
      <c r="BB735" s="49"/>
      <c r="BC735" s="49"/>
      <c r="BD735" s="49"/>
      <c r="BE735" s="68"/>
    </row>
    <row r="736" spans="1:57" s="51" customFormat="1" ht="22.5" customHeight="1">
      <c r="A736" s="834"/>
      <c r="B736" s="868"/>
      <c r="C736" s="872"/>
      <c r="D736" s="62">
        <v>2027</v>
      </c>
      <c r="E736" s="63">
        <f t="shared" si="269"/>
        <v>1.4999999999999999E-2</v>
      </c>
      <c r="F736" s="63">
        <v>1.4999999999999999E-2</v>
      </c>
      <c r="G736" s="63">
        <v>0</v>
      </c>
      <c r="H736" s="63">
        <v>0</v>
      </c>
      <c r="I736" s="63">
        <v>0</v>
      </c>
      <c r="J736" s="63">
        <v>0</v>
      </c>
      <c r="K736" s="86">
        <f t="shared" si="264"/>
        <v>1.4999999999999999E-2</v>
      </c>
      <c r="L736" s="185"/>
      <c r="M736" s="88"/>
      <c r="N736" s="301"/>
      <c r="O736" s="871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  <c r="AT736" s="49"/>
      <c r="AU736" s="49"/>
      <c r="AV736" s="49"/>
      <c r="AW736" s="49"/>
      <c r="AX736" s="49"/>
      <c r="AY736" s="49"/>
      <c r="AZ736" s="49"/>
      <c r="BA736" s="49"/>
      <c r="BB736" s="49"/>
      <c r="BC736" s="49"/>
      <c r="BD736" s="49"/>
      <c r="BE736" s="68"/>
    </row>
    <row r="737" spans="1:57" s="51" customFormat="1" ht="22.5" customHeight="1">
      <c r="A737" s="834"/>
      <c r="B737" s="868"/>
      <c r="C737" s="872"/>
      <c r="D737" s="62">
        <v>2028</v>
      </c>
      <c r="E737" s="63">
        <f t="shared" si="269"/>
        <v>1.4999999999999999E-2</v>
      </c>
      <c r="F737" s="63">
        <v>1.4999999999999999E-2</v>
      </c>
      <c r="G737" s="63">
        <v>0</v>
      </c>
      <c r="H737" s="63">
        <v>0</v>
      </c>
      <c r="I737" s="63">
        <v>0</v>
      </c>
      <c r="J737" s="63">
        <v>0</v>
      </c>
      <c r="K737" s="86">
        <f t="shared" si="264"/>
        <v>1.4999999999999999E-2</v>
      </c>
      <c r="L737" s="185"/>
      <c r="M737" s="88"/>
      <c r="N737" s="301"/>
      <c r="O737" s="871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R737" s="49"/>
      <c r="AS737" s="49"/>
      <c r="AT737" s="49"/>
      <c r="AU737" s="49"/>
      <c r="AV737" s="49"/>
      <c r="AW737" s="49"/>
      <c r="AX737" s="49"/>
      <c r="AY737" s="49"/>
      <c r="AZ737" s="49"/>
      <c r="BA737" s="49"/>
      <c r="BB737" s="49"/>
      <c r="BC737" s="49"/>
      <c r="BD737" s="49"/>
      <c r="BE737" s="68"/>
    </row>
    <row r="738" spans="1:57" s="51" customFormat="1" ht="22.5" customHeight="1">
      <c r="A738" s="834"/>
      <c r="B738" s="868"/>
      <c r="C738" s="872"/>
      <c r="D738" s="62">
        <v>2029</v>
      </c>
      <c r="E738" s="63">
        <f t="shared" si="269"/>
        <v>1.4999999999999999E-2</v>
      </c>
      <c r="F738" s="63">
        <v>1.4999999999999999E-2</v>
      </c>
      <c r="G738" s="63">
        <v>0</v>
      </c>
      <c r="H738" s="63">
        <v>0</v>
      </c>
      <c r="I738" s="63">
        <v>0</v>
      </c>
      <c r="J738" s="63">
        <v>0</v>
      </c>
      <c r="K738" s="86">
        <f t="shared" si="264"/>
        <v>1.4999999999999999E-2</v>
      </c>
      <c r="L738" s="185"/>
      <c r="M738" s="88"/>
      <c r="N738" s="301"/>
      <c r="O738" s="871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  <c r="AR738" s="49"/>
      <c r="AS738" s="49"/>
      <c r="AT738" s="49"/>
      <c r="AU738" s="49"/>
      <c r="AV738" s="49"/>
      <c r="AW738" s="49"/>
      <c r="AX738" s="49"/>
      <c r="AY738" s="49"/>
      <c r="AZ738" s="49"/>
      <c r="BA738" s="49"/>
      <c r="BB738" s="49"/>
      <c r="BC738" s="49"/>
      <c r="BD738" s="49"/>
      <c r="BE738" s="68"/>
    </row>
    <row r="739" spans="1:57" s="51" customFormat="1" ht="22.5" customHeight="1">
      <c r="A739" s="835"/>
      <c r="B739" s="869"/>
      <c r="C739" s="873"/>
      <c r="D739" s="62">
        <v>2030</v>
      </c>
      <c r="E739" s="63">
        <f t="shared" si="269"/>
        <v>1.4999999999999999E-2</v>
      </c>
      <c r="F739" s="63">
        <v>1.4999999999999999E-2</v>
      </c>
      <c r="G739" s="63">
        <v>0</v>
      </c>
      <c r="H739" s="63">
        <v>0</v>
      </c>
      <c r="I739" s="63">
        <v>0</v>
      </c>
      <c r="J739" s="63">
        <v>0</v>
      </c>
      <c r="K739" s="86">
        <f t="shared" si="264"/>
        <v>1.4999999999999999E-2</v>
      </c>
      <c r="L739" s="185"/>
      <c r="M739" s="88"/>
      <c r="N739" s="301"/>
      <c r="O739" s="988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  <c r="AR739" s="49"/>
      <c r="AS739" s="49"/>
      <c r="AT739" s="49"/>
      <c r="AU739" s="49"/>
      <c r="AV739" s="49"/>
      <c r="AW739" s="49"/>
      <c r="AX739" s="49"/>
      <c r="AY739" s="49"/>
      <c r="AZ739" s="49"/>
      <c r="BA739" s="49"/>
      <c r="BB739" s="49"/>
      <c r="BC739" s="49"/>
      <c r="BD739" s="49"/>
      <c r="BE739" s="68"/>
    </row>
    <row r="740" spans="1:57" s="51" customFormat="1">
      <c r="A740" s="900" t="s">
        <v>869</v>
      </c>
      <c r="B740" s="867" t="s">
        <v>870</v>
      </c>
      <c r="C740" s="61"/>
      <c r="D740" s="84" t="s">
        <v>16</v>
      </c>
      <c r="E740" s="85">
        <f t="shared" ref="E740:J740" si="270">SUM(SUM(E741:E741))</f>
        <v>1.0999999999999999E-2</v>
      </c>
      <c r="F740" s="85">
        <f t="shared" si="270"/>
        <v>1.0999999999999999E-2</v>
      </c>
      <c r="G740" s="85">
        <f t="shared" si="270"/>
        <v>0</v>
      </c>
      <c r="H740" s="85">
        <f t="shared" si="270"/>
        <v>0</v>
      </c>
      <c r="I740" s="85">
        <f t="shared" si="270"/>
        <v>0</v>
      </c>
      <c r="J740" s="85">
        <f t="shared" si="270"/>
        <v>0</v>
      </c>
      <c r="K740" s="86">
        <f t="shared" si="264"/>
        <v>1.0999999999999999E-2</v>
      </c>
      <c r="L740" s="185"/>
      <c r="M740" s="88"/>
      <c r="N740" s="301"/>
      <c r="O740" s="910" t="s">
        <v>352</v>
      </c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  <c r="AR740" s="49"/>
      <c r="AS740" s="49"/>
      <c r="AT740" s="49"/>
      <c r="AU740" s="49"/>
      <c r="AV740" s="49"/>
      <c r="AW740" s="49"/>
      <c r="AX740" s="49"/>
      <c r="AY740" s="49"/>
      <c r="AZ740" s="49"/>
      <c r="BA740" s="49"/>
      <c r="BB740" s="49"/>
      <c r="BC740" s="49"/>
      <c r="BD740" s="49"/>
      <c r="BE740" s="68"/>
    </row>
    <row r="741" spans="1:57" s="51" customFormat="1" ht="63.75">
      <c r="A741" s="930"/>
      <c r="B741" s="873"/>
      <c r="C741" s="60" t="s">
        <v>867</v>
      </c>
      <c r="D741" s="62">
        <v>2019</v>
      </c>
      <c r="E741" s="63">
        <f>F741+G741+H741+I741+J741</f>
        <v>1.0999999999999999E-2</v>
      </c>
      <c r="F741" s="63">
        <v>1.0999999999999999E-2</v>
      </c>
      <c r="G741" s="63">
        <v>0</v>
      </c>
      <c r="H741" s="63">
        <v>0</v>
      </c>
      <c r="I741" s="63">
        <v>0</v>
      </c>
      <c r="J741" s="63">
        <v>0</v>
      </c>
      <c r="K741" s="86">
        <f t="shared" si="264"/>
        <v>1.0999999999999999E-2</v>
      </c>
      <c r="L741" s="185"/>
      <c r="M741" s="88"/>
      <c r="N741" s="301"/>
      <c r="O741" s="1046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  <c r="AR741" s="49"/>
      <c r="AS741" s="49"/>
      <c r="AT741" s="49"/>
      <c r="AU741" s="49"/>
      <c r="AV741" s="49"/>
      <c r="AW741" s="49"/>
      <c r="AX741" s="49"/>
      <c r="AY741" s="49"/>
      <c r="AZ741" s="49"/>
      <c r="BA741" s="49"/>
      <c r="BB741" s="49"/>
      <c r="BC741" s="49"/>
      <c r="BD741" s="49"/>
      <c r="BE741" s="68"/>
    </row>
    <row r="742" spans="1:57" s="51" customFormat="1" ht="63.75">
      <c r="A742" s="282" t="s">
        <v>871</v>
      </c>
      <c r="B742" s="60" t="s">
        <v>872</v>
      </c>
      <c r="C742" s="60" t="s">
        <v>867</v>
      </c>
      <c r="D742" s="62">
        <v>2019</v>
      </c>
      <c r="E742" s="63">
        <f>F742+G742+H742+I742+J742</f>
        <v>0</v>
      </c>
      <c r="F742" s="63">
        <v>0</v>
      </c>
      <c r="G742" s="63">
        <v>0</v>
      </c>
      <c r="H742" s="63">
        <v>0</v>
      </c>
      <c r="I742" s="63">
        <v>0</v>
      </c>
      <c r="J742" s="63">
        <v>0</v>
      </c>
      <c r="K742" s="86">
        <f t="shared" si="264"/>
        <v>0</v>
      </c>
      <c r="L742" s="185"/>
      <c r="M742" s="88"/>
      <c r="N742" s="301"/>
      <c r="O742" s="871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  <c r="AR742" s="49"/>
      <c r="AS742" s="49"/>
      <c r="AT742" s="49"/>
      <c r="AU742" s="49"/>
      <c r="AV742" s="49"/>
      <c r="AW742" s="49"/>
      <c r="AX742" s="49"/>
      <c r="AY742" s="49"/>
      <c r="AZ742" s="49"/>
      <c r="BA742" s="49"/>
      <c r="BB742" s="49"/>
      <c r="BC742" s="49"/>
      <c r="BD742" s="49"/>
      <c r="BE742" s="68"/>
    </row>
    <row r="743" spans="1:57" s="82" customFormat="1" ht="19.5" customHeight="1">
      <c r="A743" s="900" t="s">
        <v>873</v>
      </c>
      <c r="B743" s="867" t="s">
        <v>874</v>
      </c>
      <c r="C743" s="390"/>
      <c r="D743" s="84" t="s">
        <v>16</v>
      </c>
      <c r="E743" s="85">
        <f t="shared" ref="E743:J743" si="271">E744+E745+E746+E747+E748+E749+E750+E751+E752+E753+E754</f>
        <v>0.76789130231500813</v>
      </c>
      <c r="F743" s="85">
        <f t="shared" si="271"/>
        <v>0.76789130231500813</v>
      </c>
      <c r="G743" s="85">
        <f t="shared" si="271"/>
        <v>0</v>
      </c>
      <c r="H743" s="85">
        <f t="shared" si="271"/>
        <v>0</v>
      </c>
      <c r="I743" s="85">
        <f t="shared" si="271"/>
        <v>0</v>
      </c>
      <c r="J743" s="85">
        <f t="shared" si="271"/>
        <v>0</v>
      </c>
      <c r="K743" s="86">
        <f t="shared" si="264"/>
        <v>0.76789130231500813</v>
      </c>
      <c r="L743" s="99"/>
      <c r="M743" s="88"/>
      <c r="N743" s="89"/>
      <c r="O743" s="87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2"/>
    </row>
    <row r="744" spans="1:57" s="219" customFormat="1" ht="14.25" customHeight="1">
      <c r="A744" s="930"/>
      <c r="B744" s="872"/>
      <c r="C744" s="870" t="s">
        <v>875</v>
      </c>
      <c r="D744" s="197">
        <v>2020</v>
      </c>
      <c r="E744" s="198">
        <f t="shared" ref="E744:E754" si="272">F744+G744+H744+I744+J744</f>
        <v>4.4999999999999998E-2</v>
      </c>
      <c r="F744" s="198">
        <v>4.4999999999999998E-2</v>
      </c>
      <c r="G744" s="198">
        <v>0</v>
      </c>
      <c r="H744" s="198">
        <v>0</v>
      </c>
      <c r="I744" s="198">
        <v>0</v>
      </c>
      <c r="J744" s="198">
        <v>0</v>
      </c>
      <c r="K744" s="129">
        <f t="shared" si="264"/>
        <v>4.4999999999999998E-2</v>
      </c>
      <c r="L744" s="371"/>
      <c r="M744" s="220"/>
      <c r="N744" s="303"/>
      <c r="O744" s="871"/>
      <c r="P744" s="221"/>
      <c r="Q744" s="221"/>
      <c r="R744" s="221"/>
      <c r="S744" s="221"/>
      <c r="T744" s="221"/>
      <c r="U744" s="221"/>
      <c r="V744" s="221"/>
      <c r="W744" s="221"/>
      <c r="X744" s="221"/>
      <c r="Y744" s="221"/>
      <c r="Z744" s="221"/>
      <c r="AA744" s="221"/>
      <c r="AB744" s="221"/>
      <c r="AC744" s="221"/>
      <c r="AD744" s="221"/>
      <c r="AE744" s="221"/>
      <c r="AF744" s="221"/>
      <c r="AG744" s="221"/>
      <c r="AH744" s="221"/>
      <c r="AI744" s="221"/>
      <c r="AJ744" s="221"/>
      <c r="AK744" s="221"/>
      <c r="AL744" s="221"/>
      <c r="AM744" s="221"/>
      <c r="AN744" s="221"/>
      <c r="AO744" s="221"/>
      <c r="AP744" s="221"/>
      <c r="AQ744" s="221"/>
      <c r="AR744" s="221"/>
      <c r="AS744" s="221"/>
      <c r="AT744" s="221"/>
      <c r="AU744" s="221"/>
      <c r="AV744" s="221"/>
      <c r="AW744" s="221"/>
      <c r="AX744" s="221"/>
      <c r="AY744" s="221"/>
      <c r="AZ744" s="221"/>
      <c r="BA744" s="221"/>
      <c r="BB744" s="221"/>
      <c r="BC744" s="221"/>
      <c r="BD744" s="221"/>
      <c r="BE744" s="222"/>
    </row>
    <row r="745" spans="1:57" s="219" customFormat="1" ht="15.75" customHeight="1">
      <c r="A745" s="930"/>
      <c r="B745" s="872"/>
      <c r="C745" s="870"/>
      <c r="D745" s="197">
        <v>2021</v>
      </c>
      <c r="E745" s="198">
        <f t="shared" si="272"/>
        <v>4.58E-2</v>
      </c>
      <c r="F745" s="198">
        <v>4.58E-2</v>
      </c>
      <c r="G745" s="198">
        <v>0</v>
      </c>
      <c r="H745" s="198">
        <v>0</v>
      </c>
      <c r="I745" s="198">
        <v>0</v>
      </c>
      <c r="J745" s="198">
        <v>0</v>
      </c>
      <c r="K745" s="129">
        <f t="shared" si="264"/>
        <v>4.58E-2</v>
      </c>
      <c r="L745" s="371"/>
      <c r="M745" s="220"/>
      <c r="N745" s="303"/>
      <c r="O745" s="871"/>
      <c r="P745" s="221"/>
      <c r="Q745" s="221"/>
      <c r="R745" s="221"/>
      <c r="S745" s="221"/>
      <c r="T745" s="221"/>
      <c r="U745" s="221"/>
      <c r="V745" s="221"/>
      <c r="W745" s="221"/>
      <c r="X745" s="221"/>
      <c r="Y745" s="221"/>
      <c r="Z745" s="221"/>
      <c r="AA745" s="221"/>
      <c r="AB745" s="221"/>
      <c r="AC745" s="221"/>
      <c r="AD745" s="221"/>
      <c r="AE745" s="221"/>
      <c r="AF745" s="221"/>
      <c r="AG745" s="221"/>
      <c r="AH745" s="221"/>
      <c r="AI745" s="221"/>
      <c r="AJ745" s="221"/>
      <c r="AK745" s="221"/>
      <c r="AL745" s="221"/>
      <c r="AM745" s="221"/>
      <c r="AN745" s="221"/>
      <c r="AO745" s="221"/>
      <c r="AP745" s="221"/>
      <c r="AQ745" s="221"/>
      <c r="AR745" s="221"/>
      <c r="AS745" s="221"/>
      <c r="AT745" s="221"/>
      <c r="AU745" s="221"/>
      <c r="AV745" s="221"/>
      <c r="AW745" s="221"/>
      <c r="AX745" s="221"/>
      <c r="AY745" s="221"/>
      <c r="AZ745" s="221"/>
      <c r="BA745" s="221"/>
      <c r="BB745" s="221"/>
      <c r="BC745" s="221"/>
      <c r="BD745" s="221"/>
      <c r="BE745" s="222"/>
    </row>
    <row r="746" spans="1:57" s="219" customFormat="1" ht="17.25" customHeight="1">
      <c r="A746" s="930"/>
      <c r="B746" s="872"/>
      <c r="C746" s="870"/>
      <c r="D746" s="197">
        <v>2022</v>
      </c>
      <c r="E746" s="198">
        <f t="shared" si="272"/>
        <v>4.6640000000000001E-2</v>
      </c>
      <c r="F746" s="198">
        <v>4.6640000000000001E-2</v>
      </c>
      <c r="G746" s="198">
        <v>0</v>
      </c>
      <c r="H746" s="198">
        <v>0</v>
      </c>
      <c r="I746" s="198">
        <v>0</v>
      </c>
      <c r="J746" s="198">
        <v>0</v>
      </c>
      <c r="K746" s="129">
        <f t="shared" si="264"/>
        <v>4.6640000000000001E-2</v>
      </c>
      <c r="L746" s="371"/>
      <c r="M746" s="220"/>
      <c r="N746" s="303"/>
      <c r="O746" s="871"/>
      <c r="P746" s="221"/>
      <c r="Q746" s="221"/>
      <c r="R746" s="221"/>
      <c r="S746" s="221"/>
      <c r="T746" s="221"/>
      <c r="U746" s="221"/>
      <c r="V746" s="221"/>
      <c r="W746" s="221"/>
      <c r="X746" s="221"/>
      <c r="Y746" s="221"/>
      <c r="Z746" s="221"/>
      <c r="AA746" s="221"/>
      <c r="AB746" s="221"/>
      <c r="AC746" s="221"/>
      <c r="AD746" s="221"/>
      <c r="AE746" s="221"/>
      <c r="AF746" s="221"/>
      <c r="AG746" s="221"/>
      <c r="AH746" s="221"/>
      <c r="AI746" s="221"/>
      <c r="AJ746" s="221"/>
      <c r="AK746" s="221"/>
      <c r="AL746" s="221"/>
      <c r="AM746" s="221"/>
      <c r="AN746" s="221"/>
      <c r="AO746" s="221"/>
      <c r="AP746" s="221"/>
      <c r="AQ746" s="221"/>
      <c r="AR746" s="221"/>
      <c r="AS746" s="221"/>
      <c r="AT746" s="221"/>
      <c r="AU746" s="221"/>
      <c r="AV746" s="221"/>
      <c r="AW746" s="221"/>
      <c r="AX746" s="221"/>
      <c r="AY746" s="221"/>
      <c r="AZ746" s="221"/>
      <c r="BA746" s="221"/>
      <c r="BB746" s="221"/>
      <c r="BC746" s="221"/>
      <c r="BD746" s="221"/>
      <c r="BE746" s="222"/>
    </row>
    <row r="747" spans="1:57" s="51" customFormat="1" ht="15.75" customHeight="1">
      <c r="A747" s="930"/>
      <c r="B747" s="872"/>
      <c r="C747" s="870"/>
      <c r="D747" s="62">
        <v>2023</v>
      </c>
      <c r="E747" s="63">
        <f t="shared" si="272"/>
        <v>7.0000000000000007E-2</v>
      </c>
      <c r="F747" s="63">
        <f>70/1000</f>
        <v>7.0000000000000007E-2</v>
      </c>
      <c r="G747" s="63">
        <v>0</v>
      </c>
      <c r="H747" s="63">
        <v>0</v>
      </c>
      <c r="I747" s="63">
        <v>0</v>
      </c>
      <c r="J747" s="63">
        <v>0</v>
      </c>
      <c r="K747" s="86">
        <f t="shared" si="264"/>
        <v>7.0000000000000007E-2</v>
      </c>
      <c r="L747" s="185"/>
      <c r="M747" s="88"/>
      <c r="N747" s="301"/>
      <c r="O747" s="871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  <c r="AO747" s="49"/>
      <c r="AP747" s="49"/>
      <c r="AQ747" s="49"/>
      <c r="AR747" s="49"/>
      <c r="AS747" s="49"/>
      <c r="AT747" s="49"/>
      <c r="AU747" s="49"/>
      <c r="AV747" s="49"/>
      <c r="AW747" s="49"/>
      <c r="AX747" s="49"/>
      <c r="AY747" s="49"/>
      <c r="AZ747" s="49"/>
      <c r="BA747" s="49"/>
      <c r="BB747" s="49"/>
      <c r="BC747" s="49"/>
      <c r="BD747" s="49"/>
      <c r="BE747" s="68"/>
    </row>
    <row r="748" spans="1:57" s="51" customFormat="1" ht="16.5" customHeight="1">
      <c r="A748" s="930"/>
      <c r="B748" s="872"/>
      <c r="C748" s="870"/>
      <c r="D748" s="62">
        <v>2024</v>
      </c>
      <c r="E748" s="63">
        <f t="shared" si="272"/>
        <v>7.1800000000000003E-2</v>
      </c>
      <c r="F748" s="63">
        <f>71.8/1000</f>
        <v>7.1800000000000003E-2</v>
      </c>
      <c r="G748" s="63">
        <v>0</v>
      </c>
      <c r="H748" s="63">
        <v>0</v>
      </c>
      <c r="I748" s="63">
        <v>0</v>
      </c>
      <c r="J748" s="63">
        <v>0</v>
      </c>
      <c r="K748" s="86">
        <f t="shared" si="264"/>
        <v>7.1800000000000003E-2</v>
      </c>
      <c r="L748" s="185"/>
      <c r="M748" s="88"/>
      <c r="N748" s="301"/>
      <c r="O748" s="871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  <c r="AO748" s="49"/>
      <c r="AP748" s="49"/>
      <c r="AQ748" s="49"/>
      <c r="AR748" s="49"/>
      <c r="AS748" s="49"/>
      <c r="AT748" s="49"/>
      <c r="AU748" s="49"/>
      <c r="AV748" s="49"/>
      <c r="AW748" s="49"/>
      <c r="AX748" s="49"/>
      <c r="AY748" s="49"/>
      <c r="AZ748" s="49"/>
      <c r="BA748" s="49"/>
      <c r="BB748" s="49"/>
      <c r="BC748" s="49"/>
      <c r="BD748" s="49"/>
      <c r="BE748" s="68"/>
    </row>
    <row r="749" spans="1:57" s="51" customFormat="1" ht="15.75" customHeight="1">
      <c r="A749" s="930"/>
      <c r="B749" s="872"/>
      <c r="C749" s="870"/>
      <c r="D749" s="62">
        <v>2025</v>
      </c>
      <c r="E749" s="63">
        <f t="shared" si="272"/>
        <v>7.3669999999999999E-2</v>
      </c>
      <c r="F749" s="63">
        <f>73.67/1000</f>
        <v>7.3669999999999999E-2</v>
      </c>
      <c r="G749" s="63">
        <v>0</v>
      </c>
      <c r="H749" s="63">
        <v>0</v>
      </c>
      <c r="I749" s="63">
        <v>0</v>
      </c>
      <c r="J749" s="63">
        <v>0</v>
      </c>
      <c r="K749" s="86">
        <f t="shared" si="264"/>
        <v>7.3669999999999999E-2</v>
      </c>
      <c r="L749" s="185"/>
      <c r="M749" s="88"/>
      <c r="N749" s="301"/>
      <c r="O749" s="871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  <c r="AO749" s="49"/>
      <c r="AP749" s="49"/>
      <c r="AQ749" s="49"/>
      <c r="AR749" s="49"/>
      <c r="AS749" s="49"/>
      <c r="AT749" s="49"/>
      <c r="AU749" s="49"/>
      <c r="AV749" s="49"/>
      <c r="AW749" s="49"/>
      <c r="AX749" s="49"/>
      <c r="AY749" s="49"/>
      <c r="AZ749" s="49"/>
      <c r="BA749" s="49"/>
      <c r="BB749" s="49"/>
      <c r="BC749" s="49"/>
      <c r="BD749" s="49"/>
      <c r="BE749" s="68"/>
    </row>
    <row r="750" spans="1:57" s="51" customFormat="1" ht="19.5" customHeight="1">
      <c r="A750" s="930"/>
      <c r="B750" s="872"/>
      <c r="C750" s="867" t="s">
        <v>876</v>
      </c>
      <c r="D750" s="62">
        <v>2026</v>
      </c>
      <c r="E750" s="63">
        <f t="shared" si="272"/>
        <v>7.6616799999999999E-2</v>
      </c>
      <c r="F750" s="63">
        <f>F749*1.04</f>
        <v>7.6616799999999999E-2</v>
      </c>
      <c r="G750" s="63">
        <v>0</v>
      </c>
      <c r="H750" s="63">
        <v>0</v>
      </c>
      <c r="I750" s="63">
        <v>0</v>
      </c>
      <c r="J750" s="63">
        <v>0</v>
      </c>
      <c r="K750" s="86">
        <f t="shared" si="264"/>
        <v>7.6616799999999999E-2</v>
      </c>
      <c r="L750" s="185"/>
      <c r="M750" s="88"/>
      <c r="N750" s="301"/>
      <c r="O750" s="871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  <c r="AT750" s="49"/>
      <c r="AU750" s="49"/>
      <c r="AV750" s="49"/>
      <c r="AW750" s="49"/>
      <c r="AX750" s="49"/>
      <c r="AY750" s="49"/>
      <c r="AZ750" s="49"/>
      <c r="BA750" s="49"/>
      <c r="BB750" s="49"/>
      <c r="BC750" s="49"/>
      <c r="BD750" s="49"/>
      <c r="BE750" s="68"/>
    </row>
    <row r="751" spans="1:57" s="51" customFormat="1" ht="19.5" customHeight="1">
      <c r="A751" s="930"/>
      <c r="B751" s="872"/>
      <c r="C751" s="872"/>
      <c r="D751" s="62">
        <v>2027</v>
      </c>
      <c r="E751" s="63">
        <f t="shared" si="272"/>
        <v>7.9681472000000003E-2</v>
      </c>
      <c r="F751" s="63">
        <f>F750*1.04</f>
        <v>7.9681472000000003E-2</v>
      </c>
      <c r="G751" s="63">
        <v>0</v>
      </c>
      <c r="H751" s="63">
        <v>0</v>
      </c>
      <c r="I751" s="63">
        <v>0</v>
      </c>
      <c r="J751" s="63">
        <v>0</v>
      </c>
      <c r="K751" s="86">
        <f t="shared" si="264"/>
        <v>7.9681472000000003E-2</v>
      </c>
      <c r="L751" s="185"/>
      <c r="M751" s="88"/>
      <c r="N751" s="301"/>
      <c r="O751" s="871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  <c r="AT751" s="49"/>
      <c r="AU751" s="49"/>
      <c r="AV751" s="49"/>
      <c r="AW751" s="49"/>
      <c r="AX751" s="49"/>
      <c r="AY751" s="49"/>
      <c r="AZ751" s="49"/>
      <c r="BA751" s="49"/>
      <c r="BB751" s="49"/>
      <c r="BC751" s="49"/>
      <c r="BD751" s="49"/>
      <c r="BE751" s="68"/>
    </row>
    <row r="752" spans="1:57" s="51" customFormat="1" ht="19.5" customHeight="1">
      <c r="A752" s="930"/>
      <c r="B752" s="872"/>
      <c r="C752" s="872"/>
      <c r="D752" s="62">
        <v>2028</v>
      </c>
      <c r="E752" s="63">
        <f t="shared" si="272"/>
        <v>8.2868730880000005E-2</v>
      </c>
      <c r="F752" s="63">
        <f>F751*1.04</f>
        <v>8.2868730880000005E-2</v>
      </c>
      <c r="G752" s="63">
        <v>0</v>
      </c>
      <c r="H752" s="63">
        <v>0</v>
      </c>
      <c r="I752" s="63">
        <v>0</v>
      </c>
      <c r="J752" s="63">
        <v>0</v>
      </c>
      <c r="K752" s="86">
        <f t="shared" si="264"/>
        <v>8.2868730880000005E-2</v>
      </c>
      <c r="L752" s="185"/>
      <c r="M752" s="88"/>
      <c r="N752" s="301"/>
      <c r="O752" s="871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  <c r="AO752" s="49"/>
      <c r="AP752" s="49"/>
      <c r="AQ752" s="49"/>
      <c r="AR752" s="49"/>
      <c r="AS752" s="49"/>
      <c r="AT752" s="49"/>
      <c r="AU752" s="49"/>
      <c r="AV752" s="49"/>
      <c r="AW752" s="49"/>
      <c r="AX752" s="49"/>
      <c r="AY752" s="49"/>
      <c r="AZ752" s="49"/>
      <c r="BA752" s="49"/>
      <c r="BB752" s="49"/>
      <c r="BC752" s="49"/>
      <c r="BD752" s="49"/>
      <c r="BE752" s="68"/>
    </row>
    <row r="753" spans="1:57" s="51" customFormat="1" ht="19.5" customHeight="1">
      <c r="A753" s="930"/>
      <c r="B753" s="872"/>
      <c r="C753" s="872"/>
      <c r="D753" s="62">
        <v>2029</v>
      </c>
      <c r="E753" s="63">
        <f t="shared" si="272"/>
        <v>8.6183480115200009E-2</v>
      </c>
      <c r="F753" s="63">
        <f>F752*1.04</f>
        <v>8.6183480115200009E-2</v>
      </c>
      <c r="G753" s="63">
        <v>0</v>
      </c>
      <c r="H753" s="63">
        <v>0</v>
      </c>
      <c r="I753" s="63">
        <v>0</v>
      </c>
      <c r="J753" s="63">
        <v>0</v>
      </c>
      <c r="K753" s="86">
        <f t="shared" si="264"/>
        <v>8.6183480115200009E-2</v>
      </c>
      <c r="L753" s="185"/>
      <c r="M753" s="88"/>
      <c r="N753" s="301"/>
      <c r="O753" s="871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  <c r="AO753" s="49"/>
      <c r="AP753" s="49"/>
      <c r="AQ753" s="49"/>
      <c r="AR753" s="49"/>
      <c r="AS753" s="49"/>
      <c r="AT753" s="49"/>
      <c r="AU753" s="49"/>
      <c r="AV753" s="49"/>
      <c r="AW753" s="49"/>
      <c r="AX753" s="49"/>
      <c r="AY753" s="49"/>
      <c r="AZ753" s="49"/>
      <c r="BA753" s="49"/>
      <c r="BB753" s="49"/>
      <c r="BC753" s="49"/>
      <c r="BD753" s="49"/>
      <c r="BE753" s="68"/>
    </row>
    <row r="754" spans="1:57" s="51" customFormat="1" ht="19.5" customHeight="1">
      <c r="A754" s="1015"/>
      <c r="B754" s="873"/>
      <c r="C754" s="873"/>
      <c r="D754" s="62">
        <v>2030</v>
      </c>
      <c r="E754" s="63">
        <f t="shared" si="272"/>
        <v>8.9630819319808014E-2</v>
      </c>
      <c r="F754" s="63">
        <f>F753*1.04</f>
        <v>8.9630819319808014E-2</v>
      </c>
      <c r="G754" s="63">
        <v>0</v>
      </c>
      <c r="H754" s="63">
        <v>0</v>
      </c>
      <c r="I754" s="63">
        <v>0</v>
      </c>
      <c r="J754" s="63">
        <v>0</v>
      </c>
      <c r="K754" s="86">
        <f t="shared" si="264"/>
        <v>8.9630819319808014E-2</v>
      </c>
      <c r="L754" s="185"/>
      <c r="M754" s="88"/>
      <c r="N754" s="301"/>
      <c r="O754" s="988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  <c r="AO754" s="49"/>
      <c r="AP754" s="49"/>
      <c r="AQ754" s="49"/>
      <c r="AR754" s="49"/>
      <c r="AS754" s="49"/>
      <c r="AT754" s="49"/>
      <c r="AU754" s="49"/>
      <c r="AV754" s="49"/>
      <c r="AW754" s="49"/>
      <c r="AX754" s="49"/>
      <c r="AY754" s="49"/>
      <c r="AZ754" s="49"/>
      <c r="BA754" s="49"/>
      <c r="BB754" s="49"/>
      <c r="BC754" s="49"/>
      <c r="BD754" s="49"/>
      <c r="BE754" s="68"/>
    </row>
    <row r="755" spans="1:57" s="367" customFormat="1" ht="15.75">
      <c r="A755" s="926" t="s">
        <v>877</v>
      </c>
      <c r="B755" s="929" t="s">
        <v>177</v>
      </c>
      <c r="C755" s="929"/>
      <c r="D755" s="84" t="s">
        <v>16</v>
      </c>
      <c r="E755" s="136">
        <f t="shared" ref="E755:J755" si="273">E756+E757+E758+E759+E760+E761+E762</f>
        <v>380.53100000000001</v>
      </c>
      <c r="F755" s="136">
        <f t="shared" si="273"/>
        <v>0</v>
      </c>
      <c r="G755" s="136">
        <f t="shared" si="273"/>
        <v>0</v>
      </c>
      <c r="H755" s="136">
        <f t="shared" si="273"/>
        <v>172.71299999999999</v>
      </c>
      <c r="I755" s="136">
        <f t="shared" si="273"/>
        <v>207.81800000000001</v>
      </c>
      <c r="J755" s="136">
        <f t="shared" si="273"/>
        <v>0</v>
      </c>
      <c r="K755" s="86">
        <f t="shared" si="264"/>
        <v>380.53100000000001</v>
      </c>
      <c r="L755" s="136"/>
      <c r="M755" s="136"/>
      <c r="N755" s="137"/>
      <c r="O755" s="90"/>
      <c r="P755" s="368"/>
      <c r="Q755" s="368"/>
      <c r="R755" s="368"/>
      <c r="S755" s="368"/>
      <c r="T755" s="368"/>
      <c r="U755" s="368"/>
      <c r="V755" s="368"/>
      <c r="W755" s="368"/>
      <c r="X755" s="368"/>
      <c r="Y755" s="368"/>
      <c r="Z755" s="368"/>
      <c r="AA755" s="368"/>
      <c r="AB755" s="368"/>
      <c r="AC755" s="368"/>
      <c r="AD755" s="368"/>
      <c r="AE755" s="368"/>
      <c r="AF755" s="368"/>
      <c r="AG755" s="368"/>
      <c r="AH755" s="368"/>
      <c r="AI755" s="368"/>
      <c r="AJ755" s="368"/>
      <c r="AK755" s="368"/>
      <c r="AL755" s="368"/>
      <c r="AM755" s="368"/>
      <c r="AN755" s="368"/>
      <c r="AO755" s="368"/>
      <c r="AP755" s="368"/>
      <c r="AQ755" s="368"/>
      <c r="AR755" s="368"/>
      <c r="AS755" s="368"/>
      <c r="AT755" s="368"/>
      <c r="AU755" s="368"/>
      <c r="AV755" s="368"/>
      <c r="AW755" s="368"/>
      <c r="AX755" s="368"/>
      <c r="AY755" s="368"/>
      <c r="AZ755" s="368"/>
      <c r="BA755" s="368"/>
      <c r="BB755" s="368"/>
      <c r="BC755" s="368"/>
      <c r="BD755" s="368"/>
      <c r="BE755" s="369"/>
    </row>
    <row r="756" spans="1:57" s="367" customFormat="1" ht="15.75">
      <c r="A756" s="927"/>
      <c r="B756" s="868"/>
      <c r="C756" s="868"/>
      <c r="D756" s="84">
        <v>2019</v>
      </c>
      <c r="E756" s="85">
        <f t="shared" ref="E756:J756" si="274">E782</f>
        <v>10</v>
      </c>
      <c r="F756" s="85">
        <f t="shared" si="274"/>
        <v>0</v>
      </c>
      <c r="G756" s="85">
        <f t="shared" si="274"/>
        <v>0</v>
      </c>
      <c r="H756" s="85">
        <f t="shared" si="274"/>
        <v>6</v>
      </c>
      <c r="I756" s="85">
        <f t="shared" si="274"/>
        <v>4</v>
      </c>
      <c r="J756" s="85">
        <f t="shared" si="274"/>
        <v>0</v>
      </c>
      <c r="K756" s="86">
        <f t="shared" si="264"/>
        <v>10</v>
      </c>
      <c r="L756" s="136"/>
      <c r="M756" s="136"/>
      <c r="N756" s="137"/>
      <c r="O756" s="90"/>
      <c r="P756" s="368"/>
      <c r="Q756" s="368"/>
      <c r="R756" s="368"/>
      <c r="S756" s="368"/>
      <c r="T756" s="368"/>
      <c r="U756" s="368"/>
      <c r="V756" s="368"/>
      <c r="W756" s="368"/>
      <c r="X756" s="368"/>
      <c r="Y756" s="368"/>
      <c r="Z756" s="368"/>
      <c r="AA756" s="368"/>
      <c r="AB756" s="368"/>
      <c r="AC756" s="368"/>
      <c r="AD756" s="368"/>
      <c r="AE756" s="368"/>
      <c r="AF756" s="368"/>
      <c r="AG756" s="368"/>
      <c r="AH756" s="368"/>
      <c r="AI756" s="368"/>
      <c r="AJ756" s="368"/>
      <c r="AK756" s="368"/>
      <c r="AL756" s="368"/>
      <c r="AM756" s="368"/>
      <c r="AN756" s="368"/>
      <c r="AO756" s="368"/>
      <c r="AP756" s="368"/>
      <c r="AQ756" s="368"/>
      <c r="AR756" s="368"/>
      <c r="AS756" s="368"/>
      <c r="AT756" s="368"/>
      <c r="AU756" s="368"/>
      <c r="AV756" s="368"/>
      <c r="AW756" s="368"/>
      <c r="AX756" s="368"/>
      <c r="AY756" s="368"/>
      <c r="AZ756" s="368"/>
      <c r="BA756" s="368"/>
      <c r="BB756" s="368"/>
      <c r="BC756" s="368"/>
      <c r="BD756" s="368"/>
      <c r="BE756" s="369"/>
    </row>
    <row r="757" spans="1:57" s="367" customFormat="1" ht="15.75">
      <c r="A757" s="927"/>
      <c r="B757" s="868"/>
      <c r="C757" s="868"/>
      <c r="D757" s="84">
        <v>2020</v>
      </c>
      <c r="E757" s="85">
        <f t="shared" ref="E757:J757" si="275">E764+E771+E775+E778+E790+E795+E803+E811+E814</f>
        <v>122.922</v>
      </c>
      <c r="F757" s="85">
        <f t="shared" si="275"/>
        <v>0</v>
      </c>
      <c r="G757" s="85">
        <f t="shared" si="275"/>
        <v>0</v>
      </c>
      <c r="H757" s="85">
        <f t="shared" si="275"/>
        <v>40.061</v>
      </c>
      <c r="I757" s="85">
        <f t="shared" si="275"/>
        <v>82.861000000000004</v>
      </c>
      <c r="J757" s="85">
        <f t="shared" si="275"/>
        <v>0</v>
      </c>
      <c r="K757" s="86">
        <f t="shared" si="264"/>
        <v>122.922</v>
      </c>
      <c r="L757" s="136"/>
      <c r="M757" s="136"/>
      <c r="N757" s="137"/>
      <c r="O757" s="90"/>
      <c r="P757" s="368"/>
      <c r="Q757" s="368"/>
      <c r="R757" s="368"/>
      <c r="S757" s="368"/>
      <c r="T757" s="368"/>
      <c r="U757" s="368"/>
      <c r="V757" s="368"/>
      <c r="W757" s="368"/>
      <c r="X757" s="368"/>
      <c r="Y757" s="368"/>
      <c r="Z757" s="368"/>
      <c r="AA757" s="368"/>
      <c r="AB757" s="368"/>
      <c r="AC757" s="368"/>
      <c r="AD757" s="368"/>
      <c r="AE757" s="368"/>
      <c r="AF757" s="368"/>
      <c r="AG757" s="368"/>
      <c r="AH757" s="368"/>
      <c r="AI757" s="368"/>
      <c r="AJ757" s="368"/>
      <c r="AK757" s="368"/>
      <c r="AL757" s="368"/>
      <c r="AM757" s="368"/>
      <c r="AN757" s="368"/>
      <c r="AO757" s="368"/>
      <c r="AP757" s="368"/>
      <c r="AQ757" s="368"/>
      <c r="AR757" s="368"/>
      <c r="AS757" s="368"/>
      <c r="AT757" s="368"/>
      <c r="AU757" s="368"/>
      <c r="AV757" s="368"/>
      <c r="AW757" s="368"/>
      <c r="AX757" s="368"/>
      <c r="AY757" s="368"/>
      <c r="AZ757" s="368"/>
      <c r="BA757" s="368"/>
      <c r="BB757" s="368"/>
      <c r="BC757" s="368"/>
      <c r="BD757" s="368"/>
      <c r="BE757" s="369"/>
    </row>
    <row r="758" spans="1:57" s="367" customFormat="1" ht="15.75">
      <c r="A758" s="927"/>
      <c r="B758" s="868"/>
      <c r="C758" s="868"/>
      <c r="D758" s="84">
        <v>2021</v>
      </c>
      <c r="E758" s="85">
        <f t="shared" ref="E758:J758" si="276">E765+E772+E776+E779+E791+E796+E800+E804+E809+E812+E815</f>
        <v>83.195999999999998</v>
      </c>
      <c r="F758" s="85">
        <f t="shared" si="276"/>
        <v>0</v>
      </c>
      <c r="G758" s="85">
        <f t="shared" si="276"/>
        <v>0</v>
      </c>
      <c r="H758" s="85">
        <f t="shared" si="276"/>
        <v>42.477999999999994</v>
      </c>
      <c r="I758" s="85">
        <f t="shared" si="276"/>
        <v>40.717999999999996</v>
      </c>
      <c r="J758" s="85">
        <f t="shared" si="276"/>
        <v>0</v>
      </c>
      <c r="K758" s="86">
        <f t="shared" si="264"/>
        <v>83.195999999999998</v>
      </c>
      <c r="L758" s="136"/>
      <c r="M758" s="136"/>
      <c r="N758" s="137"/>
      <c r="O758" s="90"/>
      <c r="P758" s="368"/>
      <c r="Q758" s="368"/>
      <c r="R758" s="368"/>
      <c r="S758" s="368"/>
      <c r="T758" s="368"/>
      <c r="U758" s="368"/>
      <c r="V758" s="368"/>
      <c r="W758" s="368"/>
      <c r="X758" s="368"/>
      <c r="Y758" s="368"/>
      <c r="Z758" s="368"/>
      <c r="AA758" s="368"/>
      <c r="AB758" s="368"/>
      <c r="AC758" s="368"/>
      <c r="AD758" s="368"/>
      <c r="AE758" s="368"/>
      <c r="AF758" s="368"/>
      <c r="AG758" s="368"/>
      <c r="AH758" s="368"/>
      <c r="AI758" s="368"/>
      <c r="AJ758" s="368"/>
      <c r="AK758" s="368"/>
      <c r="AL758" s="368"/>
      <c r="AM758" s="368"/>
      <c r="AN758" s="368"/>
      <c r="AO758" s="368"/>
      <c r="AP758" s="368"/>
      <c r="AQ758" s="368"/>
      <c r="AR758" s="368"/>
      <c r="AS758" s="368"/>
      <c r="AT758" s="368"/>
      <c r="AU758" s="368"/>
      <c r="AV758" s="368"/>
      <c r="AW758" s="368"/>
      <c r="AX758" s="368"/>
      <c r="AY758" s="368"/>
      <c r="AZ758" s="368"/>
      <c r="BA758" s="368"/>
      <c r="BB758" s="368"/>
      <c r="BC758" s="368"/>
      <c r="BD758" s="368"/>
      <c r="BE758" s="369"/>
    </row>
    <row r="759" spans="1:57" s="367" customFormat="1" ht="15.75">
      <c r="A759" s="927"/>
      <c r="B759" s="868"/>
      <c r="C759" s="868"/>
      <c r="D759" s="84">
        <v>2022</v>
      </c>
      <c r="E759" s="85">
        <f t="shared" ref="E759:J759" si="277">E766+E773+E780+E785+E793+E805+E807+E801</f>
        <v>96.412999999999997</v>
      </c>
      <c r="F759" s="85">
        <f t="shared" si="277"/>
        <v>0</v>
      </c>
      <c r="G759" s="85">
        <f t="shared" si="277"/>
        <v>0</v>
      </c>
      <c r="H759" s="85">
        <f t="shared" si="277"/>
        <v>50.173999999999999</v>
      </c>
      <c r="I759" s="85">
        <f t="shared" si="277"/>
        <v>46.238999999999997</v>
      </c>
      <c r="J759" s="85">
        <f t="shared" si="277"/>
        <v>0</v>
      </c>
      <c r="K759" s="86">
        <f t="shared" si="264"/>
        <v>96.412999999999997</v>
      </c>
      <c r="L759" s="136"/>
      <c r="M759" s="136"/>
      <c r="N759" s="137"/>
      <c r="O759" s="90"/>
      <c r="P759" s="368"/>
      <c r="Q759" s="368"/>
      <c r="R759" s="368"/>
      <c r="S759" s="368"/>
      <c r="T759" s="368"/>
      <c r="U759" s="368"/>
      <c r="V759" s="368"/>
      <c r="W759" s="368"/>
      <c r="X759" s="368"/>
      <c r="Y759" s="368"/>
      <c r="Z759" s="368"/>
      <c r="AA759" s="368"/>
      <c r="AB759" s="368"/>
      <c r="AC759" s="368"/>
      <c r="AD759" s="368"/>
      <c r="AE759" s="368"/>
      <c r="AF759" s="368"/>
      <c r="AG759" s="368"/>
      <c r="AH759" s="368"/>
      <c r="AI759" s="368"/>
      <c r="AJ759" s="368"/>
      <c r="AK759" s="368"/>
      <c r="AL759" s="368"/>
      <c r="AM759" s="368"/>
      <c r="AN759" s="368"/>
      <c r="AO759" s="368"/>
      <c r="AP759" s="368"/>
      <c r="AQ759" s="368"/>
      <c r="AR759" s="368"/>
      <c r="AS759" s="368"/>
      <c r="AT759" s="368"/>
      <c r="AU759" s="368"/>
      <c r="AV759" s="368"/>
      <c r="AW759" s="368"/>
      <c r="AX759" s="368"/>
      <c r="AY759" s="368"/>
      <c r="AZ759" s="368"/>
      <c r="BA759" s="368"/>
      <c r="BB759" s="368"/>
      <c r="BC759" s="368"/>
      <c r="BD759" s="368"/>
      <c r="BE759" s="369"/>
    </row>
    <row r="760" spans="1:57" s="367" customFormat="1" ht="15.75">
      <c r="A760" s="927"/>
      <c r="B760" s="868"/>
      <c r="C760" s="868"/>
      <c r="D760" s="84">
        <v>2023</v>
      </c>
      <c r="E760" s="85">
        <f t="shared" ref="E760:J760" si="278">E797</f>
        <v>8</v>
      </c>
      <c r="F760" s="85">
        <f t="shared" si="278"/>
        <v>0</v>
      </c>
      <c r="G760" s="85">
        <f t="shared" si="278"/>
        <v>0</v>
      </c>
      <c r="H760" s="85">
        <f t="shared" si="278"/>
        <v>4</v>
      </c>
      <c r="I760" s="85">
        <f t="shared" si="278"/>
        <v>4</v>
      </c>
      <c r="J760" s="85">
        <f t="shared" si="278"/>
        <v>0</v>
      </c>
      <c r="K760" s="86"/>
      <c r="L760" s="136"/>
      <c r="M760" s="136"/>
      <c r="N760" s="137"/>
      <c r="O760" s="90"/>
      <c r="P760" s="368"/>
      <c r="Q760" s="368"/>
      <c r="R760" s="368"/>
      <c r="S760" s="368"/>
      <c r="T760" s="368"/>
      <c r="U760" s="368"/>
      <c r="V760" s="368"/>
      <c r="W760" s="368"/>
      <c r="X760" s="368"/>
      <c r="Y760" s="368"/>
      <c r="Z760" s="368"/>
      <c r="AA760" s="368"/>
      <c r="AB760" s="368"/>
      <c r="AC760" s="368"/>
      <c r="AD760" s="368"/>
      <c r="AE760" s="368"/>
      <c r="AF760" s="368"/>
      <c r="AG760" s="368"/>
      <c r="AH760" s="368"/>
      <c r="AI760" s="368"/>
      <c r="AJ760" s="368"/>
      <c r="AK760" s="368"/>
      <c r="AL760" s="368"/>
      <c r="AM760" s="368"/>
      <c r="AN760" s="368"/>
      <c r="AO760" s="368"/>
      <c r="AP760" s="368"/>
      <c r="AQ760" s="368"/>
      <c r="AR760" s="368"/>
      <c r="AS760" s="368"/>
      <c r="AT760" s="368"/>
      <c r="AU760" s="368"/>
      <c r="AV760" s="368"/>
      <c r="AW760" s="368"/>
      <c r="AX760" s="368"/>
      <c r="AY760" s="368"/>
      <c r="AZ760" s="368"/>
      <c r="BA760" s="368"/>
      <c r="BB760" s="368"/>
      <c r="BC760" s="368"/>
      <c r="BD760" s="368"/>
      <c r="BE760" s="369"/>
    </row>
    <row r="761" spans="1:57" s="367" customFormat="1" ht="15.75">
      <c r="A761" s="927"/>
      <c r="B761" s="868"/>
      <c r="C761" s="868"/>
      <c r="D761" s="84">
        <v>2026</v>
      </c>
      <c r="E761" s="85">
        <f t="shared" ref="E761:J762" si="279">E787</f>
        <v>30</v>
      </c>
      <c r="F761" s="85">
        <f t="shared" si="279"/>
        <v>0</v>
      </c>
      <c r="G761" s="85">
        <f t="shared" si="279"/>
        <v>0</v>
      </c>
      <c r="H761" s="85">
        <f t="shared" si="279"/>
        <v>15</v>
      </c>
      <c r="I761" s="85">
        <f t="shared" si="279"/>
        <v>15</v>
      </c>
      <c r="J761" s="85">
        <f t="shared" si="279"/>
        <v>0</v>
      </c>
      <c r="K761" s="86">
        <f t="shared" ref="K761:K824" si="280">F761+G761+H761+I761+J761</f>
        <v>30</v>
      </c>
      <c r="L761" s="136"/>
      <c r="M761" s="136"/>
      <c r="N761" s="137"/>
      <c r="O761" s="90"/>
      <c r="P761" s="368"/>
      <c r="Q761" s="368"/>
      <c r="R761" s="368"/>
      <c r="S761" s="368"/>
      <c r="T761" s="368"/>
      <c r="U761" s="368"/>
      <c r="V761" s="368"/>
      <c r="W761" s="368"/>
      <c r="X761" s="368"/>
      <c r="Y761" s="368"/>
      <c r="Z761" s="368"/>
      <c r="AA761" s="368"/>
      <c r="AB761" s="368"/>
      <c r="AC761" s="368"/>
      <c r="AD761" s="368"/>
      <c r="AE761" s="368"/>
      <c r="AF761" s="368"/>
      <c r="AG761" s="368"/>
      <c r="AH761" s="368"/>
      <c r="AI761" s="368"/>
      <c r="AJ761" s="368"/>
      <c r="AK761" s="368"/>
      <c r="AL761" s="368"/>
      <c r="AM761" s="368"/>
      <c r="AN761" s="368"/>
      <c r="AO761" s="368"/>
      <c r="AP761" s="368"/>
      <c r="AQ761" s="368"/>
      <c r="AR761" s="368"/>
      <c r="AS761" s="368"/>
      <c r="AT761" s="368"/>
      <c r="AU761" s="368"/>
      <c r="AV761" s="368"/>
      <c r="AW761" s="368"/>
      <c r="AX761" s="368"/>
      <c r="AY761" s="368"/>
      <c r="AZ761" s="368"/>
      <c r="BA761" s="368"/>
      <c r="BB761" s="368"/>
      <c r="BC761" s="368"/>
      <c r="BD761" s="368"/>
      <c r="BE761" s="369"/>
    </row>
    <row r="762" spans="1:57" s="367" customFormat="1" ht="15.75">
      <c r="A762" s="927"/>
      <c r="B762" s="868"/>
      <c r="C762" s="868"/>
      <c r="D762" s="84">
        <v>2030</v>
      </c>
      <c r="E762" s="85">
        <f t="shared" si="279"/>
        <v>30</v>
      </c>
      <c r="F762" s="85">
        <f t="shared" si="279"/>
        <v>0</v>
      </c>
      <c r="G762" s="85">
        <f t="shared" si="279"/>
        <v>0</v>
      </c>
      <c r="H762" s="85">
        <f t="shared" si="279"/>
        <v>15</v>
      </c>
      <c r="I762" s="85">
        <f t="shared" si="279"/>
        <v>15</v>
      </c>
      <c r="J762" s="85">
        <f t="shared" si="279"/>
        <v>0</v>
      </c>
      <c r="K762" s="86">
        <f t="shared" si="280"/>
        <v>30</v>
      </c>
      <c r="L762" s="136"/>
      <c r="M762" s="136"/>
      <c r="N762" s="137"/>
      <c r="O762" s="90"/>
      <c r="P762" s="368"/>
      <c r="Q762" s="368"/>
      <c r="R762" s="368"/>
      <c r="S762" s="368"/>
      <c r="T762" s="368"/>
      <c r="U762" s="368"/>
      <c r="V762" s="368"/>
      <c r="W762" s="368"/>
      <c r="X762" s="368"/>
      <c r="Y762" s="368"/>
      <c r="Z762" s="368"/>
      <c r="AA762" s="368"/>
      <c r="AB762" s="368"/>
      <c r="AC762" s="368"/>
      <c r="AD762" s="368"/>
      <c r="AE762" s="368"/>
      <c r="AF762" s="368"/>
      <c r="AG762" s="368"/>
      <c r="AH762" s="368"/>
      <c r="AI762" s="368"/>
      <c r="AJ762" s="368"/>
      <c r="AK762" s="368"/>
      <c r="AL762" s="368"/>
      <c r="AM762" s="368"/>
      <c r="AN762" s="368"/>
      <c r="AO762" s="368"/>
      <c r="AP762" s="368"/>
      <c r="AQ762" s="368"/>
      <c r="AR762" s="368"/>
      <c r="AS762" s="368"/>
      <c r="AT762" s="368"/>
      <c r="AU762" s="368"/>
      <c r="AV762" s="368"/>
      <c r="AW762" s="368"/>
      <c r="AX762" s="368"/>
      <c r="AY762" s="368"/>
      <c r="AZ762" s="368"/>
      <c r="BA762" s="368"/>
      <c r="BB762" s="368"/>
      <c r="BC762" s="368"/>
      <c r="BD762" s="368"/>
      <c r="BE762" s="369"/>
    </row>
    <row r="763" spans="1:57" s="51" customFormat="1">
      <c r="A763" s="1048" t="s">
        <v>878</v>
      </c>
      <c r="B763" s="867" t="s">
        <v>879</v>
      </c>
      <c r="C763" s="867" t="s">
        <v>532</v>
      </c>
      <c r="D763" s="84" t="s">
        <v>16</v>
      </c>
      <c r="E763" s="85">
        <f t="shared" ref="E763:J763" si="281">E764+E765+E766</f>
        <v>99.140999999999991</v>
      </c>
      <c r="F763" s="85">
        <f t="shared" si="281"/>
        <v>0</v>
      </c>
      <c r="G763" s="85">
        <f t="shared" si="281"/>
        <v>0</v>
      </c>
      <c r="H763" s="85">
        <f t="shared" si="281"/>
        <v>27.07</v>
      </c>
      <c r="I763" s="85">
        <f t="shared" si="281"/>
        <v>72.070999999999998</v>
      </c>
      <c r="J763" s="85">
        <f t="shared" si="281"/>
        <v>0</v>
      </c>
      <c r="K763" s="86">
        <f t="shared" si="280"/>
        <v>99.140999999999991</v>
      </c>
      <c r="L763" s="1051" t="s">
        <v>880</v>
      </c>
      <c r="M763" s="1051">
        <v>65.400000000000006</v>
      </c>
      <c r="N763" s="1054">
        <v>10</v>
      </c>
      <c r="O763" s="995" t="s">
        <v>881</v>
      </c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  <c r="AO763" s="49"/>
      <c r="AP763" s="49"/>
      <c r="AQ763" s="49"/>
      <c r="AR763" s="49"/>
      <c r="AS763" s="49"/>
      <c r="AT763" s="49"/>
      <c r="AU763" s="49"/>
      <c r="AV763" s="49"/>
      <c r="AW763" s="49"/>
      <c r="AX763" s="49"/>
      <c r="AY763" s="49"/>
      <c r="AZ763" s="49"/>
      <c r="BA763" s="49"/>
      <c r="BB763" s="49"/>
      <c r="BC763" s="49"/>
      <c r="BD763" s="49"/>
      <c r="BE763" s="68"/>
    </row>
    <row r="764" spans="1:57" s="51" customFormat="1">
      <c r="A764" s="944"/>
      <c r="B764" s="868"/>
      <c r="C764" s="868"/>
      <c r="D764" s="62">
        <v>2020</v>
      </c>
      <c r="E764" s="63">
        <f t="shared" ref="E764:E769" si="282">F764+G764+H764+I764+J764</f>
        <v>74.19</v>
      </c>
      <c r="F764" s="63">
        <v>0</v>
      </c>
      <c r="G764" s="63">
        <v>0</v>
      </c>
      <c r="H764" s="63">
        <v>14.595000000000001</v>
      </c>
      <c r="I764" s="63">
        <v>59.594999999999999</v>
      </c>
      <c r="J764" s="63">
        <v>0</v>
      </c>
      <c r="K764" s="86">
        <f t="shared" si="280"/>
        <v>74.19</v>
      </c>
      <c r="L764" s="1052"/>
      <c r="M764" s="1052"/>
      <c r="N764" s="1055"/>
      <c r="O764" s="1030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  <c r="AR764" s="49"/>
      <c r="AS764" s="49"/>
      <c r="AT764" s="49"/>
      <c r="AU764" s="49"/>
      <c r="AV764" s="49"/>
      <c r="AW764" s="49"/>
      <c r="AX764" s="49"/>
      <c r="AY764" s="49"/>
      <c r="AZ764" s="49"/>
      <c r="BA764" s="49"/>
      <c r="BB764" s="49"/>
      <c r="BC764" s="49"/>
      <c r="BD764" s="49"/>
      <c r="BE764" s="68"/>
    </row>
    <row r="765" spans="1:57" s="51" customFormat="1">
      <c r="A765" s="944"/>
      <c r="B765" s="868"/>
      <c r="C765" s="868"/>
      <c r="D765" s="103">
        <v>2021</v>
      </c>
      <c r="E765" s="63">
        <f t="shared" si="282"/>
        <v>17.771999999999998</v>
      </c>
      <c r="F765" s="63">
        <v>0</v>
      </c>
      <c r="G765" s="63">
        <v>0</v>
      </c>
      <c r="H765" s="63">
        <v>8.8859999999999992</v>
      </c>
      <c r="I765" s="63">
        <v>8.8859999999999992</v>
      </c>
      <c r="J765" s="63">
        <v>0</v>
      </c>
      <c r="K765" s="86">
        <f t="shared" si="280"/>
        <v>17.771999999999998</v>
      </c>
      <c r="L765" s="1052"/>
      <c r="M765" s="1052"/>
      <c r="N765" s="1055"/>
      <c r="O765" s="1030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  <c r="AT765" s="49"/>
      <c r="AU765" s="49"/>
      <c r="AV765" s="49"/>
      <c r="AW765" s="49"/>
      <c r="AX765" s="49"/>
      <c r="AY765" s="49"/>
      <c r="AZ765" s="49"/>
      <c r="BA765" s="49"/>
      <c r="BB765" s="49"/>
      <c r="BC765" s="49"/>
      <c r="BD765" s="49"/>
      <c r="BE765" s="68"/>
    </row>
    <row r="766" spans="1:57" s="187" customFormat="1">
      <c r="A766" s="945"/>
      <c r="B766" s="869"/>
      <c r="C766" s="868"/>
      <c r="D766" s="394">
        <v>2022</v>
      </c>
      <c r="E766" s="108">
        <f t="shared" si="282"/>
        <v>7.1790000000000003</v>
      </c>
      <c r="F766" s="108">
        <v>0</v>
      </c>
      <c r="G766" s="108">
        <v>0</v>
      </c>
      <c r="H766" s="108">
        <v>3.589</v>
      </c>
      <c r="I766" s="108">
        <v>3.59</v>
      </c>
      <c r="J766" s="108">
        <v>0</v>
      </c>
      <c r="K766" s="86">
        <f t="shared" si="280"/>
        <v>7.1790000000000003</v>
      </c>
      <c r="L766" s="1053"/>
      <c r="M766" s="1053"/>
      <c r="N766" s="1056"/>
      <c r="O766" s="1030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  <c r="AT766" s="49"/>
      <c r="AU766" s="49"/>
      <c r="AV766" s="49"/>
      <c r="AW766" s="49"/>
      <c r="AX766" s="49"/>
      <c r="AY766" s="49"/>
      <c r="AZ766" s="49"/>
      <c r="BA766" s="49"/>
      <c r="BB766" s="49"/>
      <c r="BC766" s="49"/>
      <c r="BD766" s="49"/>
      <c r="BE766" s="396"/>
    </row>
    <row r="767" spans="1:57" s="187" customFormat="1" ht="51">
      <c r="A767" s="397" t="s">
        <v>882</v>
      </c>
      <c r="B767" s="78" t="s">
        <v>883</v>
      </c>
      <c r="C767" s="868"/>
      <c r="D767" s="103">
        <v>2020</v>
      </c>
      <c r="E767" s="108">
        <f t="shared" si="282"/>
        <v>74.19</v>
      </c>
      <c r="F767" s="108">
        <v>0</v>
      </c>
      <c r="G767" s="108">
        <v>0</v>
      </c>
      <c r="H767" s="108">
        <v>14.595000000000001</v>
      </c>
      <c r="I767" s="108">
        <v>59.594999999999999</v>
      </c>
      <c r="J767" s="108">
        <v>0</v>
      </c>
      <c r="K767" s="86">
        <f t="shared" si="280"/>
        <v>74.19</v>
      </c>
      <c r="L767" s="191"/>
      <c r="M767" s="191"/>
      <c r="N767" s="305">
        <v>2</v>
      </c>
      <c r="O767" s="1030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  <c r="AT767" s="49"/>
      <c r="AU767" s="49"/>
      <c r="AV767" s="49"/>
      <c r="AW767" s="49"/>
      <c r="AX767" s="49"/>
      <c r="AY767" s="49"/>
      <c r="AZ767" s="49"/>
      <c r="BA767" s="49"/>
      <c r="BB767" s="49"/>
      <c r="BC767" s="49"/>
      <c r="BD767" s="49"/>
      <c r="BE767" s="396"/>
    </row>
    <row r="768" spans="1:57" s="51" customFormat="1" ht="25.5">
      <c r="A768" s="398" t="s">
        <v>884</v>
      </c>
      <c r="B768" s="60" t="s">
        <v>885</v>
      </c>
      <c r="C768" s="868"/>
      <c r="D768" s="62">
        <v>2021</v>
      </c>
      <c r="E768" s="63">
        <f t="shared" si="282"/>
        <v>17.771999999999998</v>
      </c>
      <c r="F768" s="63">
        <v>0</v>
      </c>
      <c r="G768" s="63">
        <v>0</v>
      </c>
      <c r="H768" s="63">
        <v>8.8859999999999992</v>
      </c>
      <c r="I768" s="63">
        <v>8.8859999999999992</v>
      </c>
      <c r="J768" s="63">
        <v>0</v>
      </c>
      <c r="K768" s="86">
        <f t="shared" si="280"/>
        <v>17.771999999999998</v>
      </c>
      <c r="L768" s="347"/>
      <c r="M768" s="347"/>
      <c r="N768" s="399">
        <v>5</v>
      </c>
      <c r="O768" s="1030"/>
    </row>
    <row r="769" spans="1:57" s="51" customFormat="1">
      <c r="A769" s="398" t="s">
        <v>886</v>
      </c>
      <c r="B769" s="60" t="s">
        <v>887</v>
      </c>
      <c r="C769" s="868"/>
      <c r="D769" s="62">
        <v>2022</v>
      </c>
      <c r="E769" s="63">
        <f t="shared" si="282"/>
        <v>7.1790000000000003</v>
      </c>
      <c r="F769" s="63">
        <v>0</v>
      </c>
      <c r="G769" s="63">
        <v>0</v>
      </c>
      <c r="H769" s="63">
        <v>3.589</v>
      </c>
      <c r="I769" s="63">
        <v>3.59</v>
      </c>
      <c r="J769" s="63">
        <v>0</v>
      </c>
      <c r="K769" s="86">
        <f t="shared" si="280"/>
        <v>7.1790000000000003</v>
      </c>
      <c r="L769" s="347"/>
      <c r="M769" s="347"/>
      <c r="N769" s="399">
        <v>3</v>
      </c>
      <c r="O769" s="1030"/>
    </row>
    <row r="770" spans="1:57" s="334" customFormat="1">
      <c r="A770" s="1048" t="s">
        <v>888</v>
      </c>
      <c r="B770" s="881" t="s">
        <v>889</v>
      </c>
      <c r="C770" s="868"/>
      <c r="D770" s="140" t="s">
        <v>16</v>
      </c>
      <c r="E770" s="141">
        <f t="shared" ref="E770:J770" si="283">E771+E772+E773</f>
        <v>37.706000000000003</v>
      </c>
      <c r="F770" s="141">
        <f t="shared" si="283"/>
        <v>0</v>
      </c>
      <c r="G770" s="141">
        <f t="shared" si="283"/>
        <v>0</v>
      </c>
      <c r="H770" s="141">
        <f t="shared" si="283"/>
        <v>18.853000000000002</v>
      </c>
      <c r="I770" s="141">
        <f t="shared" si="283"/>
        <v>18.853000000000002</v>
      </c>
      <c r="J770" s="141">
        <f t="shared" si="283"/>
        <v>0</v>
      </c>
      <c r="K770" s="86">
        <f t="shared" si="280"/>
        <v>37.706000000000003</v>
      </c>
      <c r="L770" s="141" t="s">
        <v>890</v>
      </c>
      <c r="M770" s="141">
        <v>25.9</v>
      </c>
      <c r="N770" s="395">
        <v>5</v>
      </c>
      <c r="O770" s="995" t="s">
        <v>891</v>
      </c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  <c r="AT770" s="49"/>
      <c r="AU770" s="49"/>
      <c r="AV770" s="49"/>
      <c r="AW770" s="49"/>
      <c r="AX770" s="49"/>
      <c r="AY770" s="49"/>
      <c r="AZ770" s="49"/>
      <c r="BA770" s="49"/>
      <c r="BB770" s="49"/>
      <c r="BC770" s="49"/>
      <c r="BD770" s="49"/>
      <c r="BE770" s="336"/>
    </row>
    <row r="771" spans="1:57" s="51" customFormat="1">
      <c r="A771" s="1049"/>
      <c r="B771" s="882"/>
      <c r="C771" s="868"/>
      <c r="D771" s="62">
        <v>2020</v>
      </c>
      <c r="E771" s="63">
        <f>F771+G771+H771+I771+J771</f>
        <v>14.596</v>
      </c>
      <c r="F771" s="63">
        <v>0</v>
      </c>
      <c r="G771" s="63">
        <v>0</v>
      </c>
      <c r="H771" s="63">
        <v>7.298</v>
      </c>
      <c r="I771" s="63">
        <v>7.298</v>
      </c>
      <c r="J771" s="63">
        <v>0</v>
      </c>
      <c r="K771" s="86">
        <f t="shared" si="280"/>
        <v>14.596</v>
      </c>
      <c r="L771" s="185"/>
      <c r="M771" s="185"/>
      <c r="N771" s="301"/>
      <c r="O771" s="1030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  <c r="AT771" s="49"/>
      <c r="AU771" s="49"/>
      <c r="AV771" s="49"/>
      <c r="AW771" s="49"/>
      <c r="AX771" s="49"/>
      <c r="AY771" s="49"/>
      <c r="AZ771" s="49"/>
      <c r="BA771" s="49"/>
      <c r="BB771" s="49"/>
      <c r="BC771" s="49"/>
      <c r="BD771" s="49"/>
      <c r="BE771" s="68"/>
    </row>
    <row r="772" spans="1:57" s="51" customFormat="1">
      <c r="A772" s="1049"/>
      <c r="B772" s="882"/>
      <c r="C772" s="868"/>
      <c r="D772" s="62">
        <v>2021</v>
      </c>
      <c r="E772" s="63">
        <f>F772+G772+H772+I772+J772</f>
        <v>8.07</v>
      </c>
      <c r="F772" s="63">
        <v>0</v>
      </c>
      <c r="G772" s="63">
        <v>0</v>
      </c>
      <c r="H772" s="63">
        <v>4.0350000000000001</v>
      </c>
      <c r="I772" s="63">
        <v>4.0350000000000001</v>
      </c>
      <c r="J772" s="63">
        <v>0</v>
      </c>
      <c r="K772" s="86">
        <f t="shared" si="280"/>
        <v>8.07</v>
      </c>
      <c r="L772" s="185"/>
      <c r="M772" s="185"/>
      <c r="N772" s="301"/>
      <c r="O772" s="996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49"/>
      <c r="AU772" s="49"/>
      <c r="AV772" s="49"/>
      <c r="AW772" s="49"/>
      <c r="AX772" s="49"/>
      <c r="AY772" s="49"/>
      <c r="AZ772" s="49"/>
      <c r="BA772" s="49"/>
      <c r="BB772" s="49"/>
      <c r="BC772" s="49"/>
      <c r="BD772" s="49"/>
      <c r="BE772" s="68"/>
    </row>
    <row r="773" spans="1:57" s="51" customFormat="1" ht="54" customHeight="1">
      <c r="A773" s="1050"/>
      <c r="B773" s="964"/>
      <c r="C773" s="868"/>
      <c r="D773" s="62">
        <v>2022</v>
      </c>
      <c r="E773" s="63">
        <f>F773+G773+H773+I773+J773</f>
        <v>15.04</v>
      </c>
      <c r="F773" s="63">
        <v>0</v>
      </c>
      <c r="G773" s="63">
        <v>0</v>
      </c>
      <c r="H773" s="63">
        <v>7.52</v>
      </c>
      <c r="I773" s="63">
        <v>7.52</v>
      </c>
      <c r="J773" s="63">
        <v>0</v>
      </c>
      <c r="K773" s="86">
        <f t="shared" si="280"/>
        <v>15.04</v>
      </c>
      <c r="L773" s="185"/>
      <c r="M773" s="185"/>
      <c r="N773" s="301"/>
      <c r="O773" s="385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  <c r="AR773" s="49"/>
      <c r="AS773" s="49"/>
      <c r="AT773" s="49"/>
      <c r="AU773" s="49"/>
      <c r="AV773" s="49"/>
      <c r="AW773" s="49"/>
      <c r="AX773" s="49"/>
      <c r="AY773" s="49"/>
      <c r="AZ773" s="49"/>
      <c r="BA773" s="49"/>
      <c r="BB773" s="49"/>
      <c r="BC773" s="49"/>
      <c r="BD773" s="49"/>
      <c r="BE773" s="68"/>
    </row>
    <row r="774" spans="1:57" s="51" customFormat="1">
      <c r="A774" s="1048" t="s">
        <v>892</v>
      </c>
      <c r="B774" s="867" t="s">
        <v>893</v>
      </c>
      <c r="C774" s="868"/>
      <c r="D774" s="84" t="s">
        <v>16</v>
      </c>
      <c r="E774" s="85">
        <f t="shared" ref="E774:J774" si="284">E775+E776</f>
        <v>13</v>
      </c>
      <c r="F774" s="85">
        <f t="shared" si="284"/>
        <v>0</v>
      </c>
      <c r="G774" s="85">
        <f t="shared" si="284"/>
        <v>0</v>
      </c>
      <c r="H774" s="85">
        <f t="shared" si="284"/>
        <v>6.5</v>
      </c>
      <c r="I774" s="85">
        <f t="shared" si="284"/>
        <v>6.5</v>
      </c>
      <c r="J774" s="85">
        <f t="shared" si="284"/>
        <v>0</v>
      </c>
      <c r="K774" s="86">
        <f t="shared" si="280"/>
        <v>13</v>
      </c>
      <c r="L774" s="85" t="s">
        <v>894</v>
      </c>
      <c r="M774" s="85">
        <v>9.6999999999999993</v>
      </c>
      <c r="N774" s="400">
        <v>2</v>
      </c>
      <c r="O774" s="1009" t="s">
        <v>895</v>
      </c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  <c r="AT774" s="49"/>
      <c r="AU774" s="49"/>
      <c r="AV774" s="49"/>
      <c r="AW774" s="49"/>
      <c r="AX774" s="49"/>
      <c r="AY774" s="49"/>
      <c r="AZ774" s="49"/>
      <c r="BA774" s="49"/>
      <c r="BB774" s="49"/>
      <c r="BC774" s="49"/>
      <c r="BD774" s="49"/>
      <c r="BE774" s="68"/>
    </row>
    <row r="775" spans="1:57" s="51" customFormat="1">
      <c r="A775" s="944"/>
      <c r="B775" s="868"/>
      <c r="C775" s="868"/>
      <c r="D775" s="62">
        <v>2020</v>
      </c>
      <c r="E775" s="63">
        <f>F775+G775+H775+I775+J775</f>
        <v>6.5</v>
      </c>
      <c r="F775" s="63">
        <v>0</v>
      </c>
      <c r="G775" s="63">
        <v>0</v>
      </c>
      <c r="H775" s="63">
        <v>3.25</v>
      </c>
      <c r="I775" s="63">
        <v>3.25</v>
      </c>
      <c r="J775" s="63">
        <v>0</v>
      </c>
      <c r="K775" s="86">
        <f t="shared" si="280"/>
        <v>6.5</v>
      </c>
      <c r="L775" s="185"/>
      <c r="M775" s="185"/>
      <c r="N775" s="301"/>
      <c r="O775" s="1047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68"/>
    </row>
    <row r="776" spans="1:57" s="51" customFormat="1">
      <c r="A776" s="237"/>
      <c r="B776" s="94"/>
      <c r="C776" s="94"/>
      <c r="D776" s="62">
        <v>2021</v>
      </c>
      <c r="E776" s="63">
        <f>F776+G776+H776+I776+J776</f>
        <v>6.5</v>
      </c>
      <c r="F776" s="63">
        <v>0</v>
      </c>
      <c r="G776" s="63">
        <v>0</v>
      </c>
      <c r="H776" s="63">
        <v>3.25</v>
      </c>
      <c r="I776" s="63">
        <v>3.25</v>
      </c>
      <c r="J776" s="63">
        <v>0</v>
      </c>
      <c r="K776" s="86">
        <f t="shared" si="280"/>
        <v>6.5</v>
      </c>
      <c r="L776" s="185"/>
      <c r="M776" s="185"/>
      <c r="N776" s="301"/>
      <c r="O776" s="353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68"/>
    </row>
    <row r="777" spans="1:57" s="51" customFormat="1">
      <c r="A777" s="1048" t="s">
        <v>896</v>
      </c>
      <c r="B777" s="881" t="s">
        <v>897</v>
      </c>
      <c r="C777" s="881" t="s">
        <v>532</v>
      </c>
      <c r="D777" s="84" t="s">
        <v>16</v>
      </c>
      <c r="E777" s="85">
        <f t="shared" ref="E777:J777" si="285">E778+E779+E780</f>
        <v>13.314</v>
      </c>
      <c r="F777" s="85">
        <f t="shared" si="285"/>
        <v>0</v>
      </c>
      <c r="G777" s="85">
        <f t="shared" si="285"/>
        <v>0</v>
      </c>
      <c r="H777" s="85">
        <f t="shared" si="285"/>
        <v>6.657</v>
      </c>
      <c r="I777" s="85">
        <f t="shared" si="285"/>
        <v>6.657</v>
      </c>
      <c r="J777" s="85">
        <f t="shared" si="285"/>
        <v>0</v>
      </c>
      <c r="K777" s="86">
        <f t="shared" si="280"/>
        <v>13.314</v>
      </c>
      <c r="L777" s="85" t="s">
        <v>898</v>
      </c>
      <c r="M777" s="85">
        <v>20.2</v>
      </c>
      <c r="N777" s="400">
        <v>7</v>
      </c>
      <c r="O777" s="1009" t="s">
        <v>899</v>
      </c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  <c r="AO777" s="49"/>
      <c r="AP777" s="49"/>
      <c r="AQ777" s="49"/>
      <c r="AR777" s="49"/>
      <c r="AS777" s="49"/>
      <c r="AT777" s="49"/>
      <c r="AU777" s="49"/>
      <c r="AV777" s="49"/>
      <c r="AW777" s="49"/>
      <c r="AX777" s="49"/>
      <c r="AY777" s="49"/>
      <c r="AZ777" s="49"/>
      <c r="BA777" s="49"/>
      <c r="BB777" s="49"/>
      <c r="BC777" s="49"/>
      <c r="BD777" s="49"/>
      <c r="BE777" s="68"/>
    </row>
    <row r="778" spans="1:57" s="51" customFormat="1">
      <c r="A778" s="1049"/>
      <c r="B778" s="882"/>
      <c r="C778" s="882"/>
      <c r="D778" s="62">
        <v>2020</v>
      </c>
      <c r="E778" s="63">
        <f>F778+G778+H778+I778+J778</f>
        <v>3.6360000000000001</v>
      </c>
      <c r="F778" s="63">
        <v>0</v>
      </c>
      <c r="G778" s="63">
        <v>0</v>
      </c>
      <c r="H778" s="63">
        <v>1.8180000000000001</v>
      </c>
      <c r="I778" s="63">
        <v>1.8180000000000001</v>
      </c>
      <c r="J778" s="63">
        <v>0</v>
      </c>
      <c r="K778" s="86">
        <f t="shared" si="280"/>
        <v>3.6360000000000001</v>
      </c>
      <c r="L778" s="185"/>
      <c r="M778" s="185"/>
      <c r="N778" s="301"/>
      <c r="O778" s="1047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  <c r="AO778" s="49"/>
      <c r="AP778" s="49"/>
      <c r="AQ778" s="49"/>
      <c r="AR778" s="49"/>
      <c r="AS778" s="49"/>
      <c r="AT778" s="49"/>
      <c r="AU778" s="49"/>
      <c r="AV778" s="49"/>
      <c r="AW778" s="49"/>
      <c r="AX778" s="49"/>
      <c r="AY778" s="49"/>
      <c r="AZ778" s="49"/>
      <c r="BA778" s="49"/>
      <c r="BB778" s="49"/>
      <c r="BC778" s="49"/>
      <c r="BD778" s="49"/>
      <c r="BE778" s="68"/>
    </row>
    <row r="779" spans="1:57" s="51" customFormat="1">
      <c r="A779" s="1049"/>
      <c r="B779" s="882"/>
      <c r="C779" s="882"/>
      <c r="D779" s="62">
        <v>2021</v>
      </c>
      <c r="E779" s="63">
        <f>F779+G779+H779+I779+J779</f>
        <v>6.1539999999999999</v>
      </c>
      <c r="F779" s="63">
        <v>0</v>
      </c>
      <c r="G779" s="63">
        <v>0</v>
      </c>
      <c r="H779" s="63">
        <v>3.077</v>
      </c>
      <c r="I779" s="63">
        <v>3.077</v>
      </c>
      <c r="J779" s="63">
        <v>0</v>
      </c>
      <c r="K779" s="86">
        <f t="shared" si="280"/>
        <v>6.1539999999999999</v>
      </c>
      <c r="L779" s="185"/>
      <c r="M779" s="185"/>
      <c r="N779" s="301"/>
      <c r="O779" s="1010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  <c r="AO779" s="49"/>
      <c r="AP779" s="49"/>
      <c r="AQ779" s="49"/>
      <c r="AR779" s="49"/>
      <c r="AS779" s="49"/>
      <c r="AT779" s="49"/>
      <c r="AU779" s="49"/>
      <c r="AV779" s="49"/>
      <c r="AW779" s="49"/>
      <c r="AX779" s="49"/>
      <c r="AY779" s="49"/>
      <c r="AZ779" s="49"/>
      <c r="BA779" s="49"/>
      <c r="BB779" s="49"/>
      <c r="BC779" s="49"/>
      <c r="BD779" s="49"/>
      <c r="BE779" s="68"/>
    </row>
    <row r="780" spans="1:57" s="51" customFormat="1" ht="26.25" customHeight="1">
      <c r="A780" s="1050"/>
      <c r="B780" s="964"/>
      <c r="C780" s="964"/>
      <c r="D780" s="62">
        <v>2022</v>
      </c>
      <c r="E780" s="63">
        <f>F780+G780+H780+I780+J780</f>
        <v>3.524</v>
      </c>
      <c r="F780" s="63">
        <v>0</v>
      </c>
      <c r="G780" s="63">
        <v>0</v>
      </c>
      <c r="H780" s="63">
        <v>1.762</v>
      </c>
      <c r="I780" s="63">
        <v>1.762</v>
      </c>
      <c r="J780" s="63">
        <v>0</v>
      </c>
      <c r="K780" s="86">
        <f t="shared" si="280"/>
        <v>3.524</v>
      </c>
      <c r="L780" s="185"/>
      <c r="M780" s="185"/>
      <c r="N780" s="301"/>
      <c r="O780" s="353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  <c r="AR780" s="49"/>
      <c r="AS780" s="49"/>
      <c r="AT780" s="49"/>
      <c r="AU780" s="49"/>
      <c r="AV780" s="49"/>
      <c r="AW780" s="49"/>
      <c r="AX780" s="49"/>
      <c r="AY780" s="49"/>
      <c r="AZ780" s="49"/>
      <c r="BA780" s="49"/>
      <c r="BB780" s="49"/>
      <c r="BC780" s="49"/>
      <c r="BD780" s="49"/>
      <c r="BE780" s="68"/>
    </row>
    <row r="781" spans="1:57" s="51" customFormat="1">
      <c r="A781" s="794" t="s">
        <v>900</v>
      </c>
      <c r="B781" s="838" t="s">
        <v>901</v>
      </c>
      <c r="C781" s="867" t="s">
        <v>902</v>
      </c>
      <c r="D781" s="84" t="s">
        <v>16</v>
      </c>
      <c r="E781" s="85">
        <f t="shared" ref="E781:J781" si="286">E782+E783</f>
        <v>18</v>
      </c>
      <c r="F781" s="85">
        <f t="shared" si="286"/>
        <v>0</v>
      </c>
      <c r="G781" s="85">
        <f t="shared" si="286"/>
        <v>0</v>
      </c>
      <c r="H781" s="85">
        <f t="shared" si="286"/>
        <v>11</v>
      </c>
      <c r="I781" s="85">
        <f t="shared" si="286"/>
        <v>7</v>
      </c>
      <c r="J781" s="85">
        <f t="shared" si="286"/>
        <v>0</v>
      </c>
      <c r="K781" s="86">
        <f t="shared" si="280"/>
        <v>18</v>
      </c>
      <c r="L781" s="85" t="s">
        <v>903</v>
      </c>
      <c r="M781" s="85">
        <v>8</v>
      </c>
      <c r="N781" s="400">
        <v>5</v>
      </c>
      <c r="O781" s="995" t="s">
        <v>904</v>
      </c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  <c r="AR781" s="49"/>
      <c r="AS781" s="49"/>
      <c r="AT781" s="49"/>
      <c r="AU781" s="49"/>
      <c r="AV781" s="49"/>
      <c r="AW781" s="49"/>
      <c r="AX781" s="49"/>
      <c r="AY781" s="49"/>
      <c r="AZ781" s="49"/>
      <c r="BA781" s="49"/>
      <c r="BB781" s="49"/>
      <c r="BC781" s="49"/>
      <c r="BD781" s="49"/>
      <c r="BE781" s="68"/>
    </row>
    <row r="782" spans="1:57" s="51" customFormat="1">
      <c r="A782" s="795"/>
      <c r="B782" s="889"/>
      <c r="C782" s="868"/>
      <c r="D782" s="62">
        <v>2019</v>
      </c>
      <c r="E782" s="63">
        <f>F782+G782+H782+I782+J782</f>
        <v>10</v>
      </c>
      <c r="F782" s="63">
        <v>0</v>
      </c>
      <c r="G782" s="63">
        <v>0</v>
      </c>
      <c r="H782" s="63">
        <v>6</v>
      </c>
      <c r="I782" s="63">
        <v>4</v>
      </c>
      <c r="J782" s="63">
        <v>0</v>
      </c>
      <c r="K782" s="86">
        <f t="shared" si="280"/>
        <v>10</v>
      </c>
      <c r="L782" s="185"/>
      <c r="M782" s="185"/>
      <c r="N782" s="301"/>
      <c r="O782" s="1030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  <c r="AO782" s="49"/>
      <c r="AP782" s="49"/>
      <c r="AQ782" s="49"/>
      <c r="AR782" s="49"/>
      <c r="AS782" s="49"/>
      <c r="AT782" s="49"/>
      <c r="AU782" s="49"/>
      <c r="AV782" s="49"/>
      <c r="AW782" s="49"/>
      <c r="AX782" s="49"/>
      <c r="AY782" s="49"/>
      <c r="AZ782" s="49"/>
      <c r="BA782" s="49"/>
      <c r="BB782" s="49"/>
      <c r="BC782" s="49"/>
      <c r="BD782" s="49"/>
      <c r="BE782" s="68"/>
    </row>
    <row r="783" spans="1:57" s="51" customFormat="1" ht="80.25" customHeight="1">
      <c r="A783" s="796"/>
      <c r="B783" s="890"/>
      <c r="C783" s="869"/>
      <c r="D783" s="62">
        <v>2020</v>
      </c>
      <c r="E783" s="63">
        <f>F783+G783+H783+I783+J783</f>
        <v>8</v>
      </c>
      <c r="F783" s="63">
        <v>0</v>
      </c>
      <c r="G783" s="63">
        <v>0</v>
      </c>
      <c r="H783" s="63">
        <v>5</v>
      </c>
      <c r="I783" s="63">
        <v>3</v>
      </c>
      <c r="J783" s="63">
        <v>0</v>
      </c>
      <c r="K783" s="86">
        <f t="shared" si="280"/>
        <v>8</v>
      </c>
      <c r="L783" s="401"/>
      <c r="M783" s="401"/>
      <c r="N783" s="309"/>
      <c r="O783" s="996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  <c r="AO783" s="49"/>
      <c r="AP783" s="49"/>
      <c r="AQ783" s="49"/>
      <c r="AR783" s="49"/>
      <c r="AS783" s="49"/>
      <c r="AT783" s="49"/>
      <c r="AU783" s="49"/>
      <c r="AV783" s="49"/>
      <c r="AW783" s="49"/>
      <c r="AX783" s="49"/>
      <c r="AY783" s="49"/>
      <c r="AZ783" s="49"/>
      <c r="BA783" s="49"/>
      <c r="BB783" s="49"/>
      <c r="BC783" s="49"/>
      <c r="BD783" s="49"/>
      <c r="BE783" s="68"/>
    </row>
    <row r="784" spans="1:57" s="334" customFormat="1">
      <c r="A784" s="1048" t="s">
        <v>905</v>
      </c>
      <c r="B784" s="867" t="s">
        <v>906</v>
      </c>
      <c r="C784" s="867" t="s">
        <v>532</v>
      </c>
      <c r="D784" s="84" t="s">
        <v>16</v>
      </c>
      <c r="E784" s="85">
        <f>E785</f>
        <v>20</v>
      </c>
      <c r="F784" s="85">
        <f>F785</f>
        <v>0</v>
      </c>
      <c r="G784" s="85">
        <f>G785</f>
        <v>0</v>
      </c>
      <c r="H784" s="85">
        <f>H785</f>
        <v>10</v>
      </c>
      <c r="I784" s="85">
        <f>I785</f>
        <v>10</v>
      </c>
      <c r="J784" s="63">
        <v>0</v>
      </c>
      <c r="K784" s="86">
        <f t="shared" si="280"/>
        <v>20</v>
      </c>
      <c r="L784" s="402" t="s">
        <v>907</v>
      </c>
      <c r="M784" s="402">
        <v>6</v>
      </c>
      <c r="N784" s="403">
        <v>5</v>
      </c>
      <c r="O784" s="858" t="s">
        <v>908</v>
      </c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  <c r="AO784" s="49"/>
      <c r="AP784" s="49"/>
      <c r="AQ784" s="49"/>
      <c r="AR784" s="49"/>
      <c r="AS784" s="49"/>
      <c r="AT784" s="49"/>
      <c r="AU784" s="49"/>
      <c r="AV784" s="49"/>
      <c r="AW784" s="49"/>
      <c r="AX784" s="49"/>
      <c r="AY784" s="49"/>
      <c r="AZ784" s="49"/>
      <c r="BA784" s="49"/>
      <c r="BB784" s="49"/>
      <c r="BC784" s="49"/>
      <c r="BD784" s="49"/>
      <c r="BE784" s="336"/>
    </row>
    <row r="785" spans="1:57" s="334" customFormat="1">
      <c r="A785" s="1050"/>
      <c r="B785" s="873"/>
      <c r="C785" s="872"/>
      <c r="D785" s="62">
        <v>2022</v>
      </c>
      <c r="E785" s="63">
        <f>F785+G785+H785+I785+J785</f>
        <v>20</v>
      </c>
      <c r="F785" s="63">
        <v>0</v>
      </c>
      <c r="G785" s="63">
        <v>0</v>
      </c>
      <c r="H785" s="63">
        <v>10</v>
      </c>
      <c r="I785" s="63">
        <v>10</v>
      </c>
      <c r="J785" s="63">
        <v>0</v>
      </c>
      <c r="K785" s="86">
        <f t="shared" si="280"/>
        <v>20</v>
      </c>
      <c r="L785" s="402"/>
      <c r="M785" s="402"/>
      <c r="N785" s="404"/>
      <c r="O785" s="85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49"/>
      <c r="AU785" s="49"/>
      <c r="AV785" s="49"/>
      <c r="AW785" s="49"/>
      <c r="AX785" s="49"/>
      <c r="AY785" s="49"/>
      <c r="AZ785" s="49"/>
      <c r="BA785" s="49"/>
      <c r="BB785" s="49"/>
      <c r="BC785" s="49"/>
      <c r="BD785" s="49"/>
      <c r="BE785" s="336"/>
    </row>
    <row r="786" spans="1:57" s="334" customFormat="1">
      <c r="A786" s="1048" t="s">
        <v>909</v>
      </c>
      <c r="B786" s="867" t="s">
        <v>910</v>
      </c>
      <c r="C786" s="872"/>
      <c r="D786" s="84" t="s">
        <v>16</v>
      </c>
      <c r="E786" s="85">
        <f>E787+E788</f>
        <v>60</v>
      </c>
      <c r="F786" s="85">
        <f>F787+F788</f>
        <v>0</v>
      </c>
      <c r="G786" s="85">
        <f>G787+G788</f>
        <v>0</v>
      </c>
      <c r="H786" s="85">
        <f>H787+H788</f>
        <v>30</v>
      </c>
      <c r="I786" s="85">
        <f>I787+I788</f>
        <v>30</v>
      </c>
      <c r="J786" s="63">
        <v>0</v>
      </c>
      <c r="K786" s="86">
        <f t="shared" si="280"/>
        <v>60</v>
      </c>
      <c r="L786" s="402" t="s">
        <v>911</v>
      </c>
      <c r="M786" s="402">
        <v>5</v>
      </c>
      <c r="N786" s="404"/>
      <c r="O786" s="1009" t="s">
        <v>912</v>
      </c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  <c r="AR786" s="49"/>
      <c r="AS786" s="49"/>
      <c r="AT786" s="49"/>
      <c r="AU786" s="49"/>
      <c r="AV786" s="49"/>
      <c r="AW786" s="49"/>
      <c r="AX786" s="49"/>
      <c r="AY786" s="49"/>
      <c r="AZ786" s="49"/>
      <c r="BA786" s="49"/>
      <c r="BB786" s="49"/>
      <c r="BC786" s="49"/>
      <c r="BD786" s="49"/>
      <c r="BE786" s="336"/>
    </row>
    <row r="787" spans="1:57" s="334" customFormat="1">
      <c r="A787" s="1049"/>
      <c r="B787" s="872"/>
      <c r="C787" s="872"/>
      <c r="D787" s="62">
        <v>2026</v>
      </c>
      <c r="E787" s="63">
        <f>F787+G787+H787+I787+J787</f>
        <v>30</v>
      </c>
      <c r="F787" s="63">
        <v>0</v>
      </c>
      <c r="G787" s="63">
        <v>0</v>
      </c>
      <c r="H787" s="63">
        <v>15</v>
      </c>
      <c r="I787" s="63">
        <v>15</v>
      </c>
      <c r="J787" s="63">
        <v>0</v>
      </c>
      <c r="K787" s="86">
        <f t="shared" si="280"/>
        <v>30</v>
      </c>
      <c r="L787" s="402"/>
      <c r="M787" s="402"/>
      <c r="N787" s="404"/>
      <c r="O787" s="1047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  <c r="AO787" s="49"/>
      <c r="AP787" s="49"/>
      <c r="AQ787" s="49"/>
      <c r="AR787" s="49"/>
      <c r="AS787" s="49"/>
      <c r="AT787" s="49"/>
      <c r="AU787" s="49"/>
      <c r="AV787" s="49"/>
      <c r="AW787" s="49"/>
      <c r="AX787" s="49"/>
      <c r="AY787" s="49"/>
      <c r="AZ787" s="49"/>
      <c r="BA787" s="49"/>
      <c r="BB787" s="49"/>
      <c r="BC787" s="49"/>
      <c r="BD787" s="49"/>
      <c r="BE787" s="336"/>
    </row>
    <row r="788" spans="1:57" s="334" customFormat="1" ht="38.25" customHeight="1">
      <c r="A788" s="1050"/>
      <c r="B788" s="873"/>
      <c r="C788" s="872"/>
      <c r="D788" s="62">
        <v>2030</v>
      </c>
      <c r="E788" s="63">
        <f>F788+G788+H788+I788+J788</f>
        <v>30</v>
      </c>
      <c r="F788" s="63">
        <v>0</v>
      </c>
      <c r="G788" s="63">
        <v>0</v>
      </c>
      <c r="H788" s="63">
        <v>15</v>
      </c>
      <c r="I788" s="63">
        <v>15</v>
      </c>
      <c r="J788" s="63">
        <v>0</v>
      </c>
      <c r="K788" s="86">
        <f t="shared" si="280"/>
        <v>30</v>
      </c>
      <c r="L788" s="402"/>
      <c r="M788" s="402"/>
      <c r="N788" s="404"/>
      <c r="O788" s="1010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  <c r="AO788" s="49"/>
      <c r="AP788" s="49"/>
      <c r="AQ788" s="49"/>
      <c r="AR788" s="49"/>
      <c r="AS788" s="49"/>
      <c r="AT788" s="49"/>
      <c r="AU788" s="49"/>
      <c r="AV788" s="49"/>
      <c r="AW788" s="49"/>
      <c r="AX788" s="49"/>
      <c r="AY788" s="49"/>
      <c r="AZ788" s="49"/>
      <c r="BA788" s="49"/>
      <c r="BB788" s="49"/>
      <c r="BC788" s="49"/>
      <c r="BD788" s="49"/>
      <c r="BE788" s="336"/>
    </row>
    <row r="789" spans="1:57" s="334" customFormat="1">
      <c r="A789" s="1048" t="s">
        <v>913</v>
      </c>
      <c r="B789" s="867" t="s">
        <v>914</v>
      </c>
      <c r="C789" s="872"/>
      <c r="D789" s="84" t="s">
        <v>16</v>
      </c>
      <c r="E789" s="85">
        <f>E790+E791</f>
        <v>8</v>
      </c>
      <c r="F789" s="85">
        <f>F790+F791</f>
        <v>0</v>
      </c>
      <c r="G789" s="85">
        <f>G790+G791</f>
        <v>0</v>
      </c>
      <c r="H789" s="85">
        <f>H790+H791</f>
        <v>4</v>
      </c>
      <c r="I789" s="85">
        <f>I790+I791</f>
        <v>4</v>
      </c>
      <c r="J789" s="63">
        <v>0</v>
      </c>
      <c r="K789" s="86">
        <f t="shared" si="280"/>
        <v>8</v>
      </c>
      <c r="L789" s="404" t="s">
        <v>915</v>
      </c>
      <c r="M789" s="402">
        <v>2.4</v>
      </c>
      <c r="N789" s="404"/>
      <c r="O789" s="1009" t="s">
        <v>916</v>
      </c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  <c r="AR789" s="49"/>
      <c r="AS789" s="49"/>
      <c r="AT789" s="49"/>
      <c r="AU789" s="49"/>
      <c r="AV789" s="49"/>
      <c r="AW789" s="49"/>
      <c r="AX789" s="49"/>
      <c r="AY789" s="49"/>
      <c r="AZ789" s="49"/>
      <c r="BA789" s="49"/>
      <c r="BB789" s="49"/>
      <c r="BC789" s="49"/>
      <c r="BD789" s="49"/>
      <c r="BE789" s="336"/>
    </row>
    <row r="790" spans="1:57" s="334" customFormat="1">
      <c r="A790" s="1049"/>
      <c r="B790" s="868"/>
      <c r="C790" s="872"/>
      <c r="D790" s="62">
        <v>2020</v>
      </c>
      <c r="E790" s="63">
        <f>F790+G790+H790+I790+J790</f>
        <v>4</v>
      </c>
      <c r="F790" s="63">
        <v>0</v>
      </c>
      <c r="G790" s="63">
        <v>0</v>
      </c>
      <c r="H790" s="63">
        <v>2</v>
      </c>
      <c r="I790" s="63">
        <v>2</v>
      </c>
      <c r="J790" s="63">
        <v>0</v>
      </c>
      <c r="K790" s="86">
        <f t="shared" si="280"/>
        <v>4</v>
      </c>
      <c r="L790" s="402"/>
      <c r="M790" s="402"/>
      <c r="N790" s="404"/>
      <c r="O790" s="1047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  <c r="AR790" s="49"/>
      <c r="AS790" s="49"/>
      <c r="AT790" s="49"/>
      <c r="AU790" s="49"/>
      <c r="AV790" s="49"/>
      <c r="AW790" s="49"/>
      <c r="AX790" s="49"/>
      <c r="AY790" s="49"/>
      <c r="AZ790" s="49"/>
      <c r="BA790" s="49"/>
      <c r="BB790" s="49"/>
      <c r="BC790" s="49"/>
      <c r="BD790" s="49"/>
      <c r="BE790" s="336"/>
    </row>
    <row r="791" spans="1:57" s="334" customFormat="1" ht="30.75" customHeight="1">
      <c r="A791" s="1050"/>
      <c r="B791" s="869"/>
      <c r="C791" s="872"/>
      <c r="D791" s="62">
        <v>2021</v>
      </c>
      <c r="E791" s="63">
        <f>F791+G791+H791+I791+J791</f>
        <v>4</v>
      </c>
      <c r="F791" s="63">
        <v>0</v>
      </c>
      <c r="G791" s="63">
        <v>0</v>
      </c>
      <c r="H791" s="63">
        <v>2</v>
      </c>
      <c r="I791" s="63">
        <v>2</v>
      </c>
      <c r="J791" s="63">
        <v>0</v>
      </c>
      <c r="K791" s="86">
        <f t="shared" si="280"/>
        <v>4</v>
      </c>
      <c r="L791" s="402"/>
      <c r="M791" s="402"/>
      <c r="N791" s="404"/>
      <c r="O791" s="1010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  <c r="AR791" s="49"/>
      <c r="AS791" s="49"/>
      <c r="AT791" s="49"/>
      <c r="AU791" s="49"/>
      <c r="AV791" s="49"/>
      <c r="AW791" s="49"/>
      <c r="AX791" s="49"/>
      <c r="AY791" s="49"/>
      <c r="AZ791" s="49"/>
      <c r="BA791" s="49"/>
      <c r="BB791" s="49"/>
      <c r="BC791" s="49"/>
      <c r="BD791" s="49"/>
      <c r="BE791" s="336"/>
    </row>
    <row r="792" spans="1:57" s="334" customFormat="1">
      <c r="A792" s="1048" t="s">
        <v>917</v>
      </c>
      <c r="B792" s="867" t="s">
        <v>918</v>
      </c>
      <c r="C792" s="872"/>
      <c r="D792" s="84" t="s">
        <v>16</v>
      </c>
      <c r="E792" s="85">
        <f>E793</f>
        <v>35</v>
      </c>
      <c r="F792" s="85">
        <f>F793</f>
        <v>0</v>
      </c>
      <c r="G792" s="85">
        <f>G793</f>
        <v>0</v>
      </c>
      <c r="H792" s="85">
        <f>H793</f>
        <v>16.5</v>
      </c>
      <c r="I792" s="85">
        <f>I793</f>
        <v>18.5</v>
      </c>
      <c r="J792" s="63">
        <v>0</v>
      </c>
      <c r="K792" s="86">
        <f t="shared" si="280"/>
        <v>35</v>
      </c>
      <c r="L792" s="402" t="s">
        <v>919</v>
      </c>
      <c r="M792" s="402">
        <v>10.5</v>
      </c>
      <c r="N792" s="404"/>
      <c r="O792" s="1009" t="s">
        <v>891</v>
      </c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  <c r="AO792" s="49"/>
      <c r="AP792" s="49"/>
      <c r="AQ792" s="49"/>
      <c r="AR792" s="49"/>
      <c r="AS792" s="49"/>
      <c r="AT792" s="49"/>
      <c r="AU792" s="49"/>
      <c r="AV792" s="49"/>
      <c r="AW792" s="49"/>
      <c r="AX792" s="49"/>
      <c r="AY792" s="49"/>
      <c r="AZ792" s="49"/>
      <c r="BA792" s="49"/>
      <c r="BB792" s="49"/>
      <c r="BC792" s="49"/>
      <c r="BD792" s="49"/>
      <c r="BE792" s="336"/>
    </row>
    <row r="793" spans="1:57" s="334" customFormat="1" ht="27" customHeight="1">
      <c r="A793" s="1050"/>
      <c r="B793" s="869"/>
      <c r="C793" s="872"/>
      <c r="D793" s="62">
        <v>2022</v>
      </c>
      <c r="E793" s="63">
        <f>F793+G793+H793+I793+J793</f>
        <v>35</v>
      </c>
      <c r="F793" s="63">
        <v>0</v>
      </c>
      <c r="G793" s="63">
        <v>0</v>
      </c>
      <c r="H793" s="63">
        <v>16.5</v>
      </c>
      <c r="I793" s="63">
        <v>18.5</v>
      </c>
      <c r="J793" s="63">
        <v>0</v>
      </c>
      <c r="K793" s="86">
        <f t="shared" si="280"/>
        <v>35</v>
      </c>
      <c r="L793" s="402"/>
      <c r="M793" s="402"/>
      <c r="N793" s="404">
        <v>3</v>
      </c>
      <c r="O793" s="85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  <c r="AO793" s="49"/>
      <c r="AP793" s="49"/>
      <c r="AQ793" s="49"/>
      <c r="AR793" s="49"/>
      <c r="AS793" s="49"/>
      <c r="AT793" s="49"/>
      <c r="AU793" s="49"/>
      <c r="AV793" s="49"/>
      <c r="AW793" s="49"/>
      <c r="AX793" s="49"/>
      <c r="AY793" s="49"/>
      <c r="AZ793" s="49"/>
      <c r="BA793" s="49"/>
      <c r="BB793" s="49"/>
      <c r="BC793" s="49"/>
      <c r="BD793" s="49"/>
      <c r="BE793" s="336"/>
    </row>
    <row r="794" spans="1:57" s="334" customFormat="1">
      <c r="A794" s="1048" t="s">
        <v>920</v>
      </c>
      <c r="B794" s="867" t="s">
        <v>921</v>
      </c>
      <c r="C794" s="868"/>
      <c r="D794" s="84" t="s">
        <v>16</v>
      </c>
      <c r="E794" s="85">
        <f>E795+E796+E797</f>
        <v>26</v>
      </c>
      <c r="F794" s="63">
        <f>F795+F796+F797</f>
        <v>0</v>
      </c>
      <c r="G794" s="85">
        <f>G795+G796+G797</f>
        <v>0</v>
      </c>
      <c r="H794" s="85">
        <f>H795+H796+H797</f>
        <v>13</v>
      </c>
      <c r="I794" s="85">
        <f>I795+I796+I797</f>
        <v>13</v>
      </c>
      <c r="J794" s="63">
        <v>0</v>
      </c>
      <c r="K794" s="86">
        <f t="shared" si="280"/>
        <v>26</v>
      </c>
      <c r="L794" s="402" t="s">
        <v>915</v>
      </c>
      <c r="M794" s="402">
        <v>15</v>
      </c>
      <c r="N794" s="404">
        <v>2</v>
      </c>
      <c r="O794" s="995" t="s">
        <v>891</v>
      </c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  <c r="AO794" s="49"/>
      <c r="AP794" s="49"/>
      <c r="AQ794" s="49"/>
      <c r="AR794" s="49"/>
      <c r="AS794" s="49"/>
      <c r="AT794" s="49"/>
      <c r="AU794" s="49"/>
      <c r="AV794" s="49"/>
      <c r="AW794" s="49"/>
      <c r="AX794" s="49"/>
      <c r="AY794" s="49"/>
      <c r="AZ794" s="49"/>
      <c r="BA794" s="49"/>
      <c r="BB794" s="49"/>
      <c r="BC794" s="49"/>
      <c r="BD794" s="49"/>
      <c r="BE794" s="336"/>
    </row>
    <row r="795" spans="1:57" s="334" customFormat="1">
      <c r="A795" s="1049"/>
      <c r="B795" s="872"/>
      <c r="C795" s="868"/>
      <c r="D795" s="62">
        <v>2020</v>
      </c>
      <c r="E795" s="63">
        <f>F795+G795+H795+I795+J795</f>
        <v>9</v>
      </c>
      <c r="F795" s="63">
        <v>0</v>
      </c>
      <c r="G795" s="63">
        <v>0</v>
      </c>
      <c r="H795" s="63">
        <v>4.5</v>
      </c>
      <c r="I795" s="63">
        <v>4.5</v>
      </c>
      <c r="J795" s="63">
        <v>0</v>
      </c>
      <c r="K795" s="86">
        <f t="shared" si="280"/>
        <v>9</v>
      </c>
      <c r="L795" s="402"/>
      <c r="M795" s="402"/>
      <c r="N795" s="404"/>
      <c r="O795" s="834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  <c r="AO795" s="49"/>
      <c r="AP795" s="49"/>
      <c r="AQ795" s="49"/>
      <c r="AR795" s="49"/>
      <c r="AS795" s="49"/>
      <c r="AT795" s="49"/>
      <c r="AU795" s="49"/>
      <c r="AV795" s="49"/>
      <c r="AW795" s="49"/>
      <c r="AX795" s="49"/>
      <c r="AY795" s="49"/>
      <c r="AZ795" s="49"/>
      <c r="BA795" s="49"/>
      <c r="BB795" s="49"/>
      <c r="BC795" s="49"/>
      <c r="BD795" s="49"/>
      <c r="BE795" s="336"/>
    </row>
    <row r="796" spans="1:57" s="334" customFormat="1">
      <c r="A796" s="1049"/>
      <c r="B796" s="872"/>
      <c r="C796" s="868"/>
      <c r="D796" s="62">
        <v>2021</v>
      </c>
      <c r="E796" s="63">
        <f>F796+G796+H796+I796+J796</f>
        <v>9</v>
      </c>
      <c r="F796" s="63">
        <v>0</v>
      </c>
      <c r="G796" s="63">
        <v>0</v>
      </c>
      <c r="H796" s="63">
        <v>4.5</v>
      </c>
      <c r="I796" s="63">
        <v>4.5</v>
      </c>
      <c r="J796" s="63">
        <v>0</v>
      </c>
      <c r="K796" s="86">
        <f t="shared" si="280"/>
        <v>9</v>
      </c>
      <c r="L796" s="402"/>
      <c r="M796" s="402"/>
      <c r="N796" s="404"/>
      <c r="O796" s="834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  <c r="AO796" s="49"/>
      <c r="AP796" s="49"/>
      <c r="AQ796" s="49"/>
      <c r="AR796" s="49"/>
      <c r="AS796" s="49"/>
      <c r="AT796" s="49"/>
      <c r="AU796" s="49"/>
      <c r="AV796" s="49"/>
      <c r="AW796" s="49"/>
      <c r="AX796" s="49"/>
      <c r="AY796" s="49"/>
      <c r="AZ796" s="49"/>
      <c r="BA796" s="49"/>
      <c r="BB796" s="49"/>
      <c r="BC796" s="49"/>
      <c r="BD796" s="49"/>
      <c r="BE796" s="336"/>
    </row>
    <row r="797" spans="1:57" s="334" customFormat="1">
      <c r="A797" s="1050"/>
      <c r="B797" s="873"/>
      <c r="C797" s="868"/>
      <c r="D797" s="62">
        <v>2023</v>
      </c>
      <c r="E797" s="63">
        <f>F797+G797+H797+I797+J797</f>
        <v>8</v>
      </c>
      <c r="F797" s="63">
        <v>0</v>
      </c>
      <c r="G797" s="63">
        <v>0</v>
      </c>
      <c r="H797" s="63">
        <v>4</v>
      </c>
      <c r="I797" s="63">
        <v>4</v>
      </c>
      <c r="J797" s="63">
        <v>0</v>
      </c>
      <c r="K797" s="86">
        <f t="shared" si="280"/>
        <v>8</v>
      </c>
      <c r="L797" s="402"/>
      <c r="M797" s="402"/>
      <c r="N797" s="404"/>
      <c r="O797" s="834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  <c r="AO797" s="49"/>
      <c r="AP797" s="49"/>
      <c r="AQ797" s="49"/>
      <c r="AR797" s="49"/>
      <c r="AS797" s="49"/>
      <c r="AT797" s="49"/>
      <c r="AU797" s="49"/>
      <c r="AV797" s="49"/>
      <c r="AW797" s="49"/>
      <c r="AX797" s="49"/>
      <c r="AY797" s="49"/>
      <c r="AZ797" s="49"/>
      <c r="BA797" s="49"/>
      <c r="BB797" s="49"/>
      <c r="BC797" s="49"/>
      <c r="BD797" s="49"/>
      <c r="BE797" s="336"/>
    </row>
    <row r="798" spans="1:57" s="334" customFormat="1">
      <c r="A798" s="1048" t="s">
        <v>922</v>
      </c>
      <c r="B798" s="867" t="s">
        <v>923</v>
      </c>
      <c r="C798" s="868"/>
      <c r="D798" s="84" t="s">
        <v>16</v>
      </c>
      <c r="E798" s="85">
        <f>E799+E800+E801</f>
        <v>14</v>
      </c>
      <c r="F798" s="63">
        <f>F799+F800+F801</f>
        <v>0</v>
      </c>
      <c r="G798" s="85">
        <f>G799+G800+G801</f>
        <v>0</v>
      </c>
      <c r="H798" s="85">
        <f>H799+H800+H801</f>
        <v>7</v>
      </c>
      <c r="I798" s="85">
        <f>I799+I800+I801</f>
        <v>7</v>
      </c>
      <c r="J798" s="63">
        <v>0</v>
      </c>
      <c r="K798" s="86">
        <f t="shared" si="280"/>
        <v>14</v>
      </c>
      <c r="L798" s="402" t="s">
        <v>880</v>
      </c>
      <c r="M798" s="402">
        <v>4.2</v>
      </c>
      <c r="N798" s="404">
        <v>4</v>
      </c>
      <c r="O798" s="1020" t="s">
        <v>924</v>
      </c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49"/>
      <c r="AU798" s="49"/>
      <c r="AV798" s="49"/>
      <c r="AW798" s="49"/>
      <c r="AX798" s="49"/>
      <c r="AY798" s="49"/>
      <c r="AZ798" s="49"/>
      <c r="BA798" s="49"/>
      <c r="BB798" s="49"/>
      <c r="BC798" s="49"/>
      <c r="BD798" s="49"/>
      <c r="BE798" s="336"/>
    </row>
    <row r="799" spans="1:57" s="334" customFormat="1">
      <c r="A799" s="1049"/>
      <c r="B799" s="872"/>
      <c r="C799" s="868"/>
      <c r="D799" s="62">
        <v>2020</v>
      </c>
      <c r="E799" s="63">
        <f>F799+G799+H799+I799+J799</f>
        <v>4</v>
      </c>
      <c r="F799" s="63">
        <v>0</v>
      </c>
      <c r="G799" s="63">
        <v>0</v>
      </c>
      <c r="H799" s="63">
        <v>2</v>
      </c>
      <c r="I799" s="63">
        <v>2</v>
      </c>
      <c r="J799" s="63">
        <v>0</v>
      </c>
      <c r="K799" s="86">
        <f t="shared" si="280"/>
        <v>4</v>
      </c>
      <c r="L799" s="402"/>
      <c r="M799" s="402"/>
      <c r="N799" s="404"/>
      <c r="O799" s="957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  <c r="AO799" s="49"/>
      <c r="AP799" s="49"/>
      <c r="AQ799" s="49"/>
      <c r="AR799" s="49"/>
      <c r="AS799" s="49"/>
      <c r="AT799" s="49"/>
      <c r="AU799" s="49"/>
      <c r="AV799" s="49"/>
      <c r="AW799" s="49"/>
      <c r="AX799" s="49"/>
      <c r="AY799" s="49"/>
      <c r="AZ799" s="49"/>
      <c r="BA799" s="49"/>
      <c r="BB799" s="49"/>
      <c r="BC799" s="49"/>
      <c r="BD799" s="49"/>
      <c r="BE799" s="336"/>
    </row>
    <row r="800" spans="1:57" s="334" customFormat="1">
      <c r="A800" s="1049"/>
      <c r="B800" s="872"/>
      <c r="C800" s="868"/>
      <c r="D800" s="62">
        <v>2021</v>
      </c>
      <c r="E800" s="63">
        <f>F800+G800+H800+I800+J800</f>
        <v>6</v>
      </c>
      <c r="F800" s="63">
        <v>0</v>
      </c>
      <c r="G800" s="63">
        <v>0</v>
      </c>
      <c r="H800" s="63">
        <v>3</v>
      </c>
      <c r="I800" s="63">
        <v>3</v>
      </c>
      <c r="J800" s="63">
        <v>0</v>
      </c>
      <c r="K800" s="86">
        <f t="shared" si="280"/>
        <v>6</v>
      </c>
      <c r="L800" s="402"/>
      <c r="M800" s="402"/>
      <c r="N800" s="404"/>
      <c r="O800" s="957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336"/>
    </row>
    <row r="801" spans="1:57" s="334" customFormat="1">
      <c r="A801" s="1050"/>
      <c r="B801" s="873"/>
      <c r="C801" s="868"/>
      <c r="D801" s="62">
        <v>2022</v>
      </c>
      <c r="E801" s="63">
        <f>F801+G801+H801+I801+J801</f>
        <v>4</v>
      </c>
      <c r="F801" s="63">
        <v>0</v>
      </c>
      <c r="G801" s="63">
        <v>0</v>
      </c>
      <c r="H801" s="63">
        <v>2</v>
      </c>
      <c r="I801" s="63">
        <v>2</v>
      </c>
      <c r="J801" s="63">
        <v>0</v>
      </c>
      <c r="K801" s="86">
        <f t="shared" si="280"/>
        <v>4</v>
      </c>
      <c r="L801" s="402"/>
      <c r="M801" s="402"/>
      <c r="N801" s="404"/>
      <c r="O801" s="85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49"/>
      <c r="BD801" s="49"/>
      <c r="BE801" s="336"/>
    </row>
    <row r="802" spans="1:57" s="334" customFormat="1">
      <c r="A802" s="1048" t="s">
        <v>925</v>
      </c>
      <c r="B802" s="881" t="s">
        <v>926</v>
      </c>
      <c r="C802" s="868"/>
      <c r="D802" s="84" t="s">
        <v>16</v>
      </c>
      <c r="E802" s="85">
        <f t="shared" ref="E802:J802" si="287">E803+E804+E805</f>
        <v>14.370000000000001</v>
      </c>
      <c r="F802" s="85">
        <f t="shared" si="287"/>
        <v>0</v>
      </c>
      <c r="G802" s="85">
        <f t="shared" si="287"/>
        <v>0</v>
      </c>
      <c r="H802" s="85">
        <f t="shared" si="287"/>
        <v>12.132999999999999</v>
      </c>
      <c r="I802" s="85">
        <f t="shared" si="287"/>
        <v>2.2370000000000001</v>
      </c>
      <c r="J802" s="85">
        <f t="shared" si="287"/>
        <v>0</v>
      </c>
      <c r="K802" s="86">
        <f t="shared" si="280"/>
        <v>14.37</v>
      </c>
      <c r="L802" s="402" t="s">
        <v>927</v>
      </c>
      <c r="M802" s="402">
        <v>2.1</v>
      </c>
      <c r="N802" s="404">
        <v>2</v>
      </c>
      <c r="O802" s="910" t="s">
        <v>928</v>
      </c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  <c r="AO802" s="49"/>
      <c r="AP802" s="49"/>
      <c r="AQ802" s="49"/>
      <c r="AR802" s="49"/>
      <c r="AS802" s="49"/>
      <c r="AT802" s="49"/>
      <c r="AU802" s="49"/>
      <c r="AV802" s="49"/>
      <c r="AW802" s="49"/>
      <c r="AX802" s="49"/>
      <c r="AY802" s="49"/>
      <c r="AZ802" s="49"/>
      <c r="BA802" s="49"/>
      <c r="BB802" s="49"/>
      <c r="BC802" s="49"/>
      <c r="BD802" s="49"/>
      <c r="BE802" s="336"/>
    </row>
    <row r="803" spans="1:57" s="334" customFormat="1">
      <c r="A803" s="1049"/>
      <c r="B803" s="882"/>
      <c r="C803" s="868"/>
      <c r="D803" s="62">
        <v>2020</v>
      </c>
      <c r="E803" s="63">
        <f>F803+G803+H803+I803+J803</f>
        <v>3</v>
      </c>
      <c r="F803" s="63">
        <v>0</v>
      </c>
      <c r="G803" s="63">
        <v>0</v>
      </c>
      <c r="H803" s="63">
        <v>2.6</v>
      </c>
      <c r="I803" s="63">
        <v>0.4</v>
      </c>
      <c r="J803" s="63">
        <v>0</v>
      </c>
      <c r="K803" s="86">
        <f t="shared" si="280"/>
        <v>3</v>
      </c>
      <c r="L803" s="402"/>
      <c r="M803" s="402"/>
      <c r="N803" s="404"/>
      <c r="O803" s="890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  <c r="AO803" s="49"/>
      <c r="AP803" s="49"/>
      <c r="AQ803" s="49"/>
      <c r="AR803" s="49"/>
      <c r="AS803" s="49"/>
      <c r="AT803" s="49"/>
      <c r="AU803" s="49"/>
      <c r="AV803" s="49"/>
      <c r="AW803" s="49"/>
      <c r="AX803" s="49"/>
      <c r="AY803" s="49"/>
      <c r="AZ803" s="49"/>
      <c r="BA803" s="49"/>
      <c r="BB803" s="49"/>
      <c r="BC803" s="49"/>
      <c r="BD803" s="49"/>
      <c r="BE803" s="336"/>
    </row>
    <row r="804" spans="1:57" s="334" customFormat="1">
      <c r="A804" s="1049"/>
      <c r="B804" s="882"/>
      <c r="C804" s="868"/>
      <c r="D804" s="62">
        <v>2021</v>
      </c>
      <c r="E804" s="63">
        <f>F804+G804+H804+I804+J804</f>
        <v>3.7</v>
      </c>
      <c r="F804" s="63">
        <v>0</v>
      </c>
      <c r="G804" s="63">
        <v>0</v>
      </c>
      <c r="H804" s="63">
        <v>2.73</v>
      </c>
      <c r="I804" s="63">
        <v>0.97</v>
      </c>
      <c r="J804" s="63">
        <v>0</v>
      </c>
      <c r="K804" s="86">
        <f t="shared" si="280"/>
        <v>3.7</v>
      </c>
      <c r="L804" s="402"/>
      <c r="M804" s="402"/>
      <c r="N804" s="404"/>
      <c r="O804" s="152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  <c r="AO804" s="49"/>
      <c r="AP804" s="49"/>
      <c r="AQ804" s="49"/>
      <c r="AR804" s="49"/>
      <c r="AS804" s="49"/>
      <c r="AT804" s="49"/>
      <c r="AU804" s="49"/>
      <c r="AV804" s="49"/>
      <c r="AW804" s="49"/>
      <c r="AX804" s="49"/>
      <c r="AY804" s="49"/>
      <c r="AZ804" s="49"/>
      <c r="BA804" s="49"/>
      <c r="BB804" s="49"/>
      <c r="BC804" s="49"/>
      <c r="BD804" s="49"/>
      <c r="BE804" s="336"/>
    </row>
    <row r="805" spans="1:57" s="334" customFormat="1">
      <c r="A805" s="1050"/>
      <c r="B805" s="964"/>
      <c r="C805" s="868"/>
      <c r="D805" s="62">
        <v>2022</v>
      </c>
      <c r="E805" s="63">
        <f>F805+G805+H805+I805+J805</f>
        <v>7.67</v>
      </c>
      <c r="F805" s="63">
        <v>0</v>
      </c>
      <c r="G805" s="63">
        <v>0</v>
      </c>
      <c r="H805" s="63">
        <v>6.8029999999999999</v>
      </c>
      <c r="I805" s="63">
        <v>0.86699999999999999</v>
      </c>
      <c r="J805" s="63">
        <v>0</v>
      </c>
      <c r="K805" s="86">
        <f t="shared" si="280"/>
        <v>7.67</v>
      </c>
      <c r="L805" s="402"/>
      <c r="M805" s="402"/>
      <c r="N805" s="404"/>
      <c r="O805" s="152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  <c r="AT805" s="49"/>
      <c r="AU805" s="49"/>
      <c r="AV805" s="49"/>
      <c r="AW805" s="49"/>
      <c r="AX805" s="49"/>
      <c r="AY805" s="49"/>
      <c r="AZ805" s="49"/>
      <c r="BA805" s="49"/>
      <c r="BB805" s="49"/>
      <c r="BC805" s="49"/>
      <c r="BD805" s="49"/>
      <c r="BE805" s="336"/>
    </row>
    <row r="806" spans="1:57" s="334" customFormat="1">
      <c r="A806" s="1048" t="s">
        <v>929</v>
      </c>
      <c r="B806" s="867" t="s">
        <v>930</v>
      </c>
      <c r="C806" s="868"/>
      <c r="D806" s="84" t="s">
        <v>16</v>
      </c>
      <c r="E806" s="85">
        <f>E807</f>
        <v>4</v>
      </c>
      <c r="F806" s="85">
        <f>F807</f>
        <v>0</v>
      </c>
      <c r="G806" s="85">
        <f>G807</f>
        <v>0</v>
      </c>
      <c r="H806" s="85">
        <f>H807</f>
        <v>2</v>
      </c>
      <c r="I806" s="85">
        <f>I807</f>
        <v>2</v>
      </c>
      <c r="J806" s="63">
        <v>0</v>
      </c>
      <c r="K806" s="86">
        <f t="shared" si="280"/>
        <v>4</v>
      </c>
      <c r="L806" s="402" t="s">
        <v>931</v>
      </c>
      <c r="M806" s="402">
        <v>1.2</v>
      </c>
      <c r="N806" s="404">
        <v>1</v>
      </c>
      <c r="O806" s="907" t="s">
        <v>932</v>
      </c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336"/>
    </row>
    <row r="807" spans="1:57" s="334" customFormat="1" ht="46.5" customHeight="1">
      <c r="A807" s="1050"/>
      <c r="B807" s="873"/>
      <c r="C807" s="868"/>
      <c r="D807" s="62">
        <v>2022</v>
      </c>
      <c r="E807" s="63">
        <f>F807+G807+H807+I807+J807</f>
        <v>4</v>
      </c>
      <c r="F807" s="63">
        <v>0</v>
      </c>
      <c r="G807" s="63">
        <v>0</v>
      </c>
      <c r="H807" s="63">
        <v>2</v>
      </c>
      <c r="I807" s="63">
        <v>2</v>
      </c>
      <c r="J807" s="63">
        <v>0</v>
      </c>
      <c r="K807" s="86">
        <f t="shared" si="280"/>
        <v>4</v>
      </c>
      <c r="L807" s="402"/>
      <c r="M807" s="402"/>
      <c r="N807" s="404"/>
      <c r="O807" s="857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  <c r="AT807" s="49"/>
      <c r="AU807" s="49"/>
      <c r="AV807" s="49"/>
      <c r="AW807" s="49"/>
      <c r="AX807" s="49"/>
      <c r="AY807" s="49"/>
      <c r="AZ807" s="49"/>
      <c r="BA807" s="49"/>
      <c r="BB807" s="49"/>
      <c r="BC807" s="49"/>
      <c r="BD807" s="49"/>
      <c r="BE807" s="336"/>
    </row>
    <row r="808" spans="1:57" s="334" customFormat="1">
      <c r="A808" s="1048" t="s">
        <v>933</v>
      </c>
      <c r="B808" s="867" t="s">
        <v>934</v>
      </c>
      <c r="C808" s="868"/>
      <c r="D808" s="84" t="s">
        <v>16</v>
      </c>
      <c r="E808" s="85">
        <f>E809</f>
        <v>16</v>
      </c>
      <c r="F808" s="85">
        <f>F809</f>
        <v>0</v>
      </c>
      <c r="G808" s="85">
        <f>G809</f>
        <v>0</v>
      </c>
      <c r="H808" s="85">
        <f>H809</f>
        <v>8</v>
      </c>
      <c r="I808" s="85">
        <f>I809</f>
        <v>8</v>
      </c>
      <c r="J808" s="63">
        <v>0</v>
      </c>
      <c r="K808" s="86">
        <f t="shared" si="280"/>
        <v>16</v>
      </c>
      <c r="L808" s="402" t="s">
        <v>880</v>
      </c>
      <c r="M808" s="402">
        <v>1.2</v>
      </c>
      <c r="N808" s="404">
        <v>4</v>
      </c>
      <c r="O808" s="907" t="s">
        <v>935</v>
      </c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  <c r="AR808" s="49"/>
      <c r="AS808" s="49"/>
      <c r="AT808" s="49"/>
      <c r="AU808" s="49"/>
      <c r="AV808" s="49"/>
      <c r="AW808" s="49"/>
      <c r="AX808" s="49"/>
      <c r="AY808" s="49"/>
      <c r="AZ808" s="49"/>
      <c r="BA808" s="49"/>
      <c r="BB808" s="49"/>
      <c r="BC808" s="49"/>
      <c r="BD808" s="49"/>
      <c r="BE808" s="336"/>
    </row>
    <row r="809" spans="1:57" s="334" customFormat="1" ht="42" customHeight="1">
      <c r="A809" s="1050"/>
      <c r="B809" s="873"/>
      <c r="C809" s="868"/>
      <c r="D809" s="62">
        <v>2021</v>
      </c>
      <c r="E809" s="63">
        <f>F809+G809+H809+I809+J809</f>
        <v>16</v>
      </c>
      <c r="F809" s="63">
        <v>0</v>
      </c>
      <c r="G809" s="63">
        <v>0</v>
      </c>
      <c r="H809" s="63">
        <v>8</v>
      </c>
      <c r="I809" s="63">
        <v>8</v>
      </c>
      <c r="J809" s="63">
        <v>0</v>
      </c>
      <c r="K809" s="86">
        <f t="shared" si="280"/>
        <v>16</v>
      </c>
      <c r="L809" s="402"/>
      <c r="M809" s="402"/>
      <c r="N809" s="404"/>
      <c r="O809" s="857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  <c r="AO809" s="49"/>
      <c r="AP809" s="49"/>
      <c r="AQ809" s="49"/>
      <c r="AR809" s="49"/>
      <c r="AS809" s="49"/>
      <c r="AT809" s="49"/>
      <c r="AU809" s="49"/>
      <c r="AV809" s="49"/>
      <c r="AW809" s="49"/>
      <c r="AX809" s="49"/>
      <c r="AY809" s="49"/>
      <c r="AZ809" s="49"/>
      <c r="BA809" s="49"/>
      <c r="BB809" s="49"/>
      <c r="BC809" s="49"/>
      <c r="BD809" s="49"/>
      <c r="BE809" s="336"/>
    </row>
    <row r="810" spans="1:57" s="334" customFormat="1">
      <c r="A810" s="1048" t="s">
        <v>936</v>
      </c>
      <c r="B810" s="867" t="s">
        <v>937</v>
      </c>
      <c r="C810" s="868"/>
      <c r="D810" s="84" t="s">
        <v>16</v>
      </c>
      <c r="E810" s="85">
        <f t="shared" ref="E810:J810" si="288">E811+E812</f>
        <v>7</v>
      </c>
      <c r="F810" s="85">
        <f t="shared" si="288"/>
        <v>0</v>
      </c>
      <c r="G810" s="85">
        <f t="shared" si="288"/>
        <v>0</v>
      </c>
      <c r="H810" s="85">
        <f t="shared" si="288"/>
        <v>3.5</v>
      </c>
      <c r="I810" s="85">
        <f t="shared" si="288"/>
        <v>3.5</v>
      </c>
      <c r="J810" s="85">
        <f t="shared" si="288"/>
        <v>0</v>
      </c>
      <c r="K810" s="86">
        <f t="shared" si="280"/>
        <v>7</v>
      </c>
      <c r="L810" s="402" t="s">
        <v>938</v>
      </c>
      <c r="M810" s="402">
        <v>2.1</v>
      </c>
      <c r="N810" s="404"/>
      <c r="O810" s="1009" t="s">
        <v>939</v>
      </c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  <c r="AO810" s="49"/>
      <c r="AP810" s="49"/>
      <c r="AQ810" s="49"/>
      <c r="AR810" s="49"/>
      <c r="AS810" s="49"/>
      <c r="AT810" s="49"/>
      <c r="AU810" s="49"/>
      <c r="AV810" s="49"/>
      <c r="AW810" s="49"/>
      <c r="AX810" s="49"/>
      <c r="AY810" s="49"/>
      <c r="AZ810" s="49"/>
      <c r="BA810" s="49"/>
      <c r="BB810" s="49"/>
      <c r="BC810" s="49"/>
      <c r="BD810" s="49"/>
      <c r="BE810" s="336"/>
    </row>
    <row r="811" spans="1:57" s="334" customFormat="1">
      <c r="A811" s="1049"/>
      <c r="B811" s="872"/>
      <c r="C811" s="868"/>
      <c r="D811" s="62">
        <v>2020</v>
      </c>
      <c r="E811" s="63">
        <f>F811+G811+H811+I811+J811</f>
        <v>4</v>
      </c>
      <c r="F811" s="63">
        <v>0</v>
      </c>
      <c r="G811" s="63">
        <v>0</v>
      </c>
      <c r="H811" s="63">
        <v>2</v>
      </c>
      <c r="I811" s="63">
        <v>2</v>
      </c>
      <c r="J811" s="63">
        <v>0</v>
      </c>
      <c r="K811" s="86">
        <f t="shared" si="280"/>
        <v>4</v>
      </c>
      <c r="L811" s="402"/>
      <c r="M811" s="402"/>
      <c r="N811" s="404"/>
      <c r="O811" s="1047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49"/>
      <c r="AU811" s="49"/>
      <c r="AV811" s="49"/>
      <c r="AW811" s="49"/>
      <c r="AX811" s="49"/>
      <c r="AY811" s="49"/>
      <c r="AZ811" s="49"/>
      <c r="BA811" s="49"/>
      <c r="BB811" s="49"/>
      <c r="BC811" s="49"/>
      <c r="BD811" s="49"/>
      <c r="BE811" s="336"/>
    </row>
    <row r="812" spans="1:57" s="334" customFormat="1">
      <c r="A812" s="1050"/>
      <c r="B812" s="873"/>
      <c r="C812" s="868"/>
      <c r="D812" s="62">
        <v>2021</v>
      </c>
      <c r="E812" s="63">
        <f>F812+G812+H812+I812+J812</f>
        <v>3</v>
      </c>
      <c r="F812" s="63">
        <v>0</v>
      </c>
      <c r="G812" s="63">
        <v>0</v>
      </c>
      <c r="H812" s="63">
        <v>1.5</v>
      </c>
      <c r="I812" s="63">
        <v>1.5</v>
      </c>
      <c r="J812" s="63">
        <v>0</v>
      </c>
      <c r="K812" s="86">
        <f t="shared" si="280"/>
        <v>3</v>
      </c>
      <c r="L812" s="402"/>
      <c r="M812" s="402"/>
      <c r="N812" s="404"/>
      <c r="O812" s="1010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  <c r="AO812" s="49"/>
      <c r="AP812" s="49"/>
      <c r="AQ812" s="49"/>
      <c r="AR812" s="49"/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336"/>
    </row>
    <row r="813" spans="1:57" s="334" customFormat="1">
      <c r="A813" s="1063" t="s">
        <v>940</v>
      </c>
      <c r="B813" s="870" t="s">
        <v>941</v>
      </c>
      <c r="C813" s="868"/>
      <c r="D813" s="84" t="s">
        <v>16</v>
      </c>
      <c r="E813" s="85">
        <f>E814+E815</f>
        <v>7</v>
      </c>
      <c r="F813" s="85">
        <f>F814+F815</f>
        <v>0</v>
      </c>
      <c r="G813" s="85">
        <f>G814+G815</f>
        <v>0</v>
      </c>
      <c r="H813" s="85">
        <f>H814+H815</f>
        <v>3.5</v>
      </c>
      <c r="I813" s="85">
        <f>I814+I815</f>
        <v>3.5</v>
      </c>
      <c r="J813" s="63">
        <v>0</v>
      </c>
      <c r="K813" s="86">
        <f t="shared" si="280"/>
        <v>7</v>
      </c>
      <c r="L813" s="402" t="s">
        <v>927</v>
      </c>
      <c r="M813" s="402"/>
      <c r="N813" s="404">
        <v>4</v>
      </c>
      <c r="O813" s="995" t="s">
        <v>942</v>
      </c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  <c r="AO813" s="49"/>
      <c r="AP813" s="49"/>
      <c r="AQ813" s="49"/>
      <c r="AR813" s="49"/>
      <c r="AS813" s="49"/>
      <c r="AT813" s="49"/>
      <c r="AU813" s="49"/>
      <c r="AV813" s="49"/>
      <c r="AW813" s="49"/>
      <c r="AX813" s="49"/>
      <c r="AY813" s="49"/>
      <c r="AZ813" s="49"/>
      <c r="BA813" s="49"/>
      <c r="BB813" s="49"/>
      <c r="BC813" s="49"/>
      <c r="BD813" s="49"/>
      <c r="BE813" s="336"/>
    </row>
    <row r="814" spans="1:57" s="334" customFormat="1">
      <c r="A814" s="1063"/>
      <c r="B814" s="870"/>
      <c r="C814" s="868"/>
      <c r="D814" s="62">
        <v>2020</v>
      </c>
      <c r="E814" s="63">
        <f>F814+G814+H814+I814+J814</f>
        <v>4</v>
      </c>
      <c r="F814" s="63">
        <v>0</v>
      </c>
      <c r="G814" s="63">
        <v>0</v>
      </c>
      <c r="H814" s="63">
        <v>2</v>
      </c>
      <c r="I814" s="63">
        <v>2</v>
      </c>
      <c r="J814" s="63">
        <v>0</v>
      </c>
      <c r="K814" s="86">
        <f t="shared" si="280"/>
        <v>4</v>
      </c>
      <c r="L814" s="402"/>
      <c r="M814" s="402"/>
      <c r="N814" s="404"/>
      <c r="O814" s="1030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  <c r="AO814" s="49"/>
      <c r="AP814" s="49"/>
      <c r="AQ814" s="49"/>
      <c r="AR814" s="49"/>
      <c r="AS814" s="49"/>
      <c r="AT814" s="49"/>
      <c r="AU814" s="49"/>
      <c r="AV814" s="49"/>
      <c r="AW814" s="49"/>
      <c r="AX814" s="49"/>
      <c r="AY814" s="49"/>
      <c r="AZ814" s="49"/>
      <c r="BA814" s="49"/>
      <c r="BB814" s="49"/>
      <c r="BC814" s="49"/>
      <c r="BD814" s="49"/>
      <c r="BE814" s="336"/>
    </row>
    <row r="815" spans="1:57" s="334" customFormat="1">
      <c r="A815" s="1063"/>
      <c r="B815" s="870"/>
      <c r="C815" s="869"/>
      <c r="D815" s="62">
        <v>2021</v>
      </c>
      <c r="E815" s="63">
        <f>F815+G815+H815+I815+J815</f>
        <v>3</v>
      </c>
      <c r="F815" s="63">
        <v>0</v>
      </c>
      <c r="G815" s="63">
        <v>0</v>
      </c>
      <c r="H815" s="63">
        <v>1.5</v>
      </c>
      <c r="I815" s="63">
        <v>1.5</v>
      </c>
      <c r="J815" s="63">
        <v>0</v>
      </c>
      <c r="K815" s="86">
        <f t="shared" si="280"/>
        <v>3</v>
      </c>
      <c r="L815" s="402"/>
      <c r="M815" s="402"/>
      <c r="N815" s="404"/>
      <c r="O815" s="996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  <c r="AO815" s="49"/>
      <c r="AP815" s="49"/>
      <c r="AQ815" s="49"/>
      <c r="AR815" s="49"/>
      <c r="AS815" s="49"/>
      <c r="AT815" s="49"/>
      <c r="AU815" s="49"/>
      <c r="AV815" s="49"/>
      <c r="AW815" s="49"/>
      <c r="AX815" s="49"/>
      <c r="AY815" s="49"/>
      <c r="AZ815" s="49"/>
      <c r="BA815" s="49"/>
      <c r="BB815" s="49"/>
      <c r="BC815" s="49"/>
      <c r="BD815" s="49"/>
      <c r="BE815" s="336"/>
    </row>
    <row r="816" spans="1:57" s="334" customFormat="1" ht="12" customHeight="1">
      <c r="A816" s="1066" t="s">
        <v>943</v>
      </c>
      <c r="B816" s="929" t="s">
        <v>944</v>
      </c>
      <c r="C816" s="987"/>
      <c r="D816" s="140" t="s">
        <v>16</v>
      </c>
      <c r="E816" s="141">
        <f t="shared" ref="E816:J816" si="289">SUM(E817:E828)</f>
        <v>118710.17846888048</v>
      </c>
      <c r="F816" s="141">
        <f t="shared" si="289"/>
        <v>2.46846888048128</v>
      </c>
      <c r="G816" s="141">
        <f t="shared" si="289"/>
        <v>0</v>
      </c>
      <c r="H816" s="141">
        <f t="shared" si="289"/>
        <v>0</v>
      </c>
      <c r="I816" s="141">
        <f t="shared" si="289"/>
        <v>118707.70999999999</v>
      </c>
      <c r="J816" s="141">
        <f t="shared" si="289"/>
        <v>0</v>
      </c>
      <c r="K816" s="86">
        <f t="shared" si="280"/>
        <v>118710.17846888048</v>
      </c>
      <c r="L816" s="402"/>
      <c r="M816" s="402"/>
      <c r="N816" s="404"/>
      <c r="O816" s="314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  <c r="AO816" s="49"/>
      <c r="AP816" s="49"/>
      <c r="AQ816" s="49"/>
      <c r="AR816" s="49"/>
      <c r="AS816" s="49"/>
      <c r="AT816" s="49"/>
      <c r="AU816" s="49"/>
      <c r="AV816" s="49"/>
      <c r="AW816" s="49"/>
      <c r="AX816" s="49"/>
      <c r="AY816" s="49"/>
      <c r="AZ816" s="49"/>
      <c r="BA816" s="49"/>
      <c r="BB816" s="49"/>
      <c r="BC816" s="49"/>
      <c r="BD816" s="49"/>
      <c r="BE816" s="336"/>
    </row>
    <row r="817" spans="1:57" s="334" customFormat="1">
      <c r="A817" s="1067"/>
      <c r="B817" s="868"/>
      <c r="C817" s="868"/>
      <c r="D817" s="140">
        <v>2019</v>
      </c>
      <c r="E817" s="141">
        <f t="shared" ref="E817:J828" si="290">E830+E879+E905+E931</f>
        <v>28255.242699999999</v>
      </c>
      <c r="F817" s="141">
        <f t="shared" si="290"/>
        <v>6.2700000000000006E-2</v>
      </c>
      <c r="G817" s="141">
        <f t="shared" si="290"/>
        <v>0</v>
      </c>
      <c r="H817" s="141">
        <f t="shared" si="290"/>
        <v>0</v>
      </c>
      <c r="I817" s="141">
        <f t="shared" si="290"/>
        <v>28255.18</v>
      </c>
      <c r="J817" s="141">
        <f t="shared" si="290"/>
        <v>0</v>
      </c>
      <c r="K817" s="86">
        <f t="shared" si="280"/>
        <v>28255.242699999999</v>
      </c>
      <c r="L817" s="402"/>
      <c r="M817" s="402"/>
      <c r="N817" s="404"/>
      <c r="O817" s="314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  <c r="AO817" s="49"/>
      <c r="AP817" s="49"/>
      <c r="AQ817" s="49"/>
      <c r="AR817" s="49"/>
      <c r="AS817" s="49"/>
      <c r="AT817" s="49"/>
      <c r="AU817" s="49"/>
      <c r="AV817" s="49"/>
      <c r="AW817" s="49"/>
      <c r="AX817" s="49"/>
      <c r="AY817" s="49"/>
      <c r="AZ817" s="49"/>
      <c r="BA817" s="49"/>
      <c r="BB817" s="49"/>
      <c r="BC817" s="49"/>
      <c r="BD817" s="49"/>
      <c r="BE817" s="336"/>
    </row>
    <row r="818" spans="1:57" s="334" customFormat="1">
      <c r="A818" s="1067"/>
      <c r="B818" s="868"/>
      <c r="C818" s="868"/>
      <c r="D818" s="140">
        <v>2020</v>
      </c>
      <c r="E818" s="141">
        <f t="shared" si="290"/>
        <v>40983.826150000008</v>
      </c>
      <c r="F818" s="141">
        <f t="shared" si="290"/>
        <v>0.17615</v>
      </c>
      <c r="G818" s="141">
        <f t="shared" si="290"/>
        <v>0</v>
      </c>
      <c r="H818" s="141">
        <f t="shared" si="290"/>
        <v>0</v>
      </c>
      <c r="I818" s="141">
        <f t="shared" si="290"/>
        <v>40983.65</v>
      </c>
      <c r="J818" s="141">
        <f t="shared" si="290"/>
        <v>0</v>
      </c>
      <c r="K818" s="86">
        <f t="shared" si="280"/>
        <v>40983.826150000001</v>
      </c>
      <c r="L818" s="402"/>
      <c r="M818" s="402"/>
      <c r="N818" s="404"/>
      <c r="O818" s="314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  <c r="AO818" s="49"/>
      <c r="AP818" s="49"/>
      <c r="AQ818" s="49"/>
      <c r="AR818" s="49"/>
      <c r="AS818" s="49"/>
      <c r="AT818" s="49"/>
      <c r="AU818" s="49"/>
      <c r="AV818" s="49"/>
      <c r="AW818" s="49"/>
      <c r="AX818" s="49"/>
      <c r="AY818" s="49"/>
      <c r="AZ818" s="49"/>
      <c r="BA818" s="49"/>
      <c r="BB818" s="49"/>
      <c r="BC818" s="49"/>
      <c r="BD818" s="49"/>
      <c r="BE818" s="336"/>
    </row>
    <row r="819" spans="1:57" s="334" customFormat="1">
      <c r="A819" s="1067"/>
      <c r="B819" s="868"/>
      <c r="C819" s="868"/>
      <c r="D819" s="140">
        <v>2021</v>
      </c>
      <c r="E819" s="141">
        <f t="shared" si="290"/>
        <v>29516.062819999996</v>
      </c>
      <c r="F819" s="141">
        <f t="shared" si="290"/>
        <v>0.18281999999999998</v>
      </c>
      <c r="G819" s="141">
        <f t="shared" si="290"/>
        <v>0</v>
      </c>
      <c r="H819" s="141">
        <f t="shared" si="290"/>
        <v>0</v>
      </c>
      <c r="I819" s="141">
        <f t="shared" si="290"/>
        <v>29515.879999999997</v>
      </c>
      <c r="J819" s="141">
        <f t="shared" si="290"/>
        <v>0</v>
      </c>
      <c r="K819" s="86">
        <f t="shared" si="280"/>
        <v>29516.062819999999</v>
      </c>
      <c r="L819" s="402"/>
      <c r="M819" s="402"/>
      <c r="N819" s="404"/>
      <c r="O819" s="314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  <c r="AO819" s="49"/>
      <c r="AP819" s="49"/>
      <c r="AQ819" s="49"/>
      <c r="AR819" s="49"/>
      <c r="AS819" s="49"/>
      <c r="AT819" s="49"/>
      <c r="AU819" s="49"/>
      <c r="AV819" s="49"/>
      <c r="AW819" s="49"/>
      <c r="AX819" s="49"/>
      <c r="AY819" s="49"/>
      <c r="AZ819" s="49"/>
      <c r="BA819" s="49"/>
      <c r="BB819" s="49"/>
      <c r="BC819" s="49"/>
      <c r="BD819" s="49"/>
      <c r="BE819" s="336"/>
    </row>
    <row r="820" spans="1:57" s="334" customFormat="1">
      <c r="A820" s="1067"/>
      <c r="B820" s="868"/>
      <c r="C820" s="868"/>
      <c r="D820" s="140">
        <v>2022</v>
      </c>
      <c r="E820" s="141">
        <f t="shared" si="290"/>
        <v>16169.187599999999</v>
      </c>
      <c r="F820" s="141">
        <f t="shared" si="290"/>
        <v>0.18759999999999999</v>
      </c>
      <c r="G820" s="141">
        <f t="shared" si="290"/>
        <v>0</v>
      </c>
      <c r="H820" s="141">
        <f t="shared" si="290"/>
        <v>0</v>
      </c>
      <c r="I820" s="141">
        <f t="shared" si="290"/>
        <v>16169</v>
      </c>
      <c r="J820" s="141">
        <f t="shared" si="290"/>
        <v>0</v>
      </c>
      <c r="K820" s="86">
        <f t="shared" si="280"/>
        <v>16169.187599999999</v>
      </c>
      <c r="L820" s="402"/>
      <c r="M820" s="402"/>
      <c r="N820" s="404"/>
      <c r="O820" s="314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  <c r="AR820" s="49"/>
      <c r="AS820" s="49"/>
      <c r="AT820" s="49"/>
      <c r="AU820" s="49"/>
      <c r="AV820" s="49"/>
      <c r="AW820" s="49"/>
      <c r="AX820" s="49"/>
      <c r="AY820" s="49"/>
      <c r="AZ820" s="49"/>
      <c r="BA820" s="49"/>
      <c r="BB820" s="49"/>
      <c r="BC820" s="49"/>
      <c r="BD820" s="49"/>
      <c r="BE820" s="336"/>
    </row>
    <row r="821" spans="1:57" s="334" customFormat="1">
      <c r="A821" s="1067"/>
      <c r="B821" s="868"/>
      <c r="C821" s="868"/>
      <c r="D821" s="140">
        <v>2023</v>
      </c>
      <c r="E821" s="141">
        <f t="shared" si="290"/>
        <v>3784.2055500000006</v>
      </c>
      <c r="F821" s="141">
        <f t="shared" si="290"/>
        <v>0.20555000000000001</v>
      </c>
      <c r="G821" s="141">
        <f t="shared" si="290"/>
        <v>0</v>
      </c>
      <c r="H821" s="141">
        <f t="shared" si="290"/>
        <v>0</v>
      </c>
      <c r="I821" s="141">
        <f t="shared" si="290"/>
        <v>3784</v>
      </c>
      <c r="J821" s="141">
        <f t="shared" si="290"/>
        <v>0</v>
      </c>
      <c r="K821" s="86">
        <f t="shared" si="280"/>
        <v>3784.2055500000001</v>
      </c>
      <c r="L821" s="402"/>
      <c r="M821" s="402"/>
      <c r="N821" s="404"/>
      <c r="O821" s="314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  <c r="AR821" s="49"/>
      <c r="AS821" s="49"/>
      <c r="AT821" s="49"/>
      <c r="AU821" s="49"/>
      <c r="AV821" s="49"/>
      <c r="AW821" s="49"/>
      <c r="AX821" s="49"/>
      <c r="AY821" s="49"/>
      <c r="AZ821" s="49"/>
      <c r="BA821" s="49"/>
      <c r="BB821" s="49"/>
      <c r="BC821" s="49"/>
      <c r="BD821" s="49"/>
      <c r="BE821" s="336"/>
    </row>
    <row r="822" spans="1:57" s="334" customFormat="1">
      <c r="A822" s="1067"/>
      <c r="B822" s="868"/>
      <c r="C822" s="868"/>
      <c r="D822" s="140">
        <v>2024</v>
      </c>
      <c r="E822" s="141">
        <f t="shared" si="290"/>
        <v>0.21138999999999999</v>
      </c>
      <c r="F822" s="141">
        <f t="shared" si="290"/>
        <v>0.21138999999999999</v>
      </c>
      <c r="G822" s="141">
        <f t="shared" si="290"/>
        <v>0</v>
      </c>
      <c r="H822" s="141">
        <f t="shared" si="290"/>
        <v>0</v>
      </c>
      <c r="I822" s="141">
        <f t="shared" si="290"/>
        <v>0</v>
      </c>
      <c r="J822" s="141">
        <f t="shared" si="290"/>
        <v>0</v>
      </c>
      <c r="K822" s="86">
        <f t="shared" si="280"/>
        <v>0.21138999999999999</v>
      </c>
      <c r="L822" s="402"/>
      <c r="M822" s="402"/>
      <c r="N822" s="404"/>
      <c r="O822" s="314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  <c r="AO822" s="49"/>
      <c r="AP822" s="49"/>
      <c r="AQ822" s="49"/>
      <c r="AR822" s="49"/>
      <c r="AS822" s="49"/>
      <c r="AT822" s="49"/>
      <c r="AU822" s="49"/>
      <c r="AV822" s="49"/>
      <c r="AW822" s="49"/>
      <c r="AX822" s="49"/>
      <c r="AY822" s="49"/>
      <c r="AZ822" s="49"/>
      <c r="BA822" s="49"/>
      <c r="BB822" s="49"/>
      <c r="BC822" s="49"/>
      <c r="BD822" s="49"/>
      <c r="BE822" s="336"/>
    </row>
    <row r="823" spans="1:57" s="334" customFormat="1">
      <c r="A823" s="1067"/>
      <c r="B823" s="868"/>
      <c r="C823" s="868"/>
      <c r="D823" s="140">
        <v>2025</v>
      </c>
      <c r="E823" s="141">
        <f t="shared" si="290"/>
        <v>0.21740000000000001</v>
      </c>
      <c r="F823" s="141">
        <f t="shared" si="290"/>
        <v>0.21740000000000001</v>
      </c>
      <c r="G823" s="141">
        <f t="shared" si="290"/>
        <v>0</v>
      </c>
      <c r="H823" s="141">
        <f t="shared" si="290"/>
        <v>0</v>
      </c>
      <c r="I823" s="141">
        <f t="shared" si="290"/>
        <v>0</v>
      </c>
      <c r="J823" s="141">
        <f t="shared" si="290"/>
        <v>0</v>
      </c>
      <c r="K823" s="86">
        <f t="shared" si="280"/>
        <v>0.21740000000000001</v>
      </c>
      <c r="L823" s="402"/>
      <c r="M823" s="402"/>
      <c r="N823" s="404"/>
      <c r="O823" s="314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  <c r="AR823" s="49"/>
      <c r="AS823" s="49"/>
      <c r="AT823" s="49"/>
      <c r="AU823" s="49"/>
      <c r="AV823" s="49"/>
      <c r="AW823" s="49"/>
      <c r="AX823" s="49"/>
      <c r="AY823" s="49"/>
      <c r="AZ823" s="49"/>
      <c r="BA823" s="49"/>
      <c r="BB823" s="49"/>
      <c r="BC823" s="49"/>
      <c r="BD823" s="49"/>
      <c r="BE823" s="336"/>
    </row>
    <row r="824" spans="1:57" s="334" customFormat="1">
      <c r="A824" s="1067"/>
      <c r="B824" s="868"/>
      <c r="C824" s="868"/>
      <c r="D824" s="140">
        <v>2026</v>
      </c>
      <c r="E824" s="141">
        <f t="shared" si="290"/>
        <v>0.22608800000000001</v>
      </c>
      <c r="F824" s="141">
        <f t="shared" si="290"/>
        <v>0.22608800000000001</v>
      </c>
      <c r="G824" s="141">
        <f t="shared" si="290"/>
        <v>0</v>
      </c>
      <c r="H824" s="141">
        <f t="shared" si="290"/>
        <v>0</v>
      </c>
      <c r="I824" s="141">
        <f t="shared" si="290"/>
        <v>0</v>
      </c>
      <c r="J824" s="141">
        <f t="shared" si="290"/>
        <v>0</v>
      </c>
      <c r="K824" s="86">
        <f t="shared" si="280"/>
        <v>0.22608800000000001</v>
      </c>
      <c r="L824" s="402"/>
      <c r="M824" s="402"/>
      <c r="N824" s="404"/>
      <c r="O824" s="314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49"/>
      <c r="AU824" s="49"/>
      <c r="AV824" s="49"/>
      <c r="AW824" s="49"/>
      <c r="AX824" s="49"/>
      <c r="AY824" s="49"/>
      <c r="AZ824" s="49"/>
      <c r="BA824" s="49"/>
      <c r="BB824" s="49"/>
      <c r="BC824" s="49"/>
      <c r="BD824" s="49"/>
      <c r="BE824" s="336"/>
    </row>
    <row r="825" spans="1:57" s="334" customFormat="1">
      <c r="A825" s="1067"/>
      <c r="B825" s="868"/>
      <c r="C825" s="868"/>
      <c r="D825" s="140">
        <v>2027</v>
      </c>
      <c r="E825" s="141">
        <f t="shared" si="290"/>
        <v>0.23515552000000001</v>
      </c>
      <c r="F825" s="141">
        <f t="shared" si="290"/>
        <v>0.23515552000000001</v>
      </c>
      <c r="G825" s="141">
        <f t="shared" si="290"/>
        <v>0</v>
      </c>
      <c r="H825" s="141">
        <f t="shared" si="290"/>
        <v>0</v>
      </c>
      <c r="I825" s="141">
        <f t="shared" si="290"/>
        <v>0</v>
      </c>
      <c r="J825" s="141">
        <f t="shared" si="290"/>
        <v>0</v>
      </c>
      <c r="K825" s="86">
        <f t="shared" ref="K825:K888" si="291">F825+G825+H825+I825+J825</f>
        <v>0.23515552000000001</v>
      </c>
      <c r="L825" s="402"/>
      <c r="M825" s="402"/>
      <c r="N825" s="404"/>
      <c r="O825" s="314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49"/>
      <c r="BD825" s="49"/>
      <c r="BE825" s="336"/>
    </row>
    <row r="826" spans="1:57" s="334" customFormat="1">
      <c r="A826" s="1067"/>
      <c r="B826" s="868"/>
      <c r="C826" s="868"/>
      <c r="D826" s="140">
        <v>2028</v>
      </c>
      <c r="E826" s="141">
        <f t="shared" si="290"/>
        <v>0.24460574080000003</v>
      </c>
      <c r="F826" s="141">
        <f t="shared" si="290"/>
        <v>0.24460574080000003</v>
      </c>
      <c r="G826" s="141">
        <f t="shared" si="290"/>
        <v>0</v>
      </c>
      <c r="H826" s="141">
        <f t="shared" si="290"/>
        <v>0</v>
      </c>
      <c r="I826" s="141">
        <f t="shared" si="290"/>
        <v>0</v>
      </c>
      <c r="J826" s="141">
        <f t="shared" si="290"/>
        <v>0</v>
      </c>
      <c r="K826" s="86">
        <f t="shared" si="291"/>
        <v>0.24460574080000003</v>
      </c>
      <c r="L826" s="402"/>
      <c r="M826" s="402"/>
      <c r="N826" s="404"/>
      <c r="O826" s="314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49"/>
      <c r="BD826" s="49"/>
      <c r="BE826" s="336"/>
    </row>
    <row r="827" spans="1:57" s="334" customFormat="1">
      <c r="A827" s="1067"/>
      <c r="B827" s="868"/>
      <c r="C827" s="868"/>
      <c r="D827" s="140">
        <v>2029</v>
      </c>
      <c r="E827" s="141">
        <f t="shared" si="290"/>
        <v>0.25444197043200001</v>
      </c>
      <c r="F827" s="141">
        <f t="shared" si="290"/>
        <v>0.25444197043200001</v>
      </c>
      <c r="G827" s="141">
        <f t="shared" si="290"/>
        <v>0</v>
      </c>
      <c r="H827" s="141">
        <f t="shared" si="290"/>
        <v>0</v>
      </c>
      <c r="I827" s="141">
        <f t="shared" si="290"/>
        <v>0</v>
      </c>
      <c r="J827" s="141">
        <f t="shared" si="290"/>
        <v>0</v>
      </c>
      <c r="K827" s="86">
        <f t="shared" si="291"/>
        <v>0.25444197043200001</v>
      </c>
      <c r="L827" s="402"/>
      <c r="M827" s="402"/>
      <c r="N827" s="404"/>
      <c r="O827" s="314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  <c r="AO827" s="49"/>
      <c r="AP827" s="49"/>
      <c r="AQ827" s="49"/>
      <c r="AR827" s="49"/>
      <c r="AS827" s="49"/>
      <c r="AT827" s="49"/>
      <c r="AU827" s="49"/>
      <c r="AV827" s="49"/>
      <c r="AW827" s="49"/>
      <c r="AX827" s="49"/>
      <c r="AY827" s="49"/>
      <c r="AZ827" s="49"/>
      <c r="BA827" s="49"/>
      <c r="BB827" s="49"/>
      <c r="BC827" s="49"/>
      <c r="BD827" s="49"/>
      <c r="BE827" s="336"/>
    </row>
    <row r="828" spans="1:57" s="334" customFormat="1">
      <c r="A828" s="1068"/>
      <c r="B828" s="869"/>
      <c r="C828" s="869"/>
      <c r="D828" s="140">
        <v>2030</v>
      </c>
      <c r="E828" s="141">
        <f t="shared" si="290"/>
        <v>0.26456764924928</v>
      </c>
      <c r="F828" s="141">
        <f t="shared" si="290"/>
        <v>0.26456764924928</v>
      </c>
      <c r="G828" s="141">
        <f t="shared" si="290"/>
        <v>0</v>
      </c>
      <c r="H828" s="141">
        <f t="shared" si="290"/>
        <v>0</v>
      </c>
      <c r="I828" s="141">
        <f t="shared" si="290"/>
        <v>0</v>
      </c>
      <c r="J828" s="141">
        <f t="shared" si="290"/>
        <v>0</v>
      </c>
      <c r="K828" s="86">
        <f t="shared" si="291"/>
        <v>0.26456764924928</v>
      </c>
      <c r="L828" s="402"/>
      <c r="M828" s="402"/>
      <c r="N828" s="404"/>
      <c r="O828" s="314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  <c r="AO828" s="49"/>
      <c r="AP828" s="49"/>
      <c r="AQ828" s="49"/>
      <c r="AR828" s="49"/>
      <c r="AS828" s="49"/>
      <c r="AT828" s="49"/>
      <c r="AU828" s="49"/>
      <c r="AV828" s="49"/>
      <c r="AW828" s="49"/>
      <c r="AX828" s="49"/>
      <c r="AY828" s="49"/>
      <c r="AZ828" s="49"/>
      <c r="BA828" s="49"/>
      <c r="BB828" s="49"/>
      <c r="BC828" s="49"/>
      <c r="BD828" s="49"/>
      <c r="BE828" s="336"/>
    </row>
    <row r="829" spans="1:57" s="334" customFormat="1" ht="15.75" customHeight="1">
      <c r="A829" s="1057" t="s">
        <v>945</v>
      </c>
      <c r="B829" s="1059" t="s">
        <v>946</v>
      </c>
      <c r="C829" s="1060"/>
      <c r="D829" s="284" t="s">
        <v>16</v>
      </c>
      <c r="E829" s="314">
        <f t="shared" ref="E829:J829" si="292">SUM(E830:E841)</f>
        <v>118708.27780888048</v>
      </c>
      <c r="F829" s="314">
        <f t="shared" si="292"/>
        <v>0.56780888048128009</v>
      </c>
      <c r="G829" s="314">
        <f t="shared" si="292"/>
        <v>0</v>
      </c>
      <c r="H829" s="314">
        <f t="shared" si="292"/>
        <v>0</v>
      </c>
      <c r="I829" s="314">
        <f t="shared" si="292"/>
        <v>118707.70999999999</v>
      </c>
      <c r="J829" s="314">
        <f t="shared" si="292"/>
        <v>0</v>
      </c>
      <c r="K829" s="86">
        <f t="shared" si="291"/>
        <v>118708.27780888048</v>
      </c>
      <c r="L829" s="142"/>
      <c r="M829" s="143"/>
      <c r="N829" s="144"/>
      <c r="O829" s="90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  <c r="AO829" s="49"/>
      <c r="AP829" s="49"/>
      <c r="AQ829" s="49"/>
      <c r="AR829" s="49"/>
      <c r="AS829" s="49"/>
      <c r="AT829" s="49"/>
      <c r="AU829" s="49"/>
      <c r="AV829" s="49"/>
      <c r="AW829" s="49"/>
      <c r="AX829" s="49"/>
      <c r="AY829" s="49"/>
      <c r="AZ829" s="49"/>
      <c r="BA829" s="49"/>
      <c r="BB829" s="49"/>
      <c r="BC829" s="49"/>
      <c r="BD829" s="49"/>
      <c r="BE829" s="336"/>
    </row>
    <row r="830" spans="1:57" s="51" customFormat="1">
      <c r="A830" s="1058"/>
      <c r="B830" s="889"/>
      <c r="C830" s="1061"/>
      <c r="D830" s="62">
        <v>2019</v>
      </c>
      <c r="E830" s="63">
        <f t="shared" ref="E830:J830" si="293">E843+E849+E853</f>
        <v>28255.192200000001</v>
      </c>
      <c r="F830" s="63">
        <f t="shared" si="293"/>
        <v>1.2200000000000001E-2</v>
      </c>
      <c r="G830" s="63">
        <f t="shared" si="293"/>
        <v>0</v>
      </c>
      <c r="H830" s="63">
        <f t="shared" si="293"/>
        <v>0</v>
      </c>
      <c r="I830" s="63">
        <f t="shared" si="293"/>
        <v>28255.18</v>
      </c>
      <c r="J830" s="63">
        <f t="shared" si="293"/>
        <v>0</v>
      </c>
      <c r="K830" s="86">
        <f t="shared" si="291"/>
        <v>28255.192200000001</v>
      </c>
      <c r="L830" s="99"/>
      <c r="M830" s="88"/>
      <c r="N830" s="89"/>
      <c r="O830" s="90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  <c r="AR830" s="49"/>
      <c r="AS830" s="49"/>
      <c r="AT830" s="49"/>
      <c r="AU830" s="49"/>
      <c r="AV830" s="49"/>
      <c r="AW830" s="49"/>
      <c r="AX830" s="49"/>
      <c r="AY830" s="49"/>
      <c r="AZ830" s="49"/>
      <c r="BA830" s="49"/>
      <c r="BB830" s="49"/>
      <c r="BC830" s="49"/>
      <c r="BD830" s="49"/>
      <c r="BE830" s="68"/>
    </row>
    <row r="831" spans="1:57" s="51" customFormat="1">
      <c r="A831" s="1058"/>
      <c r="B831" s="889"/>
      <c r="C831" s="1061"/>
      <c r="D831" s="62">
        <v>2020</v>
      </c>
      <c r="E831" s="63">
        <f t="shared" ref="E831:J831" si="294">E844+E854+E850</f>
        <v>40983.692360000001</v>
      </c>
      <c r="F831" s="63">
        <f t="shared" si="294"/>
        <v>4.2360000000000002E-2</v>
      </c>
      <c r="G831" s="63">
        <f t="shared" si="294"/>
        <v>0</v>
      </c>
      <c r="H831" s="63">
        <f t="shared" si="294"/>
        <v>0</v>
      </c>
      <c r="I831" s="63">
        <f t="shared" si="294"/>
        <v>40983.65</v>
      </c>
      <c r="J831" s="63">
        <f t="shared" si="294"/>
        <v>0</v>
      </c>
      <c r="K831" s="86">
        <f t="shared" si="291"/>
        <v>40983.692360000001</v>
      </c>
      <c r="L831" s="99"/>
      <c r="M831" s="88"/>
      <c r="N831" s="89"/>
      <c r="O831" s="90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  <c r="AO831" s="49"/>
      <c r="AP831" s="49"/>
      <c r="AQ831" s="49"/>
      <c r="AR831" s="49"/>
      <c r="AS831" s="49"/>
      <c r="AT831" s="49"/>
      <c r="AU831" s="49"/>
      <c r="AV831" s="49"/>
      <c r="AW831" s="49"/>
      <c r="AX831" s="49"/>
      <c r="AY831" s="49"/>
      <c r="AZ831" s="49"/>
      <c r="BA831" s="49"/>
      <c r="BB831" s="49"/>
      <c r="BC831" s="49"/>
      <c r="BD831" s="49"/>
      <c r="BE831" s="68"/>
    </row>
    <row r="832" spans="1:57" s="51" customFormat="1">
      <c r="A832" s="1058"/>
      <c r="B832" s="889"/>
      <c r="C832" s="1061"/>
      <c r="D832" s="62">
        <v>2021</v>
      </c>
      <c r="E832" s="63">
        <f>E845+E855+E851</f>
        <v>29515.924059999998</v>
      </c>
      <c r="F832" s="63">
        <f>F845+F855+F851</f>
        <v>4.4060000000000002E-2</v>
      </c>
      <c r="G832" s="63">
        <f>G845+G855+G851</f>
        <v>0</v>
      </c>
      <c r="H832" s="63">
        <f>H845+H855+H851</f>
        <v>0</v>
      </c>
      <c r="I832" s="63">
        <f>I845+I855+I851</f>
        <v>29515.879999999997</v>
      </c>
      <c r="J832" s="63">
        <f>J845+J855</f>
        <v>0</v>
      </c>
      <c r="K832" s="86">
        <f t="shared" si="291"/>
        <v>29515.924059999998</v>
      </c>
      <c r="L832" s="99"/>
      <c r="M832" s="88"/>
      <c r="N832" s="89"/>
      <c r="O832" s="90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  <c r="AO832" s="49"/>
      <c r="AP832" s="49"/>
      <c r="AQ832" s="49"/>
      <c r="AR832" s="49"/>
      <c r="AS832" s="49"/>
      <c r="AT832" s="49"/>
      <c r="AU832" s="49"/>
      <c r="AV832" s="49"/>
      <c r="AW832" s="49"/>
      <c r="AX832" s="49"/>
      <c r="AY832" s="49"/>
      <c r="AZ832" s="49"/>
      <c r="BA832" s="49"/>
      <c r="BB832" s="49"/>
      <c r="BC832" s="49"/>
      <c r="BD832" s="49"/>
      <c r="BE832" s="68"/>
    </row>
    <row r="833" spans="1:57" s="51" customFormat="1">
      <c r="A833" s="1058"/>
      <c r="B833" s="889"/>
      <c r="C833" s="1061"/>
      <c r="D833" s="62">
        <v>2022</v>
      </c>
      <c r="E833" s="63">
        <f>E846+E856</f>
        <v>16169.04579</v>
      </c>
      <c r="F833" s="63">
        <f>F846+F856</f>
        <v>4.5789999999999997E-2</v>
      </c>
      <c r="G833" s="63">
        <f>G846+G856</f>
        <v>0</v>
      </c>
      <c r="H833" s="63">
        <f>H846+H856</f>
        <v>0</v>
      </c>
      <c r="I833" s="63">
        <f>I846+I856</f>
        <v>16169</v>
      </c>
      <c r="J833" s="63">
        <f>J846+J856</f>
        <v>0</v>
      </c>
      <c r="K833" s="86">
        <f t="shared" si="291"/>
        <v>16169.04579</v>
      </c>
      <c r="L833" s="99"/>
      <c r="M833" s="88"/>
      <c r="N833" s="89"/>
      <c r="O833" s="90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  <c r="AO833" s="49"/>
      <c r="AP833" s="49"/>
      <c r="AQ833" s="49"/>
      <c r="AR833" s="49"/>
      <c r="AS833" s="49"/>
      <c r="AT833" s="49"/>
      <c r="AU833" s="49"/>
      <c r="AV833" s="49"/>
      <c r="AW833" s="49"/>
      <c r="AX833" s="49"/>
      <c r="AY833" s="49"/>
      <c r="AZ833" s="49"/>
      <c r="BA833" s="49"/>
      <c r="BB833" s="49"/>
      <c r="BC833" s="49"/>
      <c r="BD833" s="49"/>
      <c r="BE833" s="68"/>
    </row>
    <row r="834" spans="1:57" s="51" customFormat="1">
      <c r="A834" s="1058"/>
      <c r="B834" s="889"/>
      <c r="C834" s="1061"/>
      <c r="D834" s="62">
        <v>2023</v>
      </c>
      <c r="E834" s="63">
        <f t="shared" ref="E834:J834" si="295">E857+E847</f>
        <v>3784.0459500000002</v>
      </c>
      <c r="F834" s="63">
        <f t="shared" si="295"/>
        <v>4.5949999999999998E-2</v>
      </c>
      <c r="G834" s="63">
        <f t="shared" si="295"/>
        <v>0</v>
      </c>
      <c r="H834" s="63">
        <f t="shared" si="295"/>
        <v>0</v>
      </c>
      <c r="I834" s="63">
        <f t="shared" si="295"/>
        <v>3784</v>
      </c>
      <c r="J834" s="63">
        <f t="shared" si="295"/>
        <v>0</v>
      </c>
      <c r="K834" s="86">
        <f t="shared" si="291"/>
        <v>3784.0459500000002</v>
      </c>
      <c r="L834" s="99"/>
      <c r="M834" s="88"/>
      <c r="N834" s="89"/>
      <c r="O834" s="90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  <c r="AO834" s="49"/>
      <c r="AP834" s="49"/>
      <c r="AQ834" s="49"/>
      <c r="AR834" s="49"/>
      <c r="AS834" s="49"/>
      <c r="AT834" s="49"/>
      <c r="AU834" s="49"/>
      <c r="AV834" s="49"/>
      <c r="AW834" s="49"/>
      <c r="AX834" s="49"/>
      <c r="AY834" s="49"/>
      <c r="AZ834" s="49"/>
      <c r="BA834" s="49"/>
      <c r="BB834" s="49"/>
      <c r="BC834" s="49"/>
      <c r="BD834" s="49"/>
      <c r="BE834" s="68"/>
    </row>
    <row r="835" spans="1:57" s="51" customFormat="1">
      <c r="A835" s="1058"/>
      <c r="B835" s="889"/>
      <c r="C835" s="1061"/>
      <c r="D835" s="62">
        <v>2024</v>
      </c>
      <c r="E835" s="63">
        <f t="shared" ref="E835:J841" si="296">E858</f>
        <v>4.7789999999999999E-2</v>
      </c>
      <c r="F835" s="63">
        <f t="shared" si="296"/>
        <v>4.7789999999999999E-2</v>
      </c>
      <c r="G835" s="63">
        <f t="shared" si="296"/>
        <v>0</v>
      </c>
      <c r="H835" s="63">
        <f t="shared" si="296"/>
        <v>0</v>
      </c>
      <c r="I835" s="63">
        <f t="shared" si="296"/>
        <v>0</v>
      </c>
      <c r="J835" s="63">
        <f t="shared" si="296"/>
        <v>0</v>
      </c>
      <c r="K835" s="86">
        <f t="shared" si="291"/>
        <v>4.7789999999999999E-2</v>
      </c>
      <c r="L835" s="99"/>
      <c r="M835" s="88"/>
      <c r="N835" s="89"/>
      <c r="O835" s="90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  <c r="AO835" s="49"/>
      <c r="AP835" s="49"/>
      <c r="AQ835" s="49"/>
      <c r="AR835" s="49"/>
      <c r="AS835" s="49"/>
      <c r="AT835" s="49"/>
      <c r="AU835" s="49"/>
      <c r="AV835" s="49"/>
      <c r="AW835" s="49"/>
      <c r="AX835" s="49"/>
      <c r="AY835" s="49"/>
      <c r="AZ835" s="49"/>
      <c r="BA835" s="49"/>
      <c r="BB835" s="49"/>
      <c r="BC835" s="49"/>
      <c r="BD835" s="49"/>
      <c r="BE835" s="68"/>
    </row>
    <row r="836" spans="1:57" s="51" customFormat="1">
      <c r="A836" s="1058"/>
      <c r="B836" s="889"/>
      <c r="C836" s="1061"/>
      <c r="D836" s="62">
        <v>2025</v>
      </c>
      <c r="E836" s="63">
        <f t="shared" si="296"/>
        <v>4.9700000000000001E-2</v>
      </c>
      <c r="F836" s="63">
        <f t="shared" si="296"/>
        <v>4.9700000000000001E-2</v>
      </c>
      <c r="G836" s="63">
        <f t="shared" si="296"/>
        <v>0</v>
      </c>
      <c r="H836" s="63">
        <f t="shared" si="296"/>
        <v>0</v>
      </c>
      <c r="I836" s="63">
        <f t="shared" si="296"/>
        <v>0</v>
      </c>
      <c r="J836" s="63">
        <f t="shared" si="296"/>
        <v>0</v>
      </c>
      <c r="K836" s="86">
        <f t="shared" si="291"/>
        <v>4.9700000000000001E-2</v>
      </c>
      <c r="L836" s="99"/>
      <c r="M836" s="88"/>
      <c r="N836" s="89"/>
      <c r="O836" s="90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  <c r="AO836" s="49"/>
      <c r="AP836" s="49"/>
      <c r="AQ836" s="49"/>
      <c r="AR836" s="49"/>
      <c r="AS836" s="49"/>
      <c r="AT836" s="49"/>
      <c r="AU836" s="49"/>
      <c r="AV836" s="49"/>
      <c r="AW836" s="49"/>
      <c r="AX836" s="49"/>
      <c r="AY836" s="49"/>
      <c r="AZ836" s="49"/>
      <c r="BA836" s="49"/>
      <c r="BB836" s="49"/>
      <c r="BC836" s="49"/>
      <c r="BD836" s="49"/>
      <c r="BE836" s="68"/>
    </row>
    <row r="837" spans="1:57" s="51" customFormat="1">
      <c r="A837" s="1058"/>
      <c r="B837" s="889"/>
      <c r="C837" s="1061"/>
      <c r="D837" s="62">
        <v>2026</v>
      </c>
      <c r="E837" s="63">
        <f t="shared" si="296"/>
        <v>5.1688000000000005E-2</v>
      </c>
      <c r="F837" s="63">
        <f t="shared" si="296"/>
        <v>5.1688000000000005E-2</v>
      </c>
      <c r="G837" s="63">
        <f t="shared" si="296"/>
        <v>0</v>
      </c>
      <c r="H837" s="63">
        <f t="shared" si="296"/>
        <v>0</v>
      </c>
      <c r="I837" s="63">
        <f t="shared" si="296"/>
        <v>0</v>
      </c>
      <c r="J837" s="63">
        <f t="shared" si="296"/>
        <v>0</v>
      </c>
      <c r="K837" s="86">
        <f t="shared" si="291"/>
        <v>5.1688000000000005E-2</v>
      </c>
      <c r="L837" s="99"/>
      <c r="M837" s="88"/>
      <c r="N837" s="89"/>
      <c r="O837" s="90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49"/>
      <c r="AU837" s="49"/>
      <c r="AV837" s="49"/>
      <c r="AW837" s="49"/>
      <c r="AX837" s="49"/>
      <c r="AY837" s="49"/>
      <c r="AZ837" s="49"/>
      <c r="BA837" s="49"/>
      <c r="BB837" s="49"/>
      <c r="BC837" s="49"/>
      <c r="BD837" s="49"/>
      <c r="BE837" s="68"/>
    </row>
    <row r="838" spans="1:57" s="51" customFormat="1">
      <c r="A838" s="1058"/>
      <c r="B838" s="889"/>
      <c r="C838" s="1061"/>
      <c r="D838" s="62">
        <v>2027</v>
      </c>
      <c r="E838" s="63">
        <f t="shared" si="296"/>
        <v>5.3755520000000008E-2</v>
      </c>
      <c r="F838" s="63">
        <f t="shared" si="296"/>
        <v>5.3755520000000008E-2</v>
      </c>
      <c r="G838" s="63">
        <f t="shared" si="296"/>
        <v>0</v>
      </c>
      <c r="H838" s="63">
        <f t="shared" si="296"/>
        <v>0</v>
      </c>
      <c r="I838" s="63">
        <f t="shared" si="296"/>
        <v>0</v>
      </c>
      <c r="J838" s="63">
        <f t="shared" si="296"/>
        <v>0</v>
      </c>
      <c r="K838" s="86">
        <f t="shared" si="291"/>
        <v>5.3755520000000008E-2</v>
      </c>
      <c r="L838" s="99"/>
      <c r="M838" s="88"/>
      <c r="N838" s="89"/>
      <c r="O838" s="90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  <c r="AO838" s="49"/>
      <c r="AP838" s="49"/>
      <c r="AQ838" s="49"/>
      <c r="AR838" s="49"/>
      <c r="AS838" s="49"/>
      <c r="AT838" s="49"/>
      <c r="AU838" s="49"/>
      <c r="AV838" s="49"/>
      <c r="AW838" s="49"/>
      <c r="AX838" s="49"/>
      <c r="AY838" s="49"/>
      <c r="AZ838" s="49"/>
      <c r="BA838" s="49"/>
      <c r="BB838" s="49"/>
      <c r="BC838" s="49"/>
      <c r="BD838" s="49"/>
      <c r="BE838" s="68"/>
    </row>
    <row r="839" spans="1:57" s="51" customFormat="1">
      <c r="A839" s="1058"/>
      <c r="B839" s="889"/>
      <c r="C839" s="1061"/>
      <c r="D839" s="62">
        <v>2028</v>
      </c>
      <c r="E839" s="63">
        <f t="shared" si="296"/>
        <v>5.5905740800000013E-2</v>
      </c>
      <c r="F839" s="63">
        <f t="shared" si="296"/>
        <v>5.5905740800000013E-2</v>
      </c>
      <c r="G839" s="63">
        <f t="shared" si="296"/>
        <v>0</v>
      </c>
      <c r="H839" s="63">
        <f t="shared" si="296"/>
        <v>0</v>
      </c>
      <c r="I839" s="63">
        <f t="shared" si="296"/>
        <v>0</v>
      </c>
      <c r="J839" s="63">
        <f t="shared" si="296"/>
        <v>0</v>
      </c>
      <c r="K839" s="86">
        <f t="shared" si="291"/>
        <v>5.5905740800000013E-2</v>
      </c>
      <c r="L839" s="99"/>
      <c r="M839" s="88"/>
      <c r="N839" s="89"/>
      <c r="O839" s="90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  <c r="AO839" s="49"/>
      <c r="AP839" s="49"/>
      <c r="AQ839" s="49"/>
      <c r="AR839" s="49"/>
      <c r="AS839" s="49"/>
      <c r="AT839" s="49"/>
      <c r="AU839" s="49"/>
      <c r="AV839" s="49"/>
      <c r="AW839" s="49"/>
      <c r="AX839" s="49"/>
      <c r="AY839" s="49"/>
      <c r="AZ839" s="49"/>
      <c r="BA839" s="49"/>
      <c r="BB839" s="49"/>
      <c r="BC839" s="49"/>
      <c r="BD839" s="49"/>
      <c r="BE839" s="68"/>
    </row>
    <row r="840" spans="1:57" s="51" customFormat="1">
      <c r="A840" s="1058"/>
      <c r="B840" s="889"/>
      <c r="C840" s="1061"/>
      <c r="D840" s="62">
        <v>2029</v>
      </c>
      <c r="E840" s="63">
        <f t="shared" si="296"/>
        <v>5.8141970432000013E-2</v>
      </c>
      <c r="F840" s="63">
        <f t="shared" si="296"/>
        <v>5.8141970432000013E-2</v>
      </c>
      <c r="G840" s="63">
        <f t="shared" si="296"/>
        <v>0</v>
      </c>
      <c r="H840" s="63">
        <f t="shared" si="296"/>
        <v>0</v>
      </c>
      <c r="I840" s="63">
        <f t="shared" si="296"/>
        <v>0</v>
      </c>
      <c r="J840" s="63">
        <f t="shared" si="296"/>
        <v>0</v>
      </c>
      <c r="K840" s="86">
        <f t="shared" si="291"/>
        <v>5.8141970432000013E-2</v>
      </c>
      <c r="L840" s="99"/>
      <c r="M840" s="88"/>
      <c r="N840" s="89"/>
      <c r="O840" s="90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  <c r="AR840" s="49"/>
      <c r="AS840" s="49"/>
      <c r="AT840" s="49"/>
      <c r="AU840" s="49"/>
      <c r="AV840" s="49"/>
      <c r="AW840" s="49"/>
      <c r="AX840" s="49"/>
      <c r="AY840" s="49"/>
      <c r="AZ840" s="49"/>
      <c r="BA840" s="49"/>
      <c r="BB840" s="49"/>
      <c r="BC840" s="49"/>
      <c r="BD840" s="49"/>
      <c r="BE840" s="68"/>
    </row>
    <row r="841" spans="1:57" s="51" customFormat="1" ht="17.25" customHeight="1">
      <c r="A841" s="890"/>
      <c r="B841" s="890"/>
      <c r="C841" s="1062"/>
      <c r="D841" s="62">
        <v>2030</v>
      </c>
      <c r="E841" s="63">
        <f t="shared" si="296"/>
        <v>6.0467649249280019E-2</v>
      </c>
      <c r="F841" s="63">
        <f t="shared" si="296"/>
        <v>6.0467649249280019E-2</v>
      </c>
      <c r="G841" s="63">
        <f t="shared" si="296"/>
        <v>0</v>
      </c>
      <c r="H841" s="63">
        <f t="shared" si="296"/>
        <v>0</v>
      </c>
      <c r="I841" s="63">
        <f t="shared" si="296"/>
        <v>0</v>
      </c>
      <c r="J841" s="63">
        <f t="shared" si="296"/>
        <v>0</v>
      </c>
      <c r="K841" s="86">
        <f t="shared" si="291"/>
        <v>6.0467649249280019E-2</v>
      </c>
      <c r="L841" s="99"/>
      <c r="M841" s="88"/>
      <c r="N841" s="89"/>
      <c r="O841" s="90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  <c r="AR841" s="49"/>
      <c r="AS841" s="49"/>
      <c r="AT841" s="49"/>
      <c r="AU841" s="49"/>
      <c r="AV841" s="49"/>
      <c r="AW841" s="49"/>
      <c r="AX841" s="49"/>
      <c r="AY841" s="49"/>
      <c r="AZ841" s="49"/>
      <c r="BA841" s="49"/>
      <c r="BB841" s="49"/>
      <c r="BC841" s="49"/>
      <c r="BD841" s="49"/>
      <c r="BE841" s="68"/>
    </row>
    <row r="842" spans="1:57" s="51" customFormat="1" ht="12.75" customHeight="1">
      <c r="A842" s="794" t="s">
        <v>947</v>
      </c>
      <c r="B842" s="867" t="s">
        <v>233</v>
      </c>
      <c r="C842" s="867" t="s">
        <v>599</v>
      </c>
      <c r="D842" s="84" t="s">
        <v>16</v>
      </c>
      <c r="E842" s="85">
        <f t="shared" ref="E842:J842" si="297">E843+E844+E845+E846+E847</f>
        <v>53342</v>
      </c>
      <c r="F842" s="85">
        <f t="shared" si="297"/>
        <v>0</v>
      </c>
      <c r="G842" s="85">
        <f t="shared" si="297"/>
        <v>0</v>
      </c>
      <c r="H842" s="85">
        <f t="shared" si="297"/>
        <v>0</v>
      </c>
      <c r="I842" s="85">
        <f t="shared" si="297"/>
        <v>53342</v>
      </c>
      <c r="J842" s="85">
        <f t="shared" si="297"/>
        <v>0</v>
      </c>
      <c r="K842" s="86">
        <f t="shared" si="291"/>
        <v>53342</v>
      </c>
      <c r="L842" s="1020" t="s">
        <v>948</v>
      </c>
      <c r="M842" s="88"/>
      <c r="N842" s="1054">
        <v>886</v>
      </c>
      <c r="O842" s="858" t="s">
        <v>949</v>
      </c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  <c r="AO842" s="49"/>
      <c r="AP842" s="49"/>
      <c r="AQ842" s="49"/>
      <c r="AR842" s="49"/>
      <c r="AS842" s="49"/>
      <c r="AT842" s="49"/>
      <c r="AU842" s="49"/>
      <c r="AV842" s="49"/>
      <c r="AW842" s="49"/>
      <c r="AX842" s="49"/>
      <c r="AY842" s="49"/>
      <c r="AZ842" s="49"/>
      <c r="BA842" s="49"/>
      <c r="BB842" s="49"/>
      <c r="BC842" s="49"/>
      <c r="BD842" s="49"/>
      <c r="BE842" s="68"/>
    </row>
    <row r="843" spans="1:57" s="51" customFormat="1">
      <c r="A843" s="795"/>
      <c r="B843" s="872"/>
      <c r="C843" s="872"/>
      <c r="D843" s="62">
        <v>2019</v>
      </c>
      <c r="E843" s="63">
        <f>F843+G843+H843+I843+J843</f>
        <v>9396</v>
      </c>
      <c r="F843" s="63">
        <v>0</v>
      </c>
      <c r="G843" s="63">
        <v>0</v>
      </c>
      <c r="H843" s="63">
        <v>0</v>
      </c>
      <c r="I843" s="63">
        <v>9396</v>
      </c>
      <c r="J843" s="63">
        <v>0</v>
      </c>
      <c r="K843" s="86">
        <f t="shared" si="291"/>
        <v>9396</v>
      </c>
      <c r="L843" s="1021"/>
      <c r="M843" s="88"/>
      <c r="N843" s="1055"/>
      <c r="O843" s="871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  <c r="AO843" s="49"/>
      <c r="AP843" s="49"/>
      <c r="AQ843" s="49"/>
      <c r="AR843" s="49"/>
      <c r="AS843" s="49"/>
      <c r="AT843" s="49"/>
      <c r="AU843" s="49"/>
      <c r="AV843" s="49"/>
      <c r="AW843" s="49"/>
      <c r="AX843" s="49"/>
      <c r="AY843" s="49"/>
      <c r="AZ843" s="49"/>
      <c r="BA843" s="49"/>
      <c r="BB843" s="49"/>
      <c r="BC843" s="49"/>
      <c r="BD843" s="49"/>
      <c r="BE843" s="68"/>
    </row>
    <row r="844" spans="1:57" s="51" customFormat="1">
      <c r="A844" s="795"/>
      <c r="B844" s="872"/>
      <c r="C844" s="872"/>
      <c r="D844" s="62">
        <v>2020</v>
      </c>
      <c r="E844" s="63">
        <f>F844+G844+H844+I844+J844</f>
        <v>6781</v>
      </c>
      <c r="F844" s="63">
        <v>0</v>
      </c>
      <c r="G844" s="63">
        <v>0</v>
      </c>
      <c r="H844" s="63">
        <v>0</v>
      </c>
      <c r="I844" s="63">
        <v>6781</v>
      </c>
      <c r="J844" s="63">
        <v>0</v>
      </c>
      <c r="K844" s="86">
        <f t="shared" si="291"/>
        <v>6781</v>
      </c>
      <c r="L844" s="1021"/>
      <c r="M844" s="88"/>
      <c r="N844" s="1055"/>
      <c r="O844" s="871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  <c r="AO844" s="49"/>
      <c r="AP844" s="49"/>
      <c r="AQ844" s="49"/>
      <c r="AR844" s="49"/>
      <c r="AS844" s="49"/>
      <c r="AT844" s="49"/>
      <c r="AU844" s="49"/>
      <c r="AV844" s="49"/>
      <c r="AW844" s="49"/>
      <c r="AX844" s="49"/>
      <c r="AY844" s="49"/>
      <c r="AZ844" s="49"/>
      <c r="BA844" s="49"/>
      <c r="BB844" s="49"/>
      <c r="BC844" s="49"/>
      <c r="BD844" s="49"/>
      <c r="BE844" s="68"/>
    </row>
    <row r="845" spans="1:57" s="51" customFormat="1">
      <c r="A845" s="795"/>
      <c r="B845" s="872"/>
      <c r="C845" s="872"/>
      <c r="D845" s="62">
        <v>2021</v>
      </c>
      <c r="E845" s="63">
        <f>F845+G845+H845+I845+J845</f>
        <v>17212</v>
      </c>
      <c r="F845" s="63">
        <v>0</v>
      </c>
      <c r="G845" s="63">
        <v>0</v>
      </c>
      <c r="H845" s="63">
        <v>0</v>
      </c>
      <c r="I845" s="63">
        <v>17212</v>
      </c>
      <c r="J845" s="63">
        <v>0</v>
      </c>
      <c r="K845" s="86">
        <f t="shared" si="291"/>
        <v>17212</v>
      </c>
      <c r="L845" s="1021"/>
      <c r="M845" s="88"/>
      <c r="N845" s="1055"/>
      <c r="O845" s="871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  <c r="AR845" s="49"/>
      <c r="AS845" s="49"/>
      <c r="AT845" s="49"/>
      <c r="AU845" s="49"/>
      <c r="AV845" s="49"/>
      <c r="AW845" s="49"/>
      <c r="AX845" s="49"/>
      <c r="AY845" s="49"/>
      <c r="AZ845" s="49"/>
      <c r="BA845" s="49"/>
      <c r="BB845" s="49"/>
      <c r="BC845" s="49"/>
      <c r="BD845" s="49"/>
      <c r="BE845" s="68"/>
    </row>
    <row r="846" spans="1:57" s="51" customFormat="1" ht="14.25" customHeight="1">
      <c r="A846" s="795"/>
      <c r="B846" s="872"/>
      <c r="C846" s="872"/>
      <c r="D846" s="62">
        <v>2022</v>
      </c>
      <c r="E846" s="63">
        <f>F846+G846+H846+I846+J846</f>
        <v>16169</v>
      </c>
      <c r="F846" s="63">
        <v>0</v>
      </c>
      <c r="G846" s="63">
        <v>0</v>
      </c>
      <c r="H846" s="63">
        <v>0</v>
      </c>
      <c r="I846" s="63">
        <v>16169</v>
      </c>
      <c r="J846" s="63">
        <v>0</v>
      </c>
      <c r="K846" s="86">
        <f t="shared" si="291"/>
        <v>16169</v>
      </c>
      <c r="L846" s="1021"/>
      <c r="M846" s="88"/>
      <c r="N846" s="1055"/>
      <c r="O846" s="871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  <c r="AR846" s="49"/>
      <c r="AS846" s="49"/>
      <c r="AT846" s="49"/>
      <c r="AU846" s="49"/>
      <c r="AV846" s="49"/>
      <c r="AW846" s="49"/>
      <c r="AX846" s="49"/>
      <c r="AY846" s="49"/>
      <c r="AZ846" s="49"/>
      <c r="BA846" s="49"/>
      <c r="BB846" s="49"/>
      <c r="BC846" s="49"/>
      <c r="BD846" s="49"/>
      <c r="BE846" s="68"/>
    </row>
    <row r="847" spans="1:57" s="51" customFormat="1" ht="14.25" customHeight="1">
      <c r="A847" s="795"/>
      <c r="B847" s="873"/>
      <c r="C847" s="872"/>
      <c r="D847" s="62">
        <v>2023</v>
      </c>
      <c r="E847" s="63">
        <f>F847+G847+H847+I847+J847</f>
        <v>3784</v>
      </c>
      <c r="F847" s="63">
        <v>0</v>
      </c>
      <c r="G847" s="63">
        <v>0</v>
      </c>
      <c r="H847" s="63">
        <v>0</v>
      </c>
      <c r="I847" s="63">
        <v>3784</v>
      </c>
      <c r="J847" s="63">
        <v>0</v>
      </c>
      <c r="K847" s="86">
        <f t="shared" si="291"/>
        <v>3784</v>
      </c>
      <c r="L847" s="370"/>
      <c r="M847" s="88"/>
      <c r="N847" s="393"/>
      <c r="O847" s="172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  <c r="AO847" s="49"/>
      <c r="AP847" s="49"/>
      <c r="AQ847" s="49"/>
      <c r="AR847" s="49"/>
      <c r="AS847" s="49"/>
      <c r="AT847" s="49"/>
      <c r="AU847" s="49"/>
      <c r="AV847" s="49"/>
      <c r="AW847" s="49"/>
      <c r="AX847" s="49"/>
      <c r="AY847" s="49"/>
      <c r="AZ847" s="49"/>
      <c r="BA847" s="49"/>
      <c r="BB847" s="49"/>
      <c r="BC847" s="49"/>
      <c r="BD847" s="49"/>
      <c r="BE847" s="68"/>
    </row>
    <row r="848" spans="1:57" s="51" customFormat="1">
      <c r="A848" s="794" t="s">
        <v>950</v>
      </c>
      <c r="B848" s="867" t="s">
        <v>235</v>
      </c>
      <c r="C848" s="867" t="s">
        <v>599</v>
      </c>
      <c r="D848" s="84" t="s">
        <v>16</v>
      </c>
      <c r="E848" s="85">
        <f t="shared" ref="E848:J848" si="298">E849</f>
        <v>18859.18</v>
      </c>
      <c r="F848" s="85">
        <f t="shared" si="298"/>
        <v>0</v>
      </c>
      <c r="G848" s="85">
        <f t="shared" si="298"/>
        <v>0</v>
      </c>
      <c r="H848" s="85">
        <f t="shared" si="298"/>
        <v>0</v>
      </c>
      <c r="I848" s="85">
        <f t="shared" si="298"/>
        <v>18859.18</v>
      </c>
      <c r="J848" s="85">
        <f t="shared" si="298"/>
        <v>0</v>
      </c>
      <c r="K848" s="86">
        <f t="shared" si="291"/>
        <v>18859.18</v>
      </c>
      <c r="L848" s="1009" t="s">
        <v>951</v>
      </c>
      <c r="M848" s="88"/>
      <c r="N848" s="1054">
        <v>851</v>
      </c>
      <c r="O848" s="907" t="s">
        <v>952</v>
      </c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  <c r="AO848" s="49"/>
      <c r="AP848" s="49"/>
      <c r="AQ848" s="49"/>
      <c r="AR848" s="49"/>
      <c r="AS848" s="49"/>
      <c r="AT848" s="49"/>
      <c r="AU848" s="49"/>
      <c r="AV848" s="49"/>
      <c r="AW848" s="49"/>
      <c r="AX848" s="49"/>
      <c r="AY848" s="49"/>
      <c r="AZ848" s="49"/>
      <c r="BA848" s="49"/>
      <c r="BB848" s="49"/>
      <c r="BC848" s="49"/>
      <c r="BD848" s="49"/>
      <c r="BE848" s="68"/>
    </row>
    <row r="849" spans="1:57" s="51" customFormat="1">
      <c r="A849" s="1064"/>
      <c r="B849" s="868"/>
      <c r="C849" s="872"/>
      <c r="D849" s="62">
        <v>2019</v>
      </c>
      <c r="E849" s="63">
        <f>F849+G849+H849+I849+J849</f>
        <v>18859.18</v>
      </c>
      <c r="F849" s="63">
        <v>0</v>
      </c>
      <c r="G849" s="63">
        <v>0</v>
      </c>
      <c r="H849" s="63">
        <v>0</v>
      </c>
      <c r="I849" s="63">
        <v>18859.18</v>
      </c>
      <c r="J849" s="63">
        <v>0</v>
      </c>
      <c r="K849" s="86">
        <f t="shared" si="291"/>
        <v>18859.18</v>
      </c>
      <c r="L849" s="1065"/>
      <c r="M849" s="88"/>
      <c r="N849" s="1055"/>
      <c r="O849" s="908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  <c r="AR849" s="49"/>
      <c r="AS849" s="49"/>
      <c r="AT849" s="49"/>
      <c r="AU849" s="49"/>
      <c r="AV849" s="49"/>
      <c r="AW849" s="49"/>
      <c r="AX849" s="49"/>
      <c r="AY849" s="49"/>
      <c r="AZ849" s="49"/>
      <c r="BA849" s="49"/>
      <c r="BB849" s="49"/>
      <c r="BC849" s="49"/>
      <c r="BD849" s="49"/>
      <c r="BE849" s="68"/>
    </row>
    <row r="850" spans="1:57" s="51" customFormat="1" ht="14.25" customHeight="1">
      <c r="A850" s="406"/>
      <c r="B850" s="94"/>
      <c r="C850" s="69"/>
      <c r="D850" s="62">
        <v>2020</v>
      </c>
      <c r="E850" s="63">
        <f>F850+G850+H850+I850+J850</f>
        <v>34202.65</v>
      </c>
      <c r="F850" s="63">
        <v>0</v>
      </c>
      <c r="G850" s="63">
        <v>0</v>
      </c>
      <c r="H850" s="63">
        <v>0</v>
      </c>
      <c r="I850" s="63">
        <v>34202.65</v>
      </c>
      <c r="J850" s="63">
        <v>0</v>
      </c>
      <c r="K850" s="86">
        <f t="shared" si="291"/>
        <v>34202.65</v>
      </c>
      <c r="L850" s="407"/>
      <c r="M850" s="88"/>
      <c r="N850" s="1055"/>
      <c r="O850" s="154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68"/>
    </row>
    <row r="851" spans="1:57" s="51" customFormat="1" ht="14.25" customHeight="1">
      <c r="A851" s="406"/>
      <c r="B851" s="94"/>
      <c r="C851" s="69"/>
      <c r="D851" s="62">
        <v>2021</v>
      </c>
      <c r="E851" s="63">
        <f>F851+G851+H851+I851+J851</f>
        <v>12303.88</v>
      </c>
      <c r="F851" s="63">
        <v>0</v>
      </c>
      <c r="G851" s="63">
        <v>0</v>
      </c>
      <c r="H851" s="63">
        <v>0</v>
      </c>
      <c r="I851" s="63">
        <v>12303.88</v>
      </c>
      <c r="J851" s="63">
        <v>0</v>
      </c>
      <c r="K851" s="86">
        <f t="shared" si="291"/>
        <v>12303.88</v>
      </c>
      <c r="L851" s="407"/>
      <c r="M851" s="88"/>
      <c r="N851" s="1056"/>
      <c r="O851" s="154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68"/>
    </row>
    <row r="852" spans="1:57" s="51" customFormat="1">
      <c r="A852" s="900" t="s">
        <v>953</v>
      </c>
      <c r="B852" s="867" t="s">
        <v>954</v>
      </c>
      <c r="D852" s="84" t="s">
        <v>16</v>
      </c>
      <c r="E852" s="85">
        <f t="shared" ref="E852:J852" si="299">E853+E854+E855+E856+E858+E859+E860+E861+E862+E863+E864+E857</f>
        <v>0.56780888048128009</v>
      </c>
      <c r="F852" s="85">
        <f t="shared" si="299"/>
        <v>0.56780888048128009</v>
      </c>
      <c r="G852" s="85">
        <f t="shared" si="299"/>
        <v>0</v>
      </c>
      <c r="H852" s="85">
        <f t="shared" si="299"/>
        <v>0</v>
      </c>
      <c r="I852" s="85">
        <f t="shared" si="299"/>
        <v>0</v>
      </c>
      <c r="J852" s="85">
        <f t="shared" si="299"/>
        <v>0</v>
      </c>
      <c r="K852" s="86">
        <f t="shared" si="291"/>
        <v>0.56780888048128009</v>
      </c>
      <c r="L852" s="407"/>
      <c r="M852" s="88"/>
      <c r="N852" s="408"/>
      <c r="O852" s="858" t="s">
        <v>527</v>
      </c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  <c r="AO852" s="49"/>
      <c r="AP852" s="49"/>
      <c r="AQ852" s="49"/>
      <c r="AR852" s="49"/>
      <c r="AS852" s="49"/>
      <c r="AT852" s="49"/>
      <c r="AU852" s="49"/>
      <c r="AV852" s="49"/>
      <c r="AW852" s="49"/>
      <c r="AX852" s="49"/>
      <c r="AY852" s="49"/>
      <c r="AZ852" s="49"/>
      <c r="BA852" s="49"/>
      <c r="BB852" s="49"/>
      <c r="BC852" s="49"/>
      <c r="BD852" s="49"/>
      <c r="BE852" s="68"/>
    </row>
    <row r="853" spans="1:57" s="51" customFormat="1" ht="17.25" customHeight="1">
      <c r="A853" s="834"/>
      <c r="B853" s="868"/>
      <c r="C853" s="149" t="s">
        <v>955</v>
      </c>
      <c r="D853" s="62">
        <v>2019</v>
      </c>
      <c r="E853" s="63">
        <f t="shared" ref="E853:E864" si="300">F853+G853+H853+I853+J853</f>
        <v>1.2200000000000001E-2</v>
      </c>
      <c r="F853" s="63">
        <v>1.2200000000000001E-2</v>
      </c>
      <c r="G853" s="63">
        <v>0</v>
      </c>
      <c r="H853" s="63">
        <v>0</v>
      </c>
      <c r="I853" s="63">
        <v>0</v>
      </c>
      <c r="J853" s="63">
        <v>0</v>
      </c>
      <c r="K853" s="86">
        <f t="shared" si="291"/>
        <v>1.2200000000000001E-2</v>
      </c>
      <c r="L853" s="407"/>
      <c r="M853" s="88"/>
      <c r="N853" s="408"/>
      <c r="O853" s="868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  <c r="AR853" s="49"/>
      <c r="AS853" s="49"/>
      <c r="AT853" s="49"/>
      <c r="AU853" s="49"/>
      <c r="AV853" s="49"/>
      <c r="AW853" s="49"/>
      <c r="AX853" s="49"/>
      <c r="AY853" s="49"/>
      <c r="AZ853" s="49"/>
      <c r="BA853" s="49"/>
      <c r="BB853" s="49"/>
      <c r="BC853" s="49"/>
      <c r="BD853" s="49"/>
      <c r="BE853" s="68"/>
    </row>
    <row r="854" spans="1:57" s="202" customFormat="1" ht="14.25" customHeight="1">
      <c r="A854" s="834"/>
      <c r="B854" s="868"/>
      <c r="C854" s="838" t="s">
        <v>956</v>
      </c>
      <c r="D854" s="211">
        <v>2020</v>
      </c>
      <c r="E854" s="212">
        <f t="shared" si="300"/>
        <v>4.2360000000000002E-2</v>
      </c>
      <c r="F854" s="212">
        <v>4.2360000000000002E-2</v>
      </c>
      <c r="G854" s="212">
        <v>0</v>
      </c>
      <c r="H854" s="212">
        <v>0</v>
      </c>
      <c r="I854" s="212">
        <v>0</v>
      </c>
      <c r="J854" s="212">
        <v>0</v>
      </c>
      <c r="K854" s="120">
        <f t="shared" si="291"/>
        <v>4.2360000000000002E-2</v>
      </c>
      <c r="L854" s="409"/>
      <c r="M854" s="206"/>
      <c r="N854" s="410"/>
      <c r="O854" s="868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  <c r="AB854" s="207"/>
      <c r="AC854" s="207"/>
      <c r="AD854" s="207"/>
      <c r="AE854" s="207"/>
      <c r="AF854" s="207"/>
      <c r="AG854" s="207"/>
      <c r="AH854" s="207"/>
      <c r="AI854" s="207"/>
      <c r="AJ854" s="207"/>
      <c r="AK854" s="207"/>
      <c r="AL854" s="207"/>
      <c r="AM854" s="207"/>
      <c r="AN854" s="207"/>
      <c r="AO854" s="207"/>
      <c r="AP854" s="207"/>
      <c r="AQ854" s="207"/>
      <c r="AR854" s="207"/>
      <c r="AS854" s="207"/>
      <c r="AT854" s="207"/>
      <c r="AU854" s="207"/>
      <c r="AV854" s="207"/>
      <c r="AW854" s="207"/>
      <c r="AX854" s="207"/>
      <c r="AY854" s="207"/>
      <c r="AZ854" s="207"/>
      <c r="BA854" s="207"/>
      <c r="BB854" s="207"/>
      <c r="BC854" s="207"/>
      <c r="BD854" s="207"/>
      <c r="BE854" s="208"/>
    </row>
    <row r="855" spans="1:57" s="202" customFormat="1" ht="14.25" customHeight="1">
      <c r="A855" s="834"/>
      <c r="B855" s="868"/>
      <c r="C855" s="839"/>
      <c r="D855" s="211">
        <v>2021</v>
      </c>
      <c r="E855" s="212">
        <f t="shared" si="300"/>
        <v>4.4060000000000002E-2</v>
      </c>
      <c r="F855" s="212">
        <v>4.4060000000000002E-2</v>
      </c>
      <c r="G855" s="212">
        <v>0</v>
      </c>
      <c r="H855" s="212">
        <v>0</v>
      </c>
      <c r="I855" s="212">
        <v>0</v>
      </c>
      <c r="J855" s="212">
        <v>0</v>
      </c>
      <c r="K855" s="120">
        <f t="shared" si="291"/>
        <v>4.4060000000000002E-2</v>
      </c>
      <c r="L855" s="409"/>
      <c r="M855" s="206"/>
      <c r="N855" s="410"/>
      <c r="O855" s="868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  <c r="AB855" s="207"/>
      <c r="AC855" s="207"/>
      <c r="AD855" s="207"/>
      <c r="AE855" s="207"/>
      <c r="AF855" s="207"/>
      <c r="AG855" s="207"/>
      <c r="AH855" s="207"/>
      <c r="AI855" s="207"/>
      <c r="AJ855" s="207"/>
      <c r="AK855" s="207"/>
      <c r="AL855" s="207"/>
      <c r="AM855" s="207"/>
      <c r="AN855" s="207"/>
      <c r="AO855" s="207"/>
      <c r="AP855" s="207"/>
      <c r="AQ855" s="207"/>
      <c r="AR855" s="207"/>
      <c r="AS855" s="207"/>
      <c r="AT855" s="207"/>
      <c r="AU855" s="207"/>
      <c r="AV855" s="207"/>
      <c r="AW855" s="207"/>
      <c r="AX855" s="207"/>
      <c r="AY855" s="207"/>
      <c r="AZ855" s="207"/>
      <c r="BA855" s="207"/>
      <c r="BB855" s="207"/>
      <c r="BC855" s="207"/>
      <c r="BD855" s="207"/>
      <c r="BE855" s="208"/>
    </row>
    <row r="856" spans="1:57" s="202" customFormat="1" ht="14.25" customHeight="1">
      <c r="A856" s="834"/>
      <c r="B856" s="868"/>
      <c r="C856" s="839"/>
      <c r="D856" s="211">
        <v>2022</v>
      </c>
      <c r="E856" s="212">
        <f t="shared" si="300"/>
        <v>4.5789999999999997E-2</v>
      </c>
      <c r="F856" s="212">
        <v>4.5789999999999997E-2</v>
      </c>
      <c r="G856" s="212">
        <v>0</v>
      </c>
      <c r="H856" s="212">
        <v>0</v>
      </c>
      <c r="I856" s="212">
        <v>0</v>
      </c>
      <c r="J856" s="212">
        <v>0</v>
      </c>
      <c r="K856" s="120">
        <f t="shared" si="291"/>
        <v>4.5789999999999997E-2</v>
      </c>
      <c r="L856" s="409"/>
      <c r="M856" s="206"/>
      <c r="N856" s="410"/>
      <c r="O856" s="868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  <c r="AB856" s="207"/>
      <c r="AC856" s="207"/>
      <c r="AD856" s="207"/>
      <c r="AE856" s="207"/>
      <c r="AF856" s="207"/>
      <c r="AG856" s="207"/>
      <c r="AH856" s="207"/>
      <c r="AI856" s="207"/>
      <c r="AJ856" s="207"/>
      <c r="AK856" s="207"/>
      <c r="AL856" s="207"/>
      <c r="AM856" s="207"/>
      <c r="AN856" s="207"/>
      <c r="AO856" s="207"/>
      <c r="AP856" s="207"/>
      <c r="AQ856" s="207"/>
      <c r="AR856" s="207"/>
      <c r="AS856" s="207"/>
      <c r="AT856" s="207"/>
      <c r="AU856" s="207"/>
      <c r="AV856" s="207"/>
      <c r="AW856" s="207"/>
      <c r="AX856" s="207"/>
      <c r="AY856" s="207"/>
      <c r="AZ856" s="207"/>
      <c r="BA856" s="207"/>
      <c r="BB856" s="207"/>
      <c r="BC856" s="207"/>
      <c r="BD856" s="207"/>
      <c r="BE856" s="208"/>
    </row>
    <row r="857" spans="1:57" s="51" customFormat="1" ht="14.25" customHeight="1">
      <c r="A857" s="834"/>
      <c r="B857" s="868"/>
      <c r="C857" s="839"/>
      <c r="D857" s="62">
        <v>2023</v>
      </c>
      <c r="E857" s="63">
        <f t="shared" si="300"/>
        <v>4.5949999999999998E-2</v>
      </c>
      <c r="F857" s="63">
        <v>4.5949999999999998E-2</v>
      </c>
      <c r="G857" s="63">
        <v>0</v>
      </c>
      <c r="H857" s="63">
        <v>0</v>
      </c>
      <c r="I857" s="63">
        <v>0</v>
      </c>
      <c r="J857" s="63">
        <v>0</v>
      </c>
      <c r="K857" s="86">
        <f t="shared" si="291"/>
        <v>4.5949999999999998E-2</v>
      </c>
      <c r="L857" s="407"/>
      <c r="M857" s="88"/>
      <c r="N857" s="408"/>
      <c r="O857" s="868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  <c r="AR857" s="49"/>
      <c r="AS857" s="49"/>
      <c r="AT857" s="49"/>
      <c r="AU857" s="49"/>
      <c r="AV857" s="49"/>
      <c r="AW857" s="49"/>
      <c r="AX857" s="49"/>
      <c r="AY857" s="49"/>
      <c r="AZ857" s="49"/>
      <c r="BA857" s="49"/>
      <c r="BB857" s="49"/>
      <c r="BC857" s="49"/>
      <c r="BD857" s="49"/>
      <c r="BE857" s="68"/>
    </row>
    <row r="858" spans="1:57" s="51" customFormat="1" ht="14.25" customHeight="1">
      <c r="A858" s="834"/>
      <c r="B858" s="868"/>
      <c r="C858" s="839"/>
      <c r="D858" s="62">
        <v>2024</v>
      </c>
      <c r="E858" s="63">
        <f t="shared" si="300"/>
        <v>4.7789999999999999E-2</v>
      </c>
      <c r="F858" s="63">
        <v>4.7789999999999999E-2</v>
      </c>
      <c r="G858" s="63">
        <v>0</v>
      </c>
      <c r="H858" s="63">
        <v>0</v>
      </c>
      <c r="I858" s="63">
        <v>0</v>
      </c>
      <c r="J858" s="63">
        <v>0</v>
      </c>
      <c r="K858" s="86">
        <f t="shared" si="291"/>
        <v>4.7789999999999999E-2</v>
      </c>
      <c r="L858" s="407"/>
      <c r="M858" s="88"/>
      <c r="N858" s="408"/>
      <c r="O858" s="868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  <c r="AO858" s="49"/>
      <c r="AP858" s="49"/>
      <c r="AQ858" s="49"/>
      <c r="AR858" s="49"/>
      <c r="AS858" s="49"/>
      <c r="AT858" s="49"/>
      <c r="AU858" s="49"/>
      <c r="AV858" s="49"/>
      <c r="AW858" s="49"/>
      <c r="AX858" s="49"/>
      <c r="AY858" s="49"/>
      <c r="AZ858" s="49"/>
      <c r="BA858" s="49"/>
      <c r="BB858" s="49"/>
      <c r="BC858" s="49"/>
      <c r="BD858" s="49"/>
      <c r="BE858" s="68"/>
    </row>
    <row r="859" spans="1:57" s="51" customFormat="1" ht="14.25" customHeight="1">
      <c r="A859" s="834"/>
      <c r="B859" s="868"/>
      <c r="C859" s="854"/>
      <c r="D859" s="62">
        <v>2025</v>
      </c>
      <c r="E859" s="63">
        <f t="shared" si="300"/>
        <v>4.9700000000000001E-2</v>
      </c>
      <c r="F859" s="63">
        <v>4.9700000000000001E-2</v>
      </c>
      <c r="G859" s="63">
        <v>0</v>
      </c>
      <c r="H859" s="63">
        <v>0</v>
      </c>
      <c r="I859" s="63">
        <v>0</v>
      </c>
      <c r="J859" s="63">
        <v>0</v>
      </c>
      <c r="K859" s="86">
        <f t="shared" si="291"/>
        <v>4.9700000000000001E-2</v>
      </c>
      <c r="L859" s="407"/>
      <c r="M859" s="88"/>
      <c r="N859" s="408"/>
      <c r="O859" s="868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  <c r="AO859" s="49"/>
      <c r="AP859" s="49"/>
      <c r="AQ859" s="49"/>
      <c r="AR859" s="49"/>
      <c r="AS859" s="49"/>
      <c r="AT859" s="49"/>
      <c r="AU859" s="49"/>
      <c r="AV859" s="49"/>
      <c r="AW859" s="49"/>
      <c r="AX859" s="49"/>
      <c r="AY859" s="49"/>
      <c r="AZ859" s="49"/>
      <c r="BA859" s="49"/>
      <c r="BB859" s="49"/>
      <c r="BC859" s="49"/>
      <c r="BD859" s="49"/>
      <c r="BE859" s="68"/>
    </row>
    <row r="860" spans="1:57" s="51" customFormat="1" ht="14.25" customHeight="1">
      <c r="A860" s="834"/>
      <c r="B860" s="868"/>
      <c r="C860" s="838" t="s">
        <v>957</v>
      </c>
      <c r="D860" s="62">
        <v>2026</v>
      </c>
      <c r="E860" s="63">
        <f t="shared" si="300"/>
        <v>5.1688000000000005E-2</v>
      </c>
      <c r="F860" s="63">
        <f>F859*1.04</f>
        <v>5.1688000000000005E-2</v>
      </c>
      <c r="G860" s="63">
        <v>0</v>
      </c>
      <c r="H860" s="63">
        <v>0</v>
      </c>
      <c r="I860" s="63">
        <v>0</v>
      </c>
      <c r="J860" s="63">
        <v>0</v>
      </c>
      <c r="K860" s="86">
        <f t="shared" si="291"/>
        <v>5.1688000000000005E-2</v>
      </c>
      <c r="L860" s="407"/>
      <c r="M860" s="88"/>
      <c r="N860" s="408"/>
      <c r="O860" s="868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  <c r="AR860" s="49"/>
      <c r="AS860" s="49"/>
      <c r="AT860" s="49"/>
      <c r="AU860" s="49"/>
      <c r="AV860" s="49"/>
      <c r="AW860" s="49"/>
      <c r="AX860" s="49"/>
      <c r="AY860" s="49"/>
      <c r="AZ860" s="49"/>
      <c r="BA860" s="49"/>
      <c r="BB860" s="49"/>
      <c r="BC860" s="49"/>
      <c r="BD860" s="49"/>
      <c r="BE860" s="68"/>
    </row>
    <row r="861" spans="1:57" s="51" customFormat="1" ht="14.25" customHeight="1">
      <c r="A861" s="834"/>
      <c r="B861" s="868"/>
      <c r="C861" s="839"/>
      <c r="D861" s="62">
        <v>2027</v>
      </c>
      <c r="E861" s="63">
        <f t="shared" si="300"/>
        <v>5.3755520000000008E-2</v>
      </c>
      <c r="F861" s="63">
        <f>F860*1.04</f>
        <v>5.3755520000000008E-2</v>
      </c>
      <c r="G861" s="63">
        <v>0</v>
      </c>
      <c r="H861" s="63">
        <v>0</v>
      </c>
      <c r="I861" s="63">
        <v>0</v>
      </c>
      <c r="J861" s="63">
        <v>0</v>
      </c>
      <c r="K861" s="86">
        <f t="shared" si="291"/>
        <v>5.3755520000000008E-2</v>
      </c>
      <c r="L861" s="407"/>
      <c r="M861" s="88"/>
      <c r="N861" s="408"/>
      <c r="O861" s="868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  <c r="AR861" s="49"/>
      <c r="AS861" s="49"/>
      <c r="AT861" s="49"/>
      <c r="AU861" s="49"/>
      <c r="AV861" s="49"/>
      <c r="AW861" s="49"/>
      <c r="AX861" s="49"/>
      <c r="AY861" s="49"/>
      <c r="AZ861" s="49"/>
      <c r="BA861" s="49"/>
      <c r="BB861" s="49"/>
      <c r="BC861" s="49"/>
      <c r="BD861" s="49"/>
      <c r="BE861" s="68"/>
    </row>
    <row r="862" spans="1:57" s="51" customFormat="1" ht="14.25" customHeight="1">
      <c r="A862" s="834"/>
      <c r="B862" s="868"/>
      <c r="C862" s="839"/>
      <c r="D862" s="62">
        <v>2028</v>
      </c>
      <c r="E862" s="63">
        <f t="shared" si="300"/>
        <v>5.5905740800000013E-2</v>
      </c>
      <c r="F862" s="63">
        <f>F861*1.04</f>
        <v>5.5905740800000013E-2</v>
      </c>
      <c r="G862" s="63">
        <v>0</v>
      </c>
      <c r="H862" s="63">
        <v>0</v>
      </c>
      <c r="I862" s="63">
        <v>0</v>
      </c>
      <c r="J862" s="63">
        <v>0</v>
      </c>
      <c r="K862" s="86">
        <f t="shared" si="291"/>
        <v>5.5905740800000013E-2</v>
      </c>
      <c r="L862" s="407"/>
      <c r="M862" s="88"/>
      <c r="N862" s="408"/>
      <c r="O862" s="868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  <c r="AO862" s="49"/>
      <c r="AP862" s="49"/>
      <c r="AQ862" s="49"/>
      <c r="AR862" s="49"/>
      <c r="AS862" s="49"/>
      <c r="AT862" s="49"/>
      <c r="AU862" s="49"/>
      <c r="AV862" s="49"/>
      <c r="AW862" s="49"/>
      <c r="AX862" s="49"/>
      <c r="AY862" s="49"/>
      <c r="AZ862" s="49"/>
      <c r="BA862" s="49"/>
      <c r="BB862" s="49"/>
      <c r="BC862" s="49"/>
      <c r="BD862" s="49"/>
      <c r="BE862" s="68"/>
    </row>
    <row r="863" spans="1:57" s="51" customFormat="1" ht="14.25" customHeight="1">
      <c r="A863" s="834"/>
      <c r="B863" s="868"/>
      <c r="C863" s="839"/>
      <c r="D863" s="62">
        <v>2029</v>
      </c>
      <c r="E863" s="63">
        <f t="shared" si="300"/>
        <v>5.8141970432000013E-2</v>
      </c>
      <c r="F863" s="63">
        <f>F862*1.04</f>
        <v>5.8141970432000013E-2</v>
      </c>
      <c r="G863" s="63">
        <v>0</v>
      </c>
      <c r="H863" s="63">
        <v>0</v>
      </c>
      <c r="I863" s="63">
        <v>0</v>
      </c>
      <c r="J863" s="63">
        <v>0</v>
      </c>
      <c r="K863" s="86">
        <f t="shared" si="291"/>
        <v>5.8141970432000013E-2</v>
      </c>
      <c r="L863" s="407"/>
      <c r="M863" s="88"/>
      <c r="N863" s="408"/>
      <c r="O863" s="86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49"/>
      <c r="AU863" s="49"/>
      <c r="AV863" s="49"/>
      <c r="AW863" s="49"/>
      <c r="AX863" s="49"/>
      <c r="AY863" s="49"/>
      <c r="AZ863" s="49"/>
      <c r="BA863" s="49"/>
      <c r="BB863" s="49"/>
      <c r="BC863" s="49"/>
      <c r="BD863" s="49"/>
      <c r="BE863" s="68"/>
    </row>
    <row r="864" spans="1:57" s="51" customFormat="1" ht="14.25" customHeight="1">
      <c r="A864" s="835"/>
      <c r="B864" s="869"/>
      <c r="C864" s="854"/>
      <c r="D864" s="62">
        <v>2030</v>
      </c>
      <c r="E864" s="63">
        <f t="shared" si="300"/>
        <v>6.0467649249280019E-2</v>
      </c>
      <c r="F864" s="63">
        <f>F863*1.04</f>
        <v>6.0467649249280019E-2</v>
      </c>
      <c r="G864" s="63">
        <v>0</v>
      </c>
      <c r="H864" s="63">
        <v>0</v>
      </c>
      <c r="I864" s="63">
        <v>0</v>
      </c>
      <c r="J864" s="63">
        <v>0</v>
      </c>
      <c r="K864" s="86">
        <f t="shared" si="291"/>
        <v>6.0467649249280019E-2</v>
      </c>
      <c r="L864" s="407"/>
      <c r="M864" s="88"/>
      <c r="N864" s="408"/>
      <c r="O864" s="868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  <c r="AO864" s="49"/>
      <c r="AP864" s="49"/>
      <c r="AQ864" s="49"/>
      <c r="AR864" s="49"/>
      <c r="AS864" s="49"/>
      <c r="AT864" s="49"/>
      <c r="AU864" s="49"/>
      <c r="AV864" s="49"/>
      <c r="AW864" s="49"/>
      <c r="AX864" s="49"/>
      <c r="AY864" s="49"/>
      <c r="AZ864" s="49"/>
      <c r="BA864" s="49"/>
      <c r="BB864" s="49"/>
      <c r="BC864" s="49"/>
      <c r="BD864" s="49"/>
      <c r="BE864" s="68"/>
    </row>
    <row r="865" spans="1:57" s="51" customFormat="1">
      <c r="A865" s="900" t="s">
        <v>958</v>
      </c>
      <c r="B865" s="867" t="s">
        <v>959</v>
      </c>
      <c r="C865" s="987"/>
      <c r="D865" s="84" t="s">
        <v>16</v>
      </c>
      <c r="E865" s="85">
        <f t="shared" ref="E865:J865" si="301">SUM(E866:E877)</f>
        <v>0</v>
      </c>
      <c r="F865" s="85">
        <f t="shared" si="301"/>
        <v>0</v>
      </c>
      <c r="G865" s="85">
        <f t="shared" si="301"/>
        <v>0</v>
      </c>
      <c r="H865" s="85">
        <f t="shared" si="301"/>
        <v>0</v>
      </c>
      <c r="I865" s="85">
        <f t="shared" si="301"/>
        <v>0</v>
      </c>
      <c r="J865" s="85">
        <f t="shared" si="301"/>
        <v>0</v>
      </c>
      <c r="K865" s="86">
        <f t="shared" si="291"/>
        <v>0</v>
      </c>
      <c r="L865" s="407"/>
      <c r="M865" s="88"/>
      <c r="N865" s="408"/>
      <c r="O865" s="870" t="s">
        <v>527</v>
      </c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  <c r="AO865" s="49"/>
      <c r="AP865" s="49"/>
      <c r="AQ865" s="49"/>
      <c r="AR865" s="49"/>
      <c r="AS865" s="49"/>
      <c r="AT865" s="49"/>
      <c r="AU865" s="49"/>
      <c r="AV865" s="49"/>
      <c r="AW865" s="49"/>
      <c r="AX865" s="49"/>
      <c r="AY865" s="49"/>
      <c r="AZ865" s="49"/>
      <c r="BA865" s="49"/>
      <c r="BB865" s="49"/>
      <c r="BC865" s="49"/>
      <c r="BD865" s="49"/>
      <c r="BE865" s="68"/>
    </row>
    <row r="866" spans="1:57" s="51" customFormat="1" ht="14.25" customHeight="1">
      <c r="A866" s="834"/>
      <c r="B866" s="868"/>
      <c r="C866" s="868"/>
      <c r="D866" s="62">
        <v>2019</v>
      </c>
      <c r="E866" s="63">
        <f t="shared" ref="E866:E877" si="302">F866+G866+H866+I866+J866</f>
        <v>0</v>
      </c>
      <c r="F866" s="63">
        <v>0</v>
      </c>
      <c r="G866" s="63">
        <v>0</v>
      </c>
      <c r="H866" s="63">
        <v>0</v>
      </c>
      <c r="I866" s="63">
        <v>0</v>
      </c>
      <c r="J866" s="63">
        <v>0</v>
      </c>
      <c r="K866" s="86">
        <f t="shared" si="291"/>
        <v>0</v>
      </c>
      <c r="L866" s="407"/>
      <c r="M866" s="88"/>
      <c r="N866" s="408"/>
      <c r="O866" s="870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  <c r="AR866" s="49"/>
      <c r="AS866" s="49"/>
      <c r="AT866" s="49"/>
      <c r="AU866" s="49"/>
      <c r="AV866" s="49"/>
      <c r="AW866" s="49"/>
      <c r="AX866" s="49"/>
      <c r="AY866" s="49"/>
      <c r="AZ866" s="49"/>
      <c r="BA866" s="49"/>
      <c r="BB866" s="49"/>
      <c r="BC866" s="49"/>
      <c r="BD866" s="49"/>
      <c r="BE866" s="68"/>
    </row>
    <row r="867" spans="1:57" s="51" customFormat="1" ht="14.25" customHeight="1">
      <c r="A867" s="834"/>
      <c r="B867" s="868"/>
      <c r="C867" s="868"/>
      <c r="D867" s="62">
        <v>2020</v>
      </c>
      <c r="E867" s="63">
        <f t="shared" si="302"/>
        <v>0</v>
      </c>
      <c r="F867" s="63">
        <v>0</v>
      </c>
      <c r="G867" s="63">
        <v>0</v>
      </c>
      <c r="H867" s="63">
        <v>0</v>
      </c>
      <c r="I867" s="63">
        <v>0</v>
      </c>
      <c r="J867" s="63">
        <v>0</v>
      </c>
      <c r="K867" s="86">
        <f t="shared" si="291"/>
        <v>0</v>
      </c>
      <c r="L867" s="407"/>
      <c r="M867" s="88"/>
      <c r="N867" s="408"/>
      <c r="O867" s="870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  <c r="AO867" s="49"/>
      <c r="AP867" s="49"/>
      <c r="AQ867" s="49"/>
      <c r="AR867" s="49"/>
      <c r="AS867" s="49"/>
      <c r="AT867" s="49"/>
      <c r="AU867" s="49"/>
      <c r="AV867" s="49"/>
      <c r="AW867" s="49"/>
      <c r="AX867" s="49"/>
      <c r="AY867" s="49"/>
      <c r="AZ867" s="49"/>
      <c r="BA867" s="49"/>
      <c r="BB867" s="49"/>
      <c r="BC867" s="49"/>
      <c r="BD867" s="49"/>
      <c r="BE867" s="68"/>
    </row>
    <row r="868" spans="1:57" s="51" customFormat="1" ht="14.25" customHeight="1">
      <c r="A868" s="834"/>
      <c r="B868" s="868"/>
      <c r="C868" s="868"/>
      <c r="D868" s="62">
        <v>2021</v>
      </c>
      <c r="E868" s="63">
        <f t="shared" si="302"/>
        <v>0</v>
      </c>
      <c r="F868" s="63">
        <v>0</v>
      </c>
      <c r="G868" s="63">
        <v>0</v>
      </c>
      <c r="H868" s="63">
        <v>0</v>
      </c>
      <c r="I868" s="63">
        <v>0</v>
      </c>
      <c r="J868" s="63">
        <v>0</v>
      </c>
      <c r="K868" s="86">
        <f t="shared" si="291"/>
        <v>0</v>
      </c>
      <c r="L868" s="407"/>
      <c r="M868" s="88"/>
      <c r="N868" s="408"/>
      <c r="O868" s="870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  <c r="AO868" s="49"/>
      <c r="AP868" s="49"/>
      <c r="AQ868" s="49"/>
      <c r="AR868" s="49"/>
      <c r="AS868" s="49"/>
      <c r="AT868" s="49"/>
      <c r="AU868" s="49"/>
      <c r="AV868" s="49"/>
      <c r="AW868" s="49"/>
      <c r="AX868" s="49"/>
      <c r="AY868" s="49"/>
      <c r="AZ868" s="49"/>
      <c r="BA868" s="49"/>
      <c r="BB868" s="49"/>
      <c r="BC868" s="49"/>
      <c r="BD868" s="49"/>
      <c r="BE868" s="68"/>
    </row>
    <row r="869" spans="1:57" s="51" customFormat="1" ht="14.25" customHeight="1">
      <c r="A869" s="834"/>
      <c r="B869" s="868"/>
      <c r="C869" s="868"/>
      <c r="D869" s="62">
        <v>2022</v>
      </c>
      <c r="E869" s="63">
        <f t="shared" si="302"/>
        <v>0</v>
      </c>
      <c r="F869" s="63">
        <v>0</v>
      </c>
      <c r="G869" s="63">
        <v>0</v>
      </c>
      <c r="H869" s="63">
        <v>0</v>
      </c>
      <c r="I869" s="63">
        <v>0</v>
      </c>
      <c r="J869" s="63">
        <v>0</v>
      </c>
      <c r="K869" s="86">
        <f t="shared" si="291"/>
        <v>0</v>
      </c>
      <c r="L869" s="407"/>
      <c r="M869" s="88"/>
      <c r="N869" s="408"/>
      <c r="O869" s="870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  <c r="AO869" s="49"/>
      <c r="AP869" s="49"/>
      <c r="AQ869" s="49"/>
      <c r="AR869" s="49"/>
      <c r="AS869" s="49"/>
      <c r="AT869" s="49"/>
      <c r="AU869" s="49"/>
      <c r="AV869" s="49"/>
      <c r="AW869" s="49"/>
      <c r="AX869" s="49"/>
      <c r="AY869" s="49"/>
      <c r="AZ869" s="49"/>
      <c r="BA869" s="49"/>
      <c r="BB869" s="49"/>
      <c r="BC869" s="49"/>
      <c r="BD869" s="49"/>
      <c r="BE869" s="68"/>
    </row>
    <row r="870" spans="1:57" s="51" customFormat="1" ht="14.25" customHeight="1">
      <c r="A870" s="834"/>
      <c r="B870" s="868"/>
      <c r="C870" s="868"/>
      <c r="D870" s="62">
        <v>2023</v>
      </c>
      <c r="E870" s="63">
        <f t="shared" si="302"/>
        <v>0</v>
      </c>
      <c r="F870" s="63">
        <v>0</v>
      </c>
      <c r="G870" s="63">
        <v>0</v>
      </c>
      <c r="H870" s="63">
        <v>0</v>
      </c>
      <c r="I870" s="63">
        <v>0</v>
      </c>
      <c r="J870" s="63">
        <v>0</v>
      </c>
      <c r="K870" s="86">
        <f t="shared" si="291"/>
        <v>0</v>
      </c>
      <c r="L870" s="407"/>
      <c r="M870" s="88"/>
      <c r="N870" s="408"/>
      <c r="O870" s="870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  <c r="AO870" s="49"/>
      <c r="AP870" s="49"/>
      <c r="AQ870" s="49"/>
      <c r="AR870" s="49"/>
      <c r="AS870" s="49"/>
      <c r="AT870" s="49"/>
      <c r="AU870" s="49"/>
      <c r="AV870" s="49"/>
      <c r="AW870" s="49"/>
      <c r="AX870" s="49"/>
      <c r="AY870" s="49"/>
      <c r="AZ870" s="49"/>
      <c r="BA870" s="49"/>
      <c r="BB870" s="49"/>
      <c r="BC870" s="49"/>
      <c r="BD870" s="49"/>
      <c r="BE870" s="68"/>
    </row>
    <row r="871" spans="1:57" s="51" customFormat="1" ht="14.25" customHeight="1">
      <c r="A871" s="834"/>
      <c r="B871" s="868"/>
      <c r="C871" s="868"/>
      <c r="D871" s="62">
        <v>2024</v>
      </c>
      <c r="E871" s="63">
        <f t="shared" si="302"/>
        <v>0</v>
      </c>
      <c r="F871" s="63">
        <v>0</v>
      </c>
      <c r="G871" s="63">
        <v>0</v>
      </c>
      <c r="H871" s="63">
        <v>0</v>
      </c>
      <c r="I871" s="63">
        <v>0</v>
      </c>
      <c r="J871" s="63">
        <v>0</v>
      </c>
      <c r="K871" s="86">
        <f t="shared" si="291"/>
        <v>0</v>
      </c>
      <c r="L871" s="407"/>
      <c r="M871" s="88"/>
      <c r="N871" s="408"/>
      <c r="O871" s="870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  <c r="AO871" s="49"/>
      <c r="AP871" s="49"/>
      <c r="AQ871" s="49"/>
      <c r="AR871" s="49"/>
      <c r="AS871" s="49"/>
      <c r="AT871" s="49"/>
      <c r="AU871" s="49"/>
      <c r="AV871" s="49"/>
      <c r="AW871" s="49"/>
      <c r="AX871" s="49"/>
      <c r="AY871" s="49"/>
      <c r="AZ871" s="49"/>
      <c r="BA871" s="49"/>
      <c r="BB871" s="49"/>
      <c r="BC871" s="49"/>
      <c r="BD871" s="49"/>
      <c r="BE871" s="68"/>
    </row>
    <row r="872" spans="1:57" s="51" customFormat="1" ht="14.25" customHeight="1">
      <c r="A872" s="834"/>
      <c r="B872" s="868"/>
      <c r="C872" s="868"/>
      <c r="D872" s="62">
        <v>2025</v>
      </c>
      <c r="E872" s="63">
        <f t="shared" si="302"/>
        <v>0</v>
      </c>
      <c r="F872" s="63">
        <v>0</v>
      </c>
      <c r="G872" s="63">
        <v>0</v>
      </c>
      <c r="H872" s="63">
        <v>0</v>
      </c>
      <c r="I872" s="63">
        <v>0</v>
      </c>
      <c r="J872" s="63">
        <v>0</v>
      </c>
      <c r="K872" s="86">
        <f t="shared" si="291"/>
        <v>0</v>
      </c>
      <c r="L872" s="407"/>
      <c r="M872" s="88"/>
      <c r="N872" s="408"/>
      <c r="O872" s="870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  <c r="AO872" s="49"/>
      <c r="AP872" s="49"/>
      <c r="AQ872" s="49"/>
      <c r="AR872" s="49"/>
      <c r="AS872" s="49"/>
      <c r="AT872" s="49"/>
      <c r="AU872" s="49"/>
      <c r="AV872" s="49"/>
      <c r="AW872" s="49"/>
      <c r="AX872" s="49"/>
      <c r="AY872" s="49"/>
      <c r="AZ872" s="49"/>
      <c r="BA872" s="49"/>
      <c r="BB872" s="49"/>
      <c r="BC872" s="49"/>
      <c r="BD872" s="49"/>
      <c r="BE872" s="68"/>
    </row>
    <row r="873" spans="1:57" s="51" customFormat="1" ht="14.25" customHeight="1">
      <c r="A873" s="834"/>
      <c r="B873" s="868"/>
      <c r="C873" s="868"/>
      <c r="D873" s="62">
        <v>2026</v>
      </c>
      <c r="E873" s="63">
        <f t="shared" si="302"/>
        <v>0</v>
      </c>
      <c r="F873" s="63">
        <v>0</v>
      </c>
      <c r="G873" s="63">
        <v>0</v>
      </c>
      <c r="H873" s="63">
        <v>0</v>
      </c>
      <c r="I873" s="63">
        <v>0</v>
      </c>
      <c r="J873" s="63">
        <v>0</v>
      </c>
      <c r="K873" s="86">
        <f t="shared" si="291"/>
        <v>0</v>
      </c>
      <c r="L873" s="407"/>
      <c r="M873" s="88"/>
      <c r="N873" s="408"/>
      <c r="O873" s="870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  <c r="AO873" s="49"/>
      <c r="AP873" s="49"/>
      <c r="AQ873" s="49"/>
      <c r="AR873" s="49"/>
      <c r="AS873" s="49"/>
      <c r="AT873" s="49"/>
      <c r="AU873" s="49"/>
      <c r="AV873" s="49"/>
      <c r="AW873" s="49"/>
      <c r="AX873" s="49"/>
      <c r="AY873" s="49"/>
      <c r="AZ873" s="49"/>
      <c r="BA873" s="49"/>
      <c r="BB873" s="49"/>
      <c r="BC873" s="49"/>
      <c r="BD873" s="49"/>
      <c r="BE873" s="68"/>
    </row>
    <row r="874" spans="1:57" s="51" customFormat="1" ht="14.25" customHeight="1">
      <c r="A874" s="834"/>
      <c r="B874" s="868"/>
      <c r="C874" s="868"/>
      <c r="D874" s="62">
        <v>2027</v>
      </c>
      <c r="E874" s="63">
        <f t="shared" si="302"/>
        <v>0</v>
      </c>
      <c r="F874" s="63">
        <v>0</v>
      </c>
      <c r="G874" s="63">
        <v>0</v>
      </c>
      <c r="H874" s="63">
        <v>0</v>
      </c>
      <c r="I874" s="63">
        <v>0</v>
      </c>
      <c r="J874" s="63">
        <v>0</v>
      </c>
      <c r="K874" s="86">
        <f t="shared" si="291"/>
        <v>0</v>
      </c>
      <c r="L874" s="407"/>
      <c r="M874" s="88"/>
      <c r="N874" s="408"/>
      <c r="O874" s="870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  <c r="AO874" s="49"/>
      <c r="AP874" s="49"/>
      <c r="AQ874" s="49"/>
      <c r="AR874" s="49"/>
      <c r="AS874" s="49"/>
      <c r="AT874" s="49"/>
      <c r="AU874" s="49"/>
      <c r="AV874" s="49"/>
      <c r="AW874" s="49"/>
      <c r="AX874" s="49"/>
      <c r="AY874" s="49"/>
      <c r="AZ874" s="49"/>
      <c r="BA874" s="49"/>
      <c r="BB874" s="49"/>
      <c r="BC874" s="49"/>
      <c r="BD874" s="49"/>
      <c r="BE874" s="68"/>
    </row>
    <row r="875" spans="1:57" s="51" customFormat="1" ht="14.25" customHeight="1">
      <c r="A875" s="834"/>
      <c r="B875" s="868"/>
      <c r="C875" s="868"/>
      <c r="D875" s="62">
        <v>2028</v>
      </c>
      <c r="E875" s="63">
        <f t="shared" si="302"/>
        <v>0</v>
      </c>
      <c r="F875" s="63">
        <v>0</v>
      </c>
      <c r="G875" s="63">
        <v>0</v>
      </c>
      <c r="H875" s="63">
        <v>0</v>
      </c>
      <c r="I875" s="63">
        <v>0</v>
      </c>
      <c r="J875" s="63">
        <v>0</v>
      </c>
      <c r="K875" s="86">
        <f t="shared" si="291"/>
        <v>0</v>
      </c>
      <c r="L875" s="407"/>
      <c r="M875" s="88"/>
      <c r="N875" s="408"/>
      <c r="O875" s="870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49"/>
      <c r="BD875" s="49"/>
      <c r="BE875" s="68"/>
    </row>
    <row r="876" spans="1:57" s="51" customFormat="1" ht="14.25" customHeight="1">
      <c r="A876" s="834"/>
      <c r="B876" s="868"/>
      <c r="C876" s="868"/>
      <c r="D876" s="62">
        <v>2029</v>
      </c>
      <c r="E876" s="63">
        <f t="shared" si="302"/>
        <v>0</v>
      </c>
      <c r="F876" s="63">
        <v>0</v>
      </c>
      <c r="G876" s="63">
        <v>0</v>
      </c>
      <c r="H876" s="63">
        <v>0</v>
      </c>
      <c r="I876" s="63">
        <v>0</v>
      </c>
      <c r="J876" s="63">
        <v>0</v>
      </c>
      <c r="K876" s="86">
        <f t="shared" si="291"/>
        <v>0</v>
      </c>
      <c r="L876" s="407"/>
      <c r="M876" s="88"/>
      <c r="N876" s="408"/>
      <c r="O876" s="870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49"/>
      <c r="BD876" s="49"/>
      <c r="BE876" s="68"/>
    </row>
    <row r="877" spans="1:57" s="51" customFormat="1" ht="14.25" customHeight="1">
      <c r="A877" s="835"/>
      <c r="B877" s="869"/>
      <c r="C877" s="869"/>
      <c r="D877" s="62">
        <v>2030</v>
      </c>
      <c r="E877" s="63">
        <f t="shared" si="302"/>
        <v>0</v>
      </c>
      <c r="F877" s="63">
        <v>0</v>
      </c>
      <c r="G877" s="63">
        <v>0</v>
      </c>
      <c r="H877" s="63">
        <v>0</v>
      </c>
      <c r="I877" s="63">
        <v>0</v>
      </c>
      <c r="J877" s="63">
        <v>0</v>
      </c>
      <c r="K877" s="86">
        <f t="shared" si="291"/>
        <v>0</v>
      </c>
      <c r="L877" s="407"/>
      <c r="M877" s="88"/>
      <c r="N877" s="408"/>
      <c r="O877" s="870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  <c r="AO877" s="49"/>
      <c r="AP877" s="49"/>
      <c r="AQ877" s="49"/>
      <c r="AR877" s="49"/>
      <c r="AS877" s="49"/>
      <c r="AT877" s="49"/>
      <c r="AU877" s="49"/>
      <c r="AV877" s="49"/>
      <c r="AW877" s="49"/>
      <c r="AX877" s="49"/>
      <c r="AY877" s="49"/>
      <c r="AZ877" s="49"/>
      <c r="BA877" s="49"/>
      <c r="BB877" s="49"/>
      <c r="BC877" s="49"/>
      <c r="BD877" s="49"/>
      <c r="BE877" s="68"/>
    </row>
    <row r="878" spans="1:57" s="51" customFormat="1" ht="14.25" customHeight="1">
      <c r="A878" s="1024" t="s">
        <v>960</v>
      </c>
      <c r="B878" s="929" t="s">
        <v>961</v>
      </c>
      <c r="C878" s="867"/>
      <c r="D878" s="84" t="s">
        <v>16</v>
      </c>
      <c r="E878" s="85">
        <f t="shared" ref="E878:J878" si="303">E891</f>
        <v>0.63089999999999991</v>
      </c>
      <c r="F878" s="85">
        <f t="shared" si="303"/>
        <v>0.63089999999999991</v>
      </c>
      <c r="G878" s="85">
        <f t="shared" si="303"/>
        <v>0</v>
      </c>
      <c r="H878" s="85">
        <f t="shared" si="303"/>
        <v>0</v>
      </c>
      <c r="I878" s="85">
        <f t="shared" si="303"/>
        <v>0</v>
      </c>
      <c r="J878" s="85">
        <f t="shared" si="303"/>
        <v>0</v>
      </c>
      <c r="K878" s="86">
        <f t="shared" si="291"/>
        <v>0.63089999999999991</v>
      </c>
      <c r="L878" s="407"/>
      <c r="M878" s="88"/>
      <c r="N878" s="408"/>
      <c r="O878" s="157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  <c r="AO878" s="49"/>
      <c r="AP878" s="49"/>
      <c r="AQ878" s="49"/>
      <c r="AR878" s="49"/>
      <c r="AS878" s="49"/>
      <c r="AT878" s="49"/>
      <c r="AU878" s="49"/>
      <c r="AV878" s="49"/>
      <c r="AW878" s="49"/>
      <c r="AX878" s="49"/>
      <c r="AY878" s="49"/>
      <c r="AZ878" s="49"/>
      <c r="BA878" s="49"/>
      <c r="BB878" s="49"/>
      <c r="BC878" s="49"/>
      <c r="BD878" s="49"/>
      <c r="BE878" s="68"/>
    </row>
    <row r="879" spans="1:57" s="51" customFormat="1" ht="14.25" customHeight="1">
      <c r="A879" s="834"/>
      <c r="B879" s="868"/>
      <c r="C879" s="868"/>
      <c r="D879" s="62">
        <v>2019</v>
      </c>
      <c r="E879" s="63">
        <f>F879+G879+H879+I879+J879</f>
        <v>4.4999999999999998E-2</v>
      </c>
      <c r="F879" s="63">
        <f t="shared" ref="F879:J885" si="304">F892</f>
        <v>4.4999999999999998E-2</v>
      </c>
      <c r="G879" s="63">
        <f t="shared" si="304"/>
        <v>0</v>
      </c>
      <c r="H879" s="63">
        <f t="shared" si="304"/>
        <v>0</v>
      </c>
      <c r="I879" s="63">
        <f t="shared" si="304"/>
        <v>0</v>
      </c>
      <c r="J879" s="63">
        <f t="shared" si="304"/>
        <v>0</v>
      </c>
      <c r="K879" s="86">
        <f t="shared" si="291"/>
        <v>4.4999999999999998E-2</v>
      </c>
      <c r="L879" s="411"/>
      <c r="M879" s="88"/>
      <c r="N879" s="408"/>
      <c r="O879" s="157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  <c r="AO879" s="49"/>
      <c r="AP879" s="49"/>
      <c r="AQ879" s="49"/>
      <c r="AR879" s="49"/>
      <c r="AS879" s="49"/>
      <c r="AT879" s="49"/>
      <c r="AU879" s="49"/>
      <c r="AV879" s="49"/>
      <c r="AW879" s="49"/>
      <c r="AX879" s="49"/>
      <c r="AY879" s="49"/>
      <c r="AZ879" s="49"/>
      <c r="BA879" s="49"/>
      <c r="BB879" s="49"/>
      <c r="BC879" s="49"/>
      <c r="BD879" s="49"/>
      <c r="BE879" s="68"/>
    </row>
    <row r="880" spans="1:57" s="51" customFormat="1" ht="14.25" customHeight="1">
      <c r="A880" s="834"/>
      <c r="B880" s="868"/>
      <c r="C880" s="868"/>
      <c r="D880" s="62">
        <v>2020</v>
      </c>
      <c r="E880" s="63">
        <f t="shared" ref="E880:E890" si="305">E893</f>
        <v>0.05</v>
      </c>
      <c r="F880" s="63">
        <f t="shared" si="304"/>
        <v>0.05</v>
      </c>
      <c r="G880" s="63">
        <f t="shared" si="304"/>
        <v>0</v>
      </c>
      <c r="H880" s="63">
        <f t="shared" si="304"/>
        <v>0</v>
      </c>
      <c r="I880" s="63">
        <f t="shared" si="304"/>
        <v>0</v>
      </c>
      <c r="J880" s="63">
        <f t="shared" si="304"/>
        <v>0</v>
      </c>
      <c r="K880" s="86">
        <f t="shared" si="291"/>
        <v>0.05</v>
      </c>
      <c r="L880" s="412"/>
      <c r="M880" s="88"/>
      <c r="N880" s="408"/>
      <c r="O880" s="157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  <c r="AO880" s="49"/>
      <c r="AP880" s="49"/>
      <c r="AQ880" s="49"/>
      <c r="AR880" s="49"/>
      <c r="AS880" s="49"/>
      <c r="AT880" s="49"/>
      <c r="AU880" s="49"/>
      <c r="AV880" s="49"/>
      <c r="AW880" s="49"/>
      <c r="AX880" s="49"/>
      <c r="AY880" s="49"/>
      <c r="AZ880" s="49"/>
      <c r="BA880" s="49"/>
      <c r="BB880" s="49"/>
      <c r="BC880" s="49"/>
      <c r="BD880" s="49"/>
      <c r="BE880" s="68"/>
    </row>
    <row r="881" spans="1:57" s="51" customFormat="1" ht="14.25" customHeight="1">
      <c r="A881" s="834"/>
      <c r="B881" s="868"/>
      <c r="C881" s="868"/>
      <c r="D881" s="62">
        <v>2021</v>
      </c>
      <c r="E881" s="63">
        <f t="shared" si="305"/>
        <v>5.1999999999999998E-2</v>
      </c>
      <c r="F881" s="63">
        <f t="shared" si="304"/>
        <v>5.1999999999999998E-2</v>
      </c>
      <c r="G881" s="63">
        <f t="shared" si="304"/>
        <v>0</v>
      </c>
      <c r="H881" s="63">
        <f t="shared" si="304"/>
        <v>0</v>
      </c>
      <c r="I881" s="63">
        <f t="shared" si="304"/>
        <v>0</v>
      </c>
      <c r="J881" s="63">
        <f t="shared" si="304"/>
        <v>0</v>
      </c>
      <c r="K881" s="86">
        <f t="shared" si="291"/>
        <v>5.1999999999999998E-2</v>
      </c>
      <c r="L881" s="407"/>
      <c r="M881" s="88"/>
      <c r="N881" s="408"/>
      <c r="O881" s="157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  <c r="AO881" s="49"/>
      <c r="AP881" s="49"/>
      <c r="AQ881" s="49"/>
      <c r="AR881" s="49"/>
      <c r="AS881" s="49"/>
      <c r="AT881" s="49"/>
      <c r="AU881" s="49"/>
      <c r="AV881" s="49"/>
      <c r="AW881" s="49"/>
      <c r="AX881" s="49"/>
      <c r="AY881" s="49"/>
      <c r="AZ881" s="49"/>
      <c r="BA881" s="49"/>
      <c r="BB881" s="49"/>
      <c r="BC881" s="49"/>
      <c r="BD881" s="49"/>
      <c r="BE881" s="68"/>
    </row>
    <row r="882" spans="1:57" s="51" customFormat="1" ht="14.25" customHeight="1">
      <c r="A882" s="834"/>
      <c r="B882" s="868"/>
      <c r="C882" s="868"/>
      <c r="D882" s="62">
        <v>2022</v>
      </c>
      <c r="E882" s="63">
        <f t="shared" si="305"/>
        <v>5.1999999999999998E-2</v>
      </c>
      <c r="F882" s="63">
        <f t="shared" si="304"/>
        <v>5.1999999999999998E-2</v>
      </c>
      <c r="G882" s="63">
        <f t="shared" si="304"/>
        <v>0</v>
      </c>
      <c r="H882" s="63">
        <f t="shared" si="304"/>
        <v>0</v>
      </c>
      <c r="I882" s="63">
        <f t="shared" si="304"/>
        <v>0</v>
      </c>
      <c r="J882" s="63">
        <f t="shared" si="304"/>
        <v>0</v>
      </c>
      <c r="K882" s="86">
        <f t="shared" si="291"/>
        <v>5.1999999999999998E-2</v>
      </c>
      <c r="L882" s="407"/>
      <c r="M882" s="88"/>
      <c r="N882" s="408"/>
      <c r="O882" s="157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  <c r="AO882" s="49"/>
      <c r="AP882" s="49"/>
      <c r="AQ882" s="49"/>
      <c r="AR882" s="49"/>
      <c r="AS882" s="49"/>
      <c r="AT882" s="49"/>
      <c r="AU882" s="49"/>
      <c r="AV882" s="49"/>
      <c r="AW882" s="49"/>
      <c r="AX882" s="49"/>
      <c r="AY882" s="49"/>
      <c r="AZ882" s="49"/>
      <c r="BA882" s="49"/>
      <c r="BB882" s="49"/>
      <c r="BC882" s="49"/>
      <c r="BD882" s="49"/>
      <c r="BE882" s="68"/>
    </row>
    <row r="883" spans="1:57" s="51" customFormat="1" ht="14.25" customHeight="1">
      <c r="A883" s="834"/>
      <c r="B883" s="868"/>
      <c r="C883" s="868"/>
      <c r="D883" s="62">
        <v>2023</v>
      </c>
      <c r="E883" s="63">
        <f t="shared" si="305"/>
        <v>0.05</v>
      </c>
      <c r="F883" s="63">
        <f t="shared" si="304"/>
        <v>0.05</v>
      </c>
      <c r="G883" s="63">
        <f t="shared" si="304"/>
        <v>0</v>
      </c>
      <c r="H883" s="63">
        <f t="shared" si="304"/>
        <v>0</v>
      </c>
      <c r="I883" s="63">
        <f t="shared" si="304"/>
        <v>0</v>
      </c>
      <c r="J883" s="63">
        <f t="shared" si="304"/>
        <v>0</v>
      </c>
      <c r="K883" s="86">
        <f t="shared" si="291"/>
        <v>0.05</v>
      </c>
      <c r="L883" s="407"/>
      <c r="M883" s="88"/>
      <c r="N883" s="408"/>
      <c r="O883" s="157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  <c r="AO883" s="49"/>
      <c r="AP883" s="49"/>
      <c r="AQ883" s="49"/>
      <c r="AR883" s="49"/>
      <c r="AS883" s="49"/>
      <c r="AT883" s="49"/>
      <c r="AU883" s="49"/>
      <c r="AV883" s="49"/>
      <c r="AW883" s="49"/>
      <c r="AX883" s="49"/>
      <c r="AY883" s="49"/>
      <c r="AZ883" s="49"/>
      <c r="BA883" s="49"/>
      <c r="BB883" s="49"/>
      <c r="BC883" s="49"/>
      <c r="BD883" s="49"/>
      <c r="BE883" s="68"/>
    </row>
    <row r="884" spans="1:57" s="51" customFormat="1" ht="14.25" customHeight="1">
      <c r="A884" s="834"/>
      <c r="B884" s="868"/>
      <c r="C884" s="868"/>
      <c r="D884" s="62">
        <v>2024</v>
      </c>
      <c r="E884" s="63">
        <f t="shared" si="305"/>
        <v>0.05</v>
      </c>
      <c r="F884" s="63">
        <f t="shared" si="304"/>
        <v>0.05</v>
      </c>
      <c r="G884" s="63">
        <f t="shared" si="304"/>
        <v>0</v>
      </c>
      <c r="H884" s="63">
        <f t="shared" si="304"/>
        <v>0</v>
      </c>
      <c r="I884" s="63">
        <f t="shared" si="304"/>
        <v>0</v>
      </c>
      <c r="J884" s="63">
        <f t="shared" si="304"/>
        <v>0</v>
      </c>
      <c r="K884" s="86">
        <f t="shared" si="291"/>
        <v>0.05</v>
      </c>
      <c r="L884" s="407"/>
      <c r="M884" s="88"/>
      <c r="N884" s="408"/>
      <c r="O884" s="157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  <c r="AO884" s="49"/>
      <c r="AP884" s="49"/>
      <c r="AQ884" s="49"/>
      <c r="AR884" s="49"/>
      <c r="AS884" s="49"/>
      <c r="AT884" s="49"/>
      <c r="AU884" s="49"/>
      <c r="AV884" s="49"/>
      <c r="AW884" s="49"/>
      <c r="AX884" s="49"/>
      <c r="AY884" s="49"/>
      <c r="AZ884" s="49"/>
      <c r="BA884" s="49"/>
      <c r="BB884" s="49"/>
      <c r="BC884" s="49"/>
      <c r="BD884" s="49"/>
      <c r="BE884" s="68"/>
    </row>
    <row r="885" spans="1:57" s="51" customFormat="1" ht="14.25" customHeight="1">
      <c r="A885" s="834"/>
      <c r="B885" s="868"/>
      <c r="C885" s="868"/>
      <c r="D885" s="62">
        <v>2025</v>
      </c>
      <c r="E885" s="63">
        <f t="shared" si="305"/>
        <v>0.05</v>
      </c>
      <c r="F885" s="63">
        <f t="shared" si="304"/>
        <v>0.05</v>
      </c>
      <c r="G885" s="63">
        <f t="shared" si="304"/>
        <v>0</v>
      </c>
      <c r="H885" s="63">
        <f t="shared" si="304"/>
        <v>0</v>
      </c>
      <c r="I885" s="63">
        <f t="shared" si="304"/>
        <v>0</v>
      </c>
      <c r="J885" s="63">
        <f t="shared" si="304"/>
        <v>0</v>
      </c>
      <c r="K885" s="86">
        <f t="shared" si="291"/>
        <v>0.05</v>
      </c>
      <c r="L885" s="407"/>
      <c r="M885" s="88"/>
      <c r="N885" s="408"/>
      <c r="O885" s="157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  <c r="AO885" s="49"/>
      <c r="AP885" s="49"/>
      <c r="AQ885" s="49"/>
      <c r="AR885" s="49"/>
      <c r="AS885" s="49"/>
      <c r="AT885" s="49"/>
      <c r="AU885" s="49"/>
      <c r="AV885" s="49"/>
      <c r="AW885" s="49"/>
      <c r="AX885" s="49"/>
      <c r="AY885" s="49"/>
      <c r="AZ885" s="49"/>
      <c r="BA885" s="49"/>
      <c r="BB885" s="49"/>
      <c r="BC885" s="49"/>
      <c r="BD885" s="49"/>
      <c r="BE885" s="68"/>
    </row>
    <row r="886" spans="1:57" s="51" customFormat="1" ht="14.25" customHeight="1">
      <c r="A886" s="834"/>
      <c r="B886" s="868"/>
      <c r="C886" s="868"/>
      <c r="D886" s="62">
        <v>2026</v>
      </c>
      <c r="E886" s="63">
        <f t="shared" si="305"/>
        <v>5.1999999999999998E-2</v>
      </c>
      <c r="F886" s="63">
        <v>5.1999999999999998E-2</v>
      </c>
      <c r="G886" s="63">
        <f t="shared" ref="G886:J890" si="306">G899</f>
        <v>0</v>
      </c>
      <c r="H886" s="63">
        <f t="shared" si="306"/>
        <v>0</v>
      </c>
      <c r="I886" s="63">
        <f t="shared" si="306"/>
        <v>0</v>
      </c>
      <c r="J886" s="63">
        <f t="shared" si="306"/>
        <v>0</v>
      </c>
      <c r="K886" s="86">
        <f t="shared" si="291"/>
        <v>5.1999999999999998E-2</v>
      </c>
      <c r="L886" s="407"/>
      <c r="M886" s="88"/>
      <c r="N886" s="408"/>
      <c r="O886" s="157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  <c r="AO886" s="49"/>
      <c r="AP886" s="49"/>
      <c r="AQ886" s="49"/>
      <c r="AR886" s="49"/>
      <c r="AS886" s="49"/>
      <c r="AT886" s="49"/>
      <c r="AU886" s="49"/>
      <c r="AV886" s="49"/>
      <c r="AW886" s="49"/>
      <c r="AX886" s="49"/>
      <c r="AY886" s="49"/>
      <c r="AZ886" s="49"/>
      <c r="BA886" s="49"/>
      <c r="BB886" s="49"/>
      <c r="BC886" s="49"/>
      <c r="BD886" s="49"/>
      <c r="BE886" s="68"/>
    </row>
    <row r="887" spans="1:57" s="51" customFormat="1" ht="14.25" customHeight="1">
      <c r="A887" s="834"/>
      <c r="B887" s="868"/>
      <c r="C887" s="868"/>
      <c r="D887" s="62">
        <v>2027</v>
      </c>
      <c r="E887" s="63">
        <f t="shared" si="305"/>
        <v>5.4100000000000002E-2</v>
      </c>
      <c r="F887" s="63">
        <v>5.4100000000000002E-2</v>
      </c>
      <c r="G887" s="63">
        <f t="shared" si="306"/>
        <v>0</v>
      </c>
      <c r="H887" s="63">
        <f t="shared" si="306"/>
        <v>0</v>
      </c>
      <c r="I887" s="63">
        <f t="shared" si="306"/>
        <v>0</v>
      </c>
      <c r="J887" s="63">
        <f t="shared" si="306"/>
        <v>0</v>
      </c>
      <c r="K887" s="86">
        <f t="shared" si="291"/>
        <v>5.4100000000000002E-2</v>
      </c>
      <c r="L887" s="407"/>
      <c r="M887" s="88"/>
      <c r="N887" s="408"/>
      <c r="O887" s="157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  <c r="AO887" s="49"/>
      <c r="AP887" s="49"/>
      <c r="AQ887" s="49"/>
      <c r="AR887" s="49"/>
      <c r="AS887" s="49"/>
      <c r="AT887" s="49"/>
      <c r="AU887" s="49"/>
      <c r="AV887" s="49"/>
      <c r="AW887" s="49"/>
      <c r="AX887" s="49"/>
      <c r="AY887" s="49"/>
      <c r="AZ887" s="49"/>
      <c r="BA887" s="49"/>
      <c r="BB887" s="49"/>
      <c r="BC887" s="49"/>
      <c r="BD887" s="49"/>
      <c r="BE887" s="68"/>
    </row>
    <row r="888" spans="1:57" s="51" customFormat="1" ht="14.25" customHeight="1">
      <c r="A888" s="834"/>
      <c r="B888" s="868"/>
      <c r="C888" s="868"/>
      <c r="D888" s="62">
        <v>2028</v>
      </c>
      <c r="E888" s="63">
        <f t="shared" si="305"/>
        <v>5.6300000000000003E-2</v>
      </c>
      <c r="F888" s="63">
        <v>5.6300000000000003E-2</v>
      </c>
      <c r="G888" s="63">
        <f t="shared" si="306"/>
        <v>0</v>
      </c>
      <c r="H888" s="63">
        <f t="shared" si="306"/>
        <v>0</v>
      </c>
      <c r="I888" s="63">
        <f t="shared" si="306"/>
        <v>0</v>
      </c>
      <c r="J888" s="63">
        <f t="shared" si="306"/>
        <v>0</v>
      </c>
      <c r="K888" s="86">
        <f t="shared" si="291"/>
        <v>5.6300000000000003E-2</v>
      </c>
      <c r="L888" s="407"/>
      <c r="M888" s="88"/>
      <c r="N888" s="408"/>
      <c r="O888" s="157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  <c r="AO888" s="49"/>
      <c r="AP888" s="49"/>
      <c r="AQ888" s="49"/>
      <c r="AR888" s="49"/>
      <c r="AS888" s="49"/>
      <c r="AT888" s="49"/>
      <c r="AU888" s="49"/>
      <c r="AV888" s="49"/>
      <c r="AW888" s="49"/>
      <c r="AX888" s="49"/>
      <c r="AY888" s="49"/>
      <c r="AZ888" s="49"/>
      <c r="BA888" s="49"/>
      <c r="BB888" s="49"/>
      <c r="BC888" s="49"/>
      <c r="BD888" s="49"/>
      <c r="BE888" s="68"/>
    </row>
    <row r="889" spans="1:57" s="51" customFormat="1" ht="14.25" customHeight="1">
      <c r="A889" s="834"/>
      <c r="B889" s="868"/>
      <c r="C889" s="868"/>
      <c r="D889" s="62">
        <v>2029</v>
      </c>
      <c r="E889" s="63">
        <f t="shared" si="305"/>
        <v>5.8599999999999999E-2</v>
      </c>
      <c r="F889" s="63">
        <v>5.8599999999999999E-2</v>
      </c>
      <c r="G889" s="63">
        <f t="shared" si="306"/>
        <v>0</v>
      </c>
      <c r="H889" s="63">
        <f t="shared" si="306"/>
        <v>0</v>
      </c>
      <c r="I889" s="63">
        <f t="shared" si="306"/>
        <v>0</v>
      </c>
      <c r="J889" s="63">
        <f t="shared" si="306"/>
        <v>0</v>
      </c>
      <c r="K889" s="86">
        <f t="shared" ref="K889:K952" si="307">F889+G889+H889+I889+J889</f>
        <v>5.8599999999999999E-2</v>
      </c>
      <c r="L889" s="407"/>
      <c r="M889" s="88"/>
      <c r="N889" s="408"/>
      <c r="O889" s="157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49"/>
      <c r="AU889" s="49"/>
      <c r="AV889" s="49"/>
      <c r="AW889" s="49"/>
      <c r="AX889" s="49"/>
      <c r="AY889" s="49"/>
      <c r="AZ889" s="49"/>
      <c r="BA889" s="49"/>
      <c r="BB889" s="49"/>
      <c r="BC889" s="49"/>
      <c r="BD889" s="49"/>
      <c r="BE889" s="68"/>
    </row>
    <row r="890" spans="1:57" s="51" customFormat="1" ht="14.25" customHeight="1">
      <c r="A890" s="835"/>
      <c r="B890" s="869"/>
      <c r="C890" s="869"/>
      <c r="D890" s="62">
        <v>2030</v>
      </c>
      <c r="E890" s="63">
        <f t="shared" si="305"/>
        <v>6.0900000000000003E-2</v>
      </c>
      <c r="F890" s="63">
        <v>6.0900000000000003E-2</v>
      </c>
      <c r="G890" s="63">
        <f t="shared" si="306"/>
        <v>0</v>
      </c>
      <c r="H890" s="63">
        <f t="shared" si="306"/>
        <v>0</v>
      </c>
      <c r="I890" s="63">
        <f t="shared" si="306"/>
        <v>0</v>
      </c>
      <c r="J890" s="63">
        <f t="shared" si="306"/>
        <v>0</v>
      </c>
      <c r="K890" s="86">
        <f t="shared" si="307"/>
        <v>6.0900000000000003E-2</v>
      </c>
      <c r="L890" s="407"/>
      <c r="M890" s="88"/>
      <c r="N890" s="408"/>
      <c r="O890" s="157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  <c r="AO890" s="49"/>
      <c r="AP890" s="49"/>
      <c r="AQ890" s="49"/>
      <c r="AR890" s="49"/>
      <c r="AS890" s="49"/>
      <c r="AT890" s="49"/>
      <c r="AU890" s="49"/>
      <c r="AV890" s="49"/>
      <c r="AW890" s="49"/>
      <c r="AX890" s="49"/>
      <c r="AY890" s="49"/>
      <c r="AZ890" s="49"/>
      <c r="BA890" s="49"/>
      <c r="BB890" s="49"/>
      <c r="BC890" s="49"/>
      <c r="BD890" s="49"/>
      <c r="BE890" s="68"/>
    </row>
    <row r="891" spans="1:57" s="51" customFormat="1" ht="14.25" customHeight="1">
      <c r="A891" s="900" t="s">
        <v>962</v>
      </c>
      <c r="B891" s="867" t="s">
        <v>963</v>
      </c>
      <c r="C891" s="61"/>
      <c r="D891" s="84" t="s">
        <v>16</v>
      </c>
      <c r="E891" s="85">
        <f t="shared" ref="E891:J891" si="308">E892+E893+E894+E895+E896+E897+E898+E899+E900+E901+E902+E903</f>
        <v>0.63089999999999991</v>
      </c>
      <c r="F891" s="85">
        <f t="shared" si="308"/>
        <v>0.63089999999999991</v>
      </c>
      <c r="G891" s="85">
        <f t="shared" si="308"/>
        <v>0</v>
      </c>
      <c r="H891" s="85">
        <f t="shared" si="308"/>
        <v>0</v>
      </c>
      <c r="I891" s="85">
        <f t="shared" si="308"/>
        <v>0</v>
      </c>
      <c r="J891" s="85">
        <f t="shared" si="308"/>
        <v>0</v>
      </c>
      <c r="K891" s="86">
        <f t="shared" si="307"/>
        <v>0.63089999999999991</v>
      </c>
      <c r="L891" s="407"/>
      <c r="M891" s="88"/>
      <c r="N891" s="408"/>
      <c r="O891" s="858" t="s">
        <v>527</v>
      </c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  <c r="AO891" s="49"/>
      <c r="AP891" s="49"/>
      <c r="AQ891" s="49"/>
      <c r="AR891" s="49"/>
      <c r="AS891" s="49"/>
      <c r="AT891" s="49"/>
      <c r="AU891" s="49"/>
      <c r="AV891" s="49"/>
      <c r="AW891" s="49"/>
      <c r="AX891" s="49"/>
      <c r="AY891" s="49"/>
      <c r="AZ891" s="49"/>
      <c r="BA891" s="49"/>
      <c r="BB891" s="49"/>
      <c r="BC891" s="49"/>
      <c r="BD891" s="49"/>
      <c r="BE891" s="68"/>
    </row>
    <row r="892" spans="1:57" s="51" customFormat="1" ht="14.25" customHeight="1">
      <c r="A892" s="834"/>
      <c r="B892" s="872"/>
      <c r="C892" s="60" t="s">
        <v>955</v>
      </c>
      <c r="D892" s="62">
        <v>2019</v>
      </c>
      <c r="E892" s="63">
        <f t="shared" ref="E892:E903" si="309">F892+G892+H892+I892+J892</f>
        <v>4.4999999999999998E-2</v>
      </c>
      <c r="F892" s="63">
        <v>4.4999999999999998E-2</v>
      </c>
      <c r="G892" s="63">
        <v>0</v>
      </c>
      <c r="H892" s="63">
        <v>0</v>
      </c>
      <c r="I892" s="63">
        <v>0</v>
      </c>
      <c r="J892" s="63">
        <v>0</v>
      </c>
      <c r="K892" s="86">
        <f t="shared" si="307"/>
        <v>4.4999999999999998E-2</v>
      </c>
      <c r="L892" s="407"/>
      <c r="M892" s="88"/>
      <c r="N892" s="408"/>
      <c r="O892" s="871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  <c r="AO892" s="49"/>
      <c r="AP892" s="49"/>
      <c r="AQ892" s="49"/>
      <c r="AR892" s="49"/>
      <c r="AS892" s="49"/>
      <c r="AT892" s="49"/>
      <c r="AU892" s="49"/>
      <c r="AV892" s="49"/>
      <c r="AW892" s="49"/>
      <c r="AX892" s="49"/>
      <c r="AY892" s="49"/>
      <c r="AZ892" s="49"/>
      <c r="BA892" s="49"/>
      <c r="BB892" s="49"/>
      <c r="BC892" s="49"/>
      <c r="BD892" s="49"/>
      <c r="BE892" s="68"/>
    </row>
    <row r="893" spans="1:57" s="219" customFormat="1" ht="13.5" customHeight="1">
      <c r="A893" s="834"/>
      <c r="B893" s="872"/>
      <c r="C893" s="867" t="s">
        <v>956</v>
      </c>
      <c r="D893" s="197">
        <v>2020</v>
      </c>
      <c r="E893" s="198">
        <f t="shared" si="309"/>
        <v>0.05</v>
      </c>
      <c r="F893" s="198">
        <v>0.05</v>
      </c>
      <c r="G893" s="198">
        <v>0</v>
      </c>
      <c r="H893" s="198">
        <v>0</v>
      </c>
      <c r="I893" s="198">
        <v>0</v>
      </c>
      <c r="J893" s="198">
        <v>0</v>
      </c>
      <c r="K893" s="129">
        <f t="shared" si="307"/>
        <v>0.05</v>
      </c>
      <c r="L893" s="413"/>
      <c r="M893" s="220"/>
      <c r="N893" s="414"/>
      <c r="O893" s="87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  <c r="AA893" s="221"/>
      <c r="AB893" s="221"/>
      <c r="AC893" s="221"/>
      <c r="AD893" s="221"/>
      <c r="AE893" s="221"/>
      <c r="AF893" s="221"/>
      <c r="AG893" s="221"/>
      <c r="AH893" s="221"/>
      <c r="AI893" s="221"/>
      <c r="AJ893" s="221"/>
      <c r="AK893" s="221"/>
      <c r="AL893" s="221"/>
      <c r="AM893" s="221"/>
      <c r="AN893" s="221"/>
      <c r="AO893" s="221"/>
      <c r="AP893" s="221"/>
      <c r="AQ893" s="221"/>
      <c r="AR893" s="221"/>
      <c r="AS893" s="221"/>
      <c r="AT893" s="221"/>
      <c r="AU893" s="221"/>
      <c r="AV893" s="221"/>
      <c r="AW893" s="221"/>
      <c r="AX893" s="221"/>
      <c r="AY893" s="221"/>
      <c r="AZ893" s="221"/>
      <c r="BA893" s="221"/>
      <c r="BB893" s="221"/>
      <c r="BC893" s="221"/>
      <c r="BD893" s="221"/>
      <c r="BE893" s="222"/>
    </row>
    <row r="894" spans="1:57" s="219" customFormat="1" ht="14.25" customHeight="1">
      <c r="A894" s="834"/>
      <c r="B894" s="872"/>
      <c r="C894" s="872"/>
      <c r="D894" s="197">
        <v>2021</v>
      </c>
      <c r="E894" s="198">
        <f t="shared" si="309"/>
        <v>5.1999999999999998E-2</v>
      </c>
      <c r="F894" s="198">
        <v>5.1999999999999998E-2</v>
      </c>
      <c r="G894" s="198">
        <v>0</v>
      </c>
      <c r="H894" s="198">
        <v>0</v>
      </c>
      <c r="I894" s="198">
        <v>0</v>
      </c>
      <c r="J894" s="198">
        <v>0</v>
      </c>
      <c r="K894" s="129">
        <f t="shared" si="307"/>
        <v>5.1999999999999998E-2</v>
      </c>
      <c r="L894" s="413"/>
      <c r="M894" s="220"/>
      <c r="N894" s="414"/>
      <c r="O894" s="871"/>
      <c r="P894" s="221"/>
      <c r="Q894" s="221"/>
      <c r="R894" s="221"/>
      <c r="S894" s="221"/>
      <c r="T894" s="221"/>
      <c r="U894" s="221"/>
      <c r="V894" s="221"/>
      <c r="W894" s="221"/>
      <c r="X894" s="221"/>
      <c r="Y894" s="221"/>
      <c r="Z894" s="221"/>
      <c r="AA894" s="221"/>
      <c r="AB894" s="221"/>
      <c r="AC894" s="221"/>
      <c r="AD894" s="221"/>
      <c r="AE894" s="221"/>
      <c r="AF894" s="221"/>
      <c r="AG894" s="221"/>
      <c r="AH894" s="221"/>
      <c r="AI894" s="221"/>
      <c r="AJ894" s="221"/>
      <c r="AK894" s="221"/>
      <c r="AL894" s="221"/>
      <c r="AM894" s="221"/>
      <c r="AN894" s="221"/>
      <c r="AO894" s="221"/>
      <c r="AP894" s="221"/>
      <c r="AQ894" s="221"/>
      <c r="AR894" s="221"/>
      <c r="AS894" s="221"/>
      <c r="AT894" s="221"/>
      <c r="AU894" s="221"/>
      <c r="AV894" s="221"/>
      <c r="AW894" s="221"/>
      <c r="AX894" s="221"/>
      <c r="AY894" s="221"/>
      <c r="AZ894" s="221"/>
      <c r="BA894" s="221"/>
      <c r="BB894" s="221"/>
      <c r="BC894" s="221"/>
      <c r="BD894" s="221"/>
      <c r="BE894" s="222"/>
    </row>
    <row r="895" spans="1:57" s="219" customFormat="1" ht="14.25" customHeight="1">
      <c r="A895" s="834"/>
      <c r="B895" s="872"/>
      <c r="C895" s="872"/>
      <c r="D895" s="197">
        <v>2022</v>
      </c>
      <c r="E895" s="198">
        <f t="shared" si="309"/>
        <v>5.1999999999999998E-2</v>
      </c>
      <c r="F895" s="198">
        <v>5.1999999999999998E-2</v>
      </c>
      <c r="G895" s="198">
        <v>0</v>
      </c>
      <c r="H895" s="198">
        <v>0</v>
      </c>
      <c r="I895" s="198">
        <v>0</v>
      </c>
      <c r="J895" s="198">
        <v>0</v>
      </c>
      <c r="K895" s="129">
        <f t="shared" si="307"/>
        <v>5.1999999999999998E-2</v>
      </c>
      <c r="L895" s="413"/>
      <c r="M895" s="220"/>
      <c r="N895" s="414"/>
      <c r="O895" s="871"/>
      <c r="P895" s="221"/>
      <c r="Q895" s="221"/>
      <c r="R895" s="221"/>
      <c r="S895" s="221"/>
      <c r="T895" s="221"/>
      <c r="U895" s="221"/>
      <c r="V895" s="221"/>
      <c r="W895" s="221"/>
      <c r="X895" s="221"/>
      <c r="Y895" s="221"/>
      <c r="Z895" s="221"/>
      <c r="AA895" s="221"/>
      <c r="AB895" s="221"/>
      <c r="AC895" s="221"/>
      <c r="AD895" s="221"/>
      <c r="AE895" s="221"/>
      <c r="AF895" s="221"/>
      <c r="AG895" s="221"/>
      <c r="AH895" s="221"/>
      <c r="AI895" s="221"/>
      <c r="AJ895" s="221"/>
      <c r="AK895" s="221"/>
      <c r="AL895" s="221"/>
      <c r="AM895" s="221"/>
      <c r="AN895" s="221"/>
      <c r="AO895" s="221"/>
      <c r="AP895" s="221"/>
      <c r="AQ895" s="221"/>
      <c r="AR895" s="221"/>
      <c r="AS895" s="221"/>
      <c r="AT895" s="221"/>
      <c r="AU895" s="221"/>
      <c r="AV895" s="221"/>
      <c r="AW895" s="221"/>
      <c r="AX895" s="221"/>
      <c r="AY895" s="221"/>
      <c r="AZ895" s="221"/>
      <c r="BA895" s="221"/>
      <c r="BB895" s="221"/>
      <c r="BC895" s="221"/>
      <c r="BD895" s="221"/>
      <c r="BE895" s="222"/>
    </row>
    <row r="896" spans="1:57" s="51" customFormat="1" ht="14.25" customHeight="1">
      <c r="A896" s="834"/>
      <c r="B896" s="872"/>
      <c r="C896" s="872"/>
      <c r="D896" s="62">
        <v>2023</v>
      </c>
      <c r="E896" s="63">
        <f t="shared" si="309"/>
        <v>0.05</v>
      </c>
      <c r="F896" s="63">
        <v>0.05</v>
      </c>
      <c r="G896" s="63">
        <v>0</v>
      </c>
      <c r="H896" s="63">
        <v>0</v>
      </c>
      <c r="I896" s="63">
        <v>0</v>
      </c>
      <c r="J896" s="63">
        <v>0</v>
      </c>
      <c r="K896" s="86">
        <f t="shared" si="307"/>
        <v>0.05</v>
      </c>
      <c r="L896" s="407"/>
      <c r="M896" s="88"/>
      <c r="N896" s="408"/>
      <c r="O896" s="871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  <c r="AO896" s="49"/>
      <c r="AP896" s="49"/>
      <c r="AQ896" s="49"/>
      <c r="AR896" s="49"/>
      <c r="AS896" s="49"/>
      <c r="AT896" s="49"/>
      <c r="AU896" s="49"/>
      <c r="AV896" s="49"/>
      <c r="AW896" s="49"/>
      <c r="AX896" s="49"/>
      <c r="AY896" s="49"/>
      <c r="AZ896" s="49"/>
      <c r="BA896" s="49"/>
      <c r="BB896" s="49"/>
      <c r="BC896" s="49"/>
      <c r="BD896" s="49"/>
      <c r="BE896" s="68"/>
    </row>
    <row r="897" spans="1:57" s="51" customFormat="1" ht="14.25" customHeight="1">
      <c r="A897" s="834"/>
      <c r="B897" s="872"/>
      <c r="C897" s="872"/>
      <c r="D897" s="62">
        <v>2024</v>
      </c>
      <c r="E897" s="63">
        <f t="shared" si="309"/>
        <v>0.05</v>
      </c>
      <c r="F897" s="63">
        <v>0.05</v>
      </c>
      <c r="G897" s="63">
        <v>0</v>
      </c>
      <c r="H897" s="63">
        <v>0</v>
      </c>
      <c r="I897" s="63">
        <v>0</v>
      </c>
      <c r="J897" s="63">
        <v>0</v>
      </c>
      <c r="K897" s="86">
        <f t="shared" si="307"/>
        <v>0.05</v>
      </c>
      <c r="L897" s="407"/>
      <c r="M897" s="88"/>
      <c r="N897" s="408"/>
      <c r="O897" s="871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  <c r="AO897" s="49"/>
      <c r="AP897" s="49"/>
      <c r="AQ897" s="49"/>
      <c r="AR897" s="49"/>
      <c r="AS897" s="49"/>
      <c r="AT897" s="49"/>
      <c r="AU897" s="49"/>
      <c r="AV897" s="49"/>
      <c r="AW897" s="49"/>
      <c r="AX897" s="49"/>
      <c r="AY897" s="49"/>
      <c r="AZ897" s="49"/>
      <c r="BA897" s="49"/>
      <c r="BB897" s="49"/>
      <c r="BC897" s="49"/>
      <c r="BD897" s="49"/>
      <c r="BE897" s="68"/>
    </row>
    <row r="898" spans="1:57" s="51" customFormat="1" ht="14.25" customHeight="1">
      <c r="A898" s="834"/>
      <c r="B898" s="872"/>
      <c r="C898" s="873"/>
      <c r="D898" s="62">
        <v>2025</v>
      </c>
      <c r="E898" s="63">
        <f t="shared" si="309"/>
        <v>0.05</v>
      </c>
      <c r="F898" s="63">
        <v>0.05</v>
      </c>
      <c r="G898" s="63">
        <v>0</v>
      </c>
      <c r="H898" s="63">
        <v>0</v>
      </c>
      <c r="I898" s="63">
        <v>0</v>
      </c>
      <c r="J898" s="63">
        <v>0</v>
      </c>
      <c r="K898" s="86">
        <f t="shared" si="307"/>
        <v>0.05</v>
      </c>
      <c r="L898" s="407"/>
      <c r="M898" s="88"/>
      <c r="N898" s="408"/>
      <c r="O898" s="871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  <c r="AO898" s="49"/>
      <c r="AP898" s="49"/>
      <c r="AQ898" s="49"/>
      <c r="AR898" s="49"/>
      <c r="AS898" s="49"/>
      <c r="AT898" s="49"/>
      <c r="AU898" s="49"/>
      <c r="AV898" s="49"/>
      <c r="AW898" s="49"/>
      <c r="AX898" s="49"/>
      <c r="AY898" s="49"/>
      <c r="AZ898" s="49"/>
      <c r="BA898" s="49"/>
      <c r="BB898" s="49"/>
      <c r="BC898" s="49"/>
      <c r="BD898" s="49"/>
      <c r="BE898" s="68"/>
    </row>
    <row r="899" spans="1:57" s="51" customFormat="1" ht="14.25" customHeight="1">
      <c r="A899" s="834"/>
      <c r="B899" s="872"/>
      <c r="C899" s="867" t="s">
        <v>957</v>
      </c>
      <c r="D899" s="62">
        <v>2026</v>
      </c>
      <c r="E899" s="63">
        <f t="shared" si="309"/>
        <v>5.1999999999999998E-2</v>
      </c>
      <c r="F899" s="63">
        <v>5.1999999999999998E-2</v>
      </c>
      <c r="G899" s="63">
        <v>0</v>
      </c>
      <c r="H899" s="63">
        <v>0</v>
      </c>
      <c r="I899" s="63">
        <v>0</v>
      </c>
      <c r="J899" s="63">
        <v>0</v>
      </c>
      <c r="K899" s="86">
        <f t="shared" si="307"/>
        <v>5.1999999999999998E-2</v>
      </c>
      <c r="L899" s="407"/>
      <c r="M899" s="88"/>
      <c r="N899" s="408"/>
      <c r="O899" s="871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  <c r="AR899" s="49"/>
      <c r="AS899" s="49"/>
      <c r="AT899" s="49"/>
      <c r="AU899" s="49"/>
      <c r="AV899" s="49"/>
      <c r="AW899" s="49"/>
      <c r="AX899" s="49"/>
      <c r="AY899" s="49"/>
      <c r="AZ899" s="49"/>
      <c r="BA899" s="49"/>
      <c r="BB899" s="49"/>
      <c r="BC899" s="49"/>
      <c r="BD899" s="49"/>
      <c r="BE899" s="68"/>
    </row>
    <row r="900" spans="1:57" s="51" customFormat="1" ht="14.25" customHeight="1">
      <c r="A900" s="834"/>
      <c r="B900" s="872"/>
      <c r="C900" s="868"/>
      <c r="D900" s="62">
        <v>2027</v>
      </c>
      <c r="E900" s="63">
        <f t="shared" si="309"/>
        <v>5.4100000000000002E-2</v>
      </c>
      <c r="F900" s="63">
        <v>5.4100000000000002E-2</v>
      </c>
      <c r="G900" s="63">
        <v>0</v>
      </c>
      <c r="H900" s="63">
        <v>0</v>
      </c>
      <c r="I900" s="63">
        <v>0</v>
      </c>
      <c r="J900" s="63">
        <v>0</v>
      </c>
      <c r="K900" s="86">
        <f t="shared" si="307"/>
        <v>5.4100000000000002E-2</v>
      </c>
      <c r="L900" s="407"/>
      <c r="M900" s="88"/>
      <c r="N900" s="408"/>
      <c r="O900" s="871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  <c r="AT900" s="49"/>
      <c r="AU900" s="49"/>
      <c r="AV900" s="49"/>
      <c r="AW900" s="49"/>
      <c r="AX900" s="49"/>
      <c r="AY900" s="49"/>
      <c r="AZ900" s="49"/>
      <c r="BA900" s="49"/>
      <c r="BB900" s="49"/>
      <c r="BC900" s="49"/>
      <c r="BD900" s="49"/>
      <c r="BE900" s="68"/>
    </row>
    <row r="901" spans="1:57" s="51" customFormat="1" ht="14.25" customHeight="1">
      <c r="A901" s="834"/>
      <c r="B901" s="872"/>
      <c r="C901" s="868"/>
      <c r="D901" s="62">
        <v>2028</v>
      </c>
      <c r="E901" s="63">
        <f t="shared" si="309"/>
        <v>5.6300000000000003E-2</v>
      </c>
      <c r="F901" s="63">
        <v>5.6300000000000003E-2</v>
      </c>
      <c r="G901" s="63">
        <v>0</v>
      </c>
      <c r="H901" s="63">
        <v>0</v>
      </c>
      <c r="I901" s="63">
        <v>0</v>
      </c>
      <c r="J901" s="63">
        <v>0</v>
      </c>
      <c r="K901" s="86">
        <f t="shared" si="307"/>
        <v>5.6300000000000003E-2</v>
      </c>
      <c r="L901" s="407"/>
      <c r="M901" s="88"/>
      <c r="N901" s="408"/>
      <c r="O901" s="871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  <c r="AT901" s="49"/>
      <c r="AU901" s="49"/>
      <c r="AV901" s="49"/>
      <c r="AW901" s="49"/>
      <c r="AX901" s="49"/>
      <c r="AY901" s="49"/>
      <c r="AZ901" s="49"/>
      <c r="BA901" s="49"/>
      <c r="BB901" s="49"/>
      <c r="BC901" s="49"/>
      <c r="BD901" s="49"/>
      <c r="BE901" s="68"/>
    </row>
    <row r="902" spans="1:57" s="51" customFormat="1" ht="14.25" customHeight="1">
      <c r="A902" s="834"/>
      <c r="B902" s="872"/>
      <c r="C902" s="868"/>
      <c r="D902" s="62">
        <v>2029</v>
      </c>
      <c r="E902" s="63">
        <f t="shared" si="309"/>
        <v>5.8599999999999999E-2</v>
      </c>
      <c r="F902" s="63">
        <v>5.8599999999999999E-2</v>
      </c>
      <c r="G902" s="63">
        <v>0</v>
      </c>
      <c r="H902" s="63">
        <v>0</v>
      </c>
      <c r="I902" s="63">
        <v>0</v>
      </c>
      <c r="J902" s="63">
        <v>0</v>
      </c>
      <c r="K902" s="86">
        <f t="shared" si="307"/>
        <v>5.8599999999999999E-2</v>
      </c>
      <c r="L902" s="407"/>
      <c r="M902" s="88"/>
      <c r="N902" s="408"/>
      <c r="O902" s="871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49"/>
      <c r="AU902" s="49"/>
      <c r="AV902" s="49"/>
      <c r="AW902" s="49"/>
      <c r="AX902" s="49"/>
      <c r="AY902" s="49"/>
      <c r="AZ902" s="49"/>
      <c r="BA902" s="49"/>
      <c r="BB902" s="49"/>
      <c r="BC902" s="49"/>
      <c r="BD902" s="49"/>
      <c r="BE902" s="68"/>
    </row>
    <row r="903" spans="1:57" s="51" customFormat="1" ht="14.25" customHeight="1">
      <c r="A903" s="835"/>
      <c r="B903" s="873"/>
      <c r="C903" s="869"/>
      <c r="D903" s="62">
        <v>2030</v>
      </c>
      <c r="E903" s="63">
        <f t="shared" si="309"/>
        <v>6.0900000000000003E-2</v>
      </c>
      <c r="F903" s="63">
        <v>6.0900000000000003E-2</v>
      </c>
      <c r="G903" s="63">
        <v>0</v>
      </c>
      <c r="H903" s="63">
        <v>0</v>
      </c>
      <c r="I903" s="63">
        <v>0</v>
      </c>
      <c r="J903" s="63">
        <v>0</v>
      </c>
      <c r="K903" s="86">
        <f t="shared" si="307"/>
        <v>6.0900000000000003E-2</v>
      </c>
      <c r="L903" s="407"/>
      <c r="M903" s="88"/>
      <c r="N903" s="408"/>
      <c r="O903" s="988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  <c r="AO903" s="49"/>
      <c r="AP903" s="49"/>
      <c r="AQ903" s="49"/>
      <c r="AR903" s="49"/>
      <c r="AS903" s="49"/>
      <c r="AT903" s="49"/>
      <c r="AU903" s="49"/>
      <c r="AV903" s="49"/>
      <c r="AW903" s="49"/>
      <c r="AX903" s="49"/>
      <c r="AY903" s="49"/>
      <c r="AZ903" s="49"/>
      <c r="BA903" s="49"/>
      <c r="BB903" s="49"/>
      <c r="BC903" s="49"/>
      <c r="BD903" s="49"/>
      <c r="BE903" s="68"/>
    </row>
    <row r="904" spans="1:57" s="51" customFormat="1" ht="14.25" customHeight="1">
      <c r="A904" s="1024" t="s">
        <v>964</v>
      </c>
      <c r="B904" s="929" t="s">
        <v>201</v>
      </c>
      <c r="C904" s="867"/>
      <c r="D904" s="84" t="s">
        <v>16</v>
      </c>
      <c r="E904" s="85">
        <f t="shared" ref="E904:E916" si="310">E917</f>
        <v>0.11747</v>
      </c>
      <c r="F904" s="85">
        <f>F905+F906+F907+F908+F909+F910+F911+F912+F913+F914+F915+F916</f>
        <v>0.11747</v>
      </c>
      <c r="G904" s="85">
        <f t="shared" ref="G904:J916" si="311">G917</f>
        <v>0</v>
      </c>
      <c r="H904" s="85">
        <f t="shared" si="311"/>
        <v>0</v>
      </c>
      <c r="I904" s="85">
        <f t="shared" si="311"/>
        <v>0</v>
      </c>
      <c r="J904" s="85">
        <f t="shared" si="311"/>
        <v>0</v>
      </c>
      <c r="K904" s="86">
        <f t="shared" si="307"/>
        <v>0.11747</v>
      </c>
      <c r="L904" s="407"/>
      <c r="M904" s="88"/>
      <c r="N904" s="408"/>
      <c r="O904" s="157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  <c r="AO904" s="49"/>
      <c r="AP904" s="49"/>
      <c r="AQ904" s="49"/>
      <c r="AR904" s="49"/>
      <c r="AS904" s="49"/>
      <c r="AT904" s="49"/>
      <c r="AU904" s="49"/>
      <c r="AV904" s="49"/>
      <c r="AW904" s="49"/>
      <c r="AX904" s="49"/>
      <c r="AY904" s="49"/>
      <c r="AZ904" s="49"/>
      <c r="BA904" s="49"/>
      <c r="BB904" s="49"/>
      <c r="BC904" s="49"/>
      <c r="BD904" s="49"/>
      <c r="BE904" s="68"/>
    </row>
    <row r="905" spans="1:57" s="51" customFormat="1" ht="14.25" customHeight="1">
      <c r="A905" s="834"/>
      <c r="B905" s="868"/>
      <c r="C905" s="868"/>
      <c r="D905" s="62">
        <v>2019</v>
      </c>
      <c r="E905" s="63">
        <f t="shared" si="310"/>
        <v>0</v>
      </c>
      <c r="F905" s="63">
        <f t="shared" ref="F905:F916" si="312">F918</f>
        <v>0</v>
      </c>
      <c r="G905" s="63">
        <f t="shared" si="311"/>
        <v>0</v>
      </c>
      <c r="H905" s="63">
        <f t="shared" si="311"/>
        <v>0</v>
      </c>
      <c r="I905" s="63">
        <f t="shared" si="311"/>
        <v>0</v>
      </c>
      <c r="J905" s="63">
        <f t="shared" si="311"/>
        <v>0</v>
      </c>
      <c r="K905" s="86">
        <f t="shared" si="307"/>
        <v>0</v>
      </c>
      <c r="L905" s="407"/>
      <c r="M905" s="88"/>
      <c r="N905" s="408"/>
      <c r="O905" s="157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  <c r="AO905" s="49"/>
      <c r="AP905" s="49"/>
      <c r="AQ905" s="49"/>
      <c r="AR905" s="49"/>
      <c r="AS905" s="49"/>
      <c r="AT905" s="49"/>
      <c r="AU905" s="49"/>
      <c r="AV905" s="49"/>
      <c r="AW905" s="49"/>
      <c r="AX905" s="49"/>
      <c r="AY905" s="49"/>
      <c r="AZ905" s="49"/>
      <c r="BA905" s="49"/>
      <c r="BB905" s="49"/>
      <c r="BC905" s="49"/>
      <c r="BD905" s="49"/>
      <c r="BE905" s="68"/>
    </row>
    <row r="906" spans="1:57" s="51" customFormat="1" ht="14.25" customHeight="1">
      <c r="A906" s="834"/>
      <c r="B906" s="868"/>
      <c r="C906" s="868"/>
      <c r="D906" s="62">
        <v>2020</v>
      </c>
      <c r="E906" s="63">
        <f t="shared" si="310"/>
        <v>1.0370000000000001E-2</v>
      </c>
      <c r="F906" s="63">
        <f t="shared" si="312"/>
        <v>1.0370000000000001E-2</v>
      </c>
      <c r="G906" s="63">
        <f t="shared" si="311"/>
        <v>0</v>
      </c>
      <c r="H906" s="63">
        <f t="shared" si="311"/>
        <v>0</v>
      </c>
      <c r="I906" s="63">
        <f t="shared" si="311"/>
        <v>0</v>
      </c>
      <c r="J906" s="63">
        <f t="shared" si="311"/>
        <v>0</v>
      </c>
      <c r="K906" s="86">
        <f t="shared" si="307"/>
        <v>1.0370000000000001E-2</v>
      </c>
      <c r="L906" s="407"/>
      <c r="M906" s="88"/>
      <c r="N906" s="408"/>
      <c r="O906" s="157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  <c r="AO906" s="49"/>
      <c r="AP906" s="49"/>
      <c r="AQ906" s="49"/>
      <c r="AR906" s="49"/>
      <c r="AS906" s="49"/>
      <c r="AT906" s="49"/>
      <c r="AU906" s="49"/>
      <c r="AV906" s="49"/>
      <c r="AW906" s="49"/>
      <c r="AX906" s="49"/>
      <c r="AY906" s="49"/>
      <c r="AZ906" s="49"/>
      <c r="BA906" s="49"/>
      <c r="BB906" s="49"/>
      <c r="BC906" s="49"/>
      <c r="BD906" s="49"/>
      <c r="BE906" s="68"/>
    </row>
    <row r="907" spans="1:57" s="51" customFormat="1" ht="14.25" customHeight="1">
      <c r="A907" s="834"/>
      <c r="B907" s="868"/>
      <c r="C907" s="868"/>
      <c r="D907" s="62">
        <v>2021</v>
      </c>
      <c r="E907" s="63">
        <f t="shared" si="310"/>
        <v>1.04E-2</v>
      </c>
      <c r="F907" s="63">
        <f t="shared" si="312"/>
        <v>1.04E-2</v>
      </c>
      <c r="G907" s="63">
        <f t="shared" si="311"/>
        <v>0</v>
      </c>
      <c r="H907" s="63">
        <f t="shared" si="311"/>
        <v>0</v>
      </c>
      <c r="I907" s="63">
        <f t="shared" si="311"/>
        <v>0</v>
      </c>
      <c r="J907" s="63">
        <f t="shared" si="311"/>
        <v>0</v>
      </c>
      <c r="K907" s="86">
        <f t="shared" si="307"/>
        <v>1.04E-2</v>
      </c>
      <c r="L907" s="407"/>
      <c r="M907" s="88"/>
      <c r="N907" s="408"/>
      <c r="O907" s="157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  <c r="AO907" s="49"/>
      <c r="AP907" s="49"/>
      <c r="AQ907" s="49"/>
      <c r="AR907" s="49"/>
      <c r="AS907" s="49"/>
      <c r="AT907" s="49"/>
      <c r="AU907" s="49"/>
      <c r="AV907" s="49"/>
      <c r="AW907" s="49"/>
      <c r="AX907" s="49"/>
      <c r="AY907" s="49"/>
      <c r="AZ907" s="49"/>
      <c r="BA907" s="49"/>
      <c r="BB907" s="49"/>
      <c r="BC907" s="49"/>
      <c r="BD907" s="49"/>
      <c r="BE907" s="68"/>
    </row>
    <row r="908" spans="1:57" s="51" customFormat="1" ht="14.25" customHeight="1">
      <c r="A908" s="834"/>
      <c r="B908" s="868"/>
      <c r="C908" s="868"/>
      <c r="D908" s="62">
        <v>2022</v>
      </c>
      <c r="E908" s="63">
        <f t="shared" si="310"/>
        <v>1.04E-2</v>
      </c>
      <c r="F908" s="63">
        <f t="shared" si="312"/>
        <v>1.04E-2</v>
      </c>
      <c r="G908" s="63">
        <f t="shared" si="311"/>
        <v>0</v>
      </c>
      <c r="H908" s="63">
        <f t="shared" si="311"/>
        <v>0</v>
      </c>
      <c r="I908" s="63">
        <f t="shared" si="311"/>
        <v>0</v>
      </c>
      <c r="J908" s="63">
        <f t="shared" si="311"/>
        <v>0</v>
      </c>
      <c r="K908" s="86">
        <f t="shared" si="307"/>
        <v>1.04E-2</v>
      </c>
      <c r="L908" s="407"/>
      <c r="M908" s="88"/>
      <c r="N908" s="408"/>
      <c r="O908" s="157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  <c r="AO908" s="49"/>
      <c r="AP908" s="49"/>
      <c r="AQ908" s="49"/>
      <c r="AR908" s="49"/>
      <c r="AS908" s="49"/>
      <c r="AT908" s="49"/>
      <c r="AU908" s="49"/>
      <c r="AV908" s="49"/>
      <c r="AW908" s="49"/>
      <c r="AX908" s="49"/>
      <c r="AY908" s="49"/>
      <c r="AZ908" s="49"/>
      <c r="BA908" s="49"/>
      <c r="BB908" s="49"/>
      <c r="BC908" s="49"/>
      <c r="BD908" s="49"/>
      <c r="BE908" s="68"/>
    </row>
    <row r="909" spans="1:57" s="51" customFormat="1" ht="14.25" customHeight="1">
      <c r="A909" s="834"/>
      <c r="B909" s="868"/>
      <c r="C909" s="868"/>
      <c r="D909" s="62">
        <v>2023</v>
      </c>
      <c r="E909" s="63">
        <f t="shared" si="310"/>
        <v>0.01</v>
      </c>
      <c r="F909" s="63">
        <f t="shared" si="312"/>
        <v>0.01</v>
      </c>
      <c r="G909" s="63">
        <f t="shared" si="311"/>
        <v>0</v>
      </c>
      <c r="H909" s="63">
        <f t="shared" si="311"/>
        <v>0</v>
      </c>
      <c r="I909" s="63">
        <f t="shared" si="311"/>
        <v>0</v>
      </c>
      <c r="J909" s="63">
        <f t="shared" si="311"/>
        <v>0</v>
      </c>
      <c r="K909" s="86">
        <f t="shared" si="307"/>
        <v>0.01</v>
      </c>
      <c r="L909" s="407"/>
      <c r="M909" s="88"/>
      <c r="N909" s="408"/>
      <c r="O909" s="157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  <c r="AR909" s="49"/>
      <c r="AS909" s="49"/>
      <c r="AT909" s="49"/>
      <c r="AU909" s="49"/>
      <c r="AV909" s="49"/>
      <c r="AW909" s="49"/>
      <c r="AX909" s="49"/>
      <c r="AY909" s="49"/>
      <c r="AZ909" s="49"/>
      <c r="BA909" s="49"/>
      <c r="BB909" s="49"/>
      <c r="BC909" s="49"/>
      <c r="BD909" s="49"/>
      <c r="BE909" s="68"/>
    </row>
    <row r="910" spans="1:57" s="51" customFormat="1" ht="14.25" customHeight="1">
      <c r="A910" s="834"/>
      <c r="B910" s="868"/>
      <c r="C910" s="868"/>
      <c r="D910" s="62">
        <v>2024</v>
      </c>
      <c r="E910" s="63">
        <f t="shared" si="310"/>
        <v>0.01</v>
      </c>
      <c r="F910" s="63">
        <f t="shared" si="312"/>
        <v>0.01</v>
      </c>
      <c r="G910" s="63">
        <f t="shared" si="311"/>
        <v>0</v>
      </c>
      <c r="H910" s="63">
        <f t="shared" si="311"/>
        <v>0</v>
      </c>
      <c r="I910" s="63">
        <f t="shared" si="311"/>
        <v>0</v>
      </c>
      <c r="J910" s="63">
        <f t="shared" si="311"/>
        <v>0</v>
      </c>
      <c r="K910" s="86">
        <f t="shared" si="307"/>
        <v>0.01</v>
      </c>
      <c r="L910" s="407"/>
      <c r="M910" s="88"/>
      <c r="N910" s="408"/>
      <c r="O910" s="157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  <c r="AO910" s="49"/>
      <c r="AP910" s="49"/>
      <c r="AQ910" s="49"/>
      <c r="AR910" s="49"/>
      <c r="AS910" s="49"/>
      <c r="AT910" s="49"/>
      <c r="AU910" s="49"/>
      <c r="AV910" s="49"/>
      <c r="AW910" s="49"/>
      <c r="AX910" s="49"/>
      <c r="AY910" s="49"/>
      <c r="AZ910" s="49"/>
      <c r="BA910" s="49"/>
      <c r="BB910" s="49"/>
      <c r="BC910" s="49"/>
      <c r="BD910" s="49"/>
      <c r="BE910" s="68"/>
    </row>
    <row r="911" spans="1:57" s="51" customFormat="1" ht="14.25" customHeight="1">
      <c r="A911" s="834"/>
      <c r="B911" s="868"/>
      <c r="C911" s="868"/>
      <c r="D911" s="62">
        <v>2025</v>
      </c>
      <c r="E911" s="63">
        <f t="shared" si="310"/>
        <v>0.01</v>
      </c>
      <c r="F911" s="63">
        <f t="shared" si="312"/>
        <v>0.01</v>
      </c>
      <c r="G911" s="63">
        <f t="shared" si="311"/>
        <v>0</v>
      </c>
      <c r="H911" s="63">
        <f t="shared" si="311"/>
        <v>0</v>
      </c>
      <c r="I911" s="63">
        <f t="shared" si="311"/>
        <v>0</v>
      </c>
      <c r="J911" s="63">
        <f t="shared" si="311"/>
        <v>0</v>
      </c>
      <c r="K911" s="86">
        <f t="shared" si="307"/>
        <v>0.01</v>
      </c>
      <c r="L911" s="407"/>
      <c r="M911" s="88"/>
      <c r="N911" s="408"/>
      <c r="O911" s="157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  <c r="AO911" s="49"/>
      <c r="AP911" s="49"/>
      <c r="AQ911" s="49"/>
      <c r="AR911" s="49"/>
      <c r="AS911" s="49"/>
      <c r="AT911" s="49"/>
      <c r="AU911" s="49"/>
      <c r="AV911" s="49"/>
      <c r="AW911" s="49"/>
      <c r="AX911" s="49"/>
      <c r="AY911" s="49"/>
      <c r="AZ911" s="49"/>
      <c r="BA911" s="49"/>
      <c r="BB911" s="49"/>
      <c r="BC911" s="49"/>
      <c r="BD911" s="49"/>
      <c r="BE911" s="68"/>
    </row>
    <row r="912" spans="1:57" s="51" customFormat="1" ht="14.25" customHeight="1">
      <c r="A912" s="834"/>
      <c r="B912" s="868"/>
      <c r="C912" s="868"/>
      <c r="D912" s="62">
        <v>2026</v>
      </c>
      <c r="E912" s="63">
        <f t="shared" si="310"/>
        <v>1.04E-2</v>
      </c>
      <c r="F912" s="63">
        <f t="shared" si="312"/>
        <v>1.04E-2</v>
      </c>
      <c r="G912" s="63">
        <f t="shared" si="311"/>
        <v>0</v>
      </c>
      <c r="H912" s="63">
        <f t="shared" si="311"/>
        <v>0</v>
      </c>
      <c r="I912" s="63">
        <f t="shared" si="311"/>
        <v>0</v>
      </c>
      <c r="J912" s="63">
        <f t="shared" si="311"/>
        <v>0</v>
      </c>
      <c r="K912" s="86">
        <f t="shared" si="307"/>
        <v>1.04E-2</v>
      </c>
      <c r="L912" s="407"/>
      <c r="M912" s="88"/>
      <c r="N912" s="408"/>
      <c r="O912" s="157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  <c r="AO912" s="49"/>
      <c r="AP912" s="49"/>
      <c r="AQ912" s="49"/>
      <c r="AR912" s="49"/>
      <c r="AS912" s="49"/>
      <c r="AT912" s="49"/>
      <c r="AU912" s="49"/>
      <c r="AV912" s="49"/>
      <c r="AW912" s="49"/>
      <c r="AX912" s="49"/>
      <c r="AY912" s="49"/>
      <c r="AZ912" s="49"/>
      <c r="BA912" s="49"/>
      <c r="BB912" s="49"/>
      <c r="BC912" s="49"/>
      <c r="BD912" s="49"/>
      <c r="BE912" s="68"/>
    </row>
    <row r="913" spans="1:57" s="51" customFormat="1" ht="14.25" customHeight="1">
      <c r="A913" s="834"/>
      <c r="B913" s="868"/>
      <c r="C913" s="868"/>
      <c r="D913" s="62">
        <v>2027</v>
      </c>
      <c r="E913" s="63">
        <f t="shared" si="310"/>
        <v>1.0800000000000001E-2</v>
      </c>
      <c r="F913" s="63">
        <f t="shared" si="312"/>
        <v>1.0800000000000001E-2</v>
      </c>
      <c r="G913" s="63">
        <f t="shared" si="311"/>
        <v>0</v>
      </c>
      <c r="H913" s="63">
        <f t="shared" si="311"/>
        <v>0</v>
      </c>
      <c r="I913" s="63">
        <f t="shared" si="311"/>
        <v>0</v>
      </c>
      <c r="J913" s="63">
        <f t="shared" si="311"/>
        <v>0</v>
      </c>
      <c r="K913" s="86">
        <f t="shared" si="307"/>
        <v>1.0800000000000001E-2</v>
      </c>
      <c r="L913" s="407"/>
      <c r="M913" s="88"/>
      <c r="N913" s="408"/>
      <c r="O913" s="157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  <c r="AO913" s="49"/>
      <c r="AP913" s="49"/>
      <c r="AQ913" s="49"/>
      <c r="AR913" s="49"/>
      <c r="AS913" s="49"/>
      <c r="AT913" s="49"/>
      <c r="AU913" s="49"/>
      <c r="AV913" s="49"/>
      <c r="AW913" s="49"/>
      <c r="AX913" s="49"/>
      <c r="AY913" s="49"/>
      <c r="AZ913" s="49"/>
      <c r="BA913" s="49"/>
      <c r="BB913" s="49"/>
      <c r="BC913" s="49"/>
      <c r="BD913" s="49"/>
      <c r="BE913" s="68"/>
    </row>
    <row r="914" spans="1:57" s="51" customFormat="1" ht="14.25" customHeight="1">
      <c r="A914" s="834"/>
      <c r="B914" s="868"/>
      <c r="C914" s="868"/>
      <c r="D914" s="62">
        <v>2028</v>
      </c>
      <c r="E914" s="63">
        <f t="shared" si="310"/>
        <v>1.12E-2</v>
      </c>
      <c r="F914" s="63">
        <f t="shared" si="312"/>
        <v>1.12E-2</v>
      </c>
      <c r="G914" s="63">
        <f t="shared" si="311"/>
        <v>0</v>
      </c>
      <c r="H914" s="63">
        <f t="shared" si="311"/>
        <v>0</v>
      </c>
      <c r="I914" s="63">
        <f t="shared" si="311"/>
        <v>0</v>
      </c>
      <c r="J914" s="63">
        <f t="shared" si="311"/>
        <v>0</v>
      </c>
      <c r="K914" s="86">
        <f t="shared" si="307"/>
        <v>1.12E-2</v>
      </c>
      <c r="L914" s="407"/>
      <c r="M914" s="88"/>
      <c r="N914" s="408"/>
      <c r="O914" s="157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  <c r="AO914" s="49"/>
      <c r="AP914" s="49"/>
      <c r="AQ914" s="49"/>
      <c r="AR914" s="49"/>
      <c r="AS914" s="49"/>
      <c r="AT914" s="49"/>
      <c r="AU914" s="49"/>
      <c r="AV914" s="49"/>
      <c r="AW914" s="49"/>
      <c r="AX914" s="49"/>
      <c r="AY914" s="49"/>
      <c r="AZ914" s="49"/>
      <c r="BA914" s="49"/>
      <c r="BB914" s="49"/>
      <c r="BC914" s="49"/>
      <c r="BD914" s="49"/>
      <c r="BE914" s="68"/>
    </row>
    <row r="915" spans="1:57" s="51" customFormat="1" ht="14.25" customHeight="1">
      <c r="A915" s="834"/>
      <c r="B915" s="868"/>
      <c r="C915" s="868"/>
      <c r="D915" s="62">
        <v>2029</v>
      </c>
      <c r="E915" s="63">
        <f t="shared" si="310"/>
        <v>1.17E-2</v>
      </c>
      <c r="F915" s="63">
        <f t="shared" si="312"/>
        <v>1.17E-2</v>
      </c>
      <c r="G915" s="63">
        <f t="shared" si="311"/>
        <v>0</v>
      </c>
      <c r="H915" s="63">
        <f t="shared" si="311"/>
        <v>0</v>
      </c>
      <c r="I915" s="63">
        <f t="shared" si="311"/>
        <v>0</v>
      </c>
      <c r="J915" s="63">
        <f t="shared" si="311"/>
        <v>0</v>
      </c>
      <c r="K915" s="86">
        <f t="shared" si="307"/>
        <v>1.17E-2</v>
      </c>
      <c r="L915" s="407"/>
      <c r="M915" s="88"/>
      <c r="N915" s="408"/>
      <c r="O915" s="157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49"/>
      <c r="AU915" s="49"/>
      <c r="AV915" s="49"/>
      <c r="AW915" s="49"/>
      <c r="AX915" s="49"/>
      <c r="AY915" s="49"/>
      <c r="AZ915" s="49"/>
      <c r="BA915" s="49"/>
      <c r="BB915" s="49"/>
      <c r="BC915" s="49"/>
      <c r="BD915" s="49"/>
      <c r="BE915" s="68"/>
    </row>
    <row r="916" spans="1:57" s="51" customFormat="1" ht="14.25" customHeight="1">
      <c r="A916" s="835"/>
      <c r="B916" s="869"/>
      <c r="C916" s="869"/>
      <c r="D916" s="62">
        <v>2030</v>
      </c>
      <c r="E916" s="63">
        <f t="shared" si="310"/>
        <v>1.2200000000000001E-2</v>
      </c>
      <c r="F916" s="63">
        <f t="shared" si="312"/>
        <v>1.2200000000000001E-2</v>
      </c>
      <c r="G916" s="63">
        <f t="shared" si="311"/>
        <v>0</v>
      </c>
      <c r="H916" s="63">
        <f t="shared" si="311"/>
        <v>0</v>
      </c>
      <c r="I916" s="63">
        <f t="shared" si="311"/>
        <v>0</v>
      </c>
      <c r="J916" s="63">
        <f t="shared" si="311"/>
        <v>0</v>
      </c>
      <c r="K916" s="86">
        <f t="shared" si="307"/>
        <v>1.2200000000000001E-2</v>
      </c>
      <c r="L916" s="407"/>
      <c r="M916" s="88"/>
      <c r="N916" s="408"/>
      <c r="O916" s="157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  <c r="AO916" s="49"/>
      <c r="AP916" s="49"/>
      <c r="AQ916" s="49"/>
      <c r="AR916" s="49"/>
      <c r="AS916" s="49"/>
      <c r="AT916" s="49"/>
      <c r="AU916" s="49"/>
      <c r="AV916" s="49"/>
      <c r="AW916" s="49"/>
      <c r="AX916" s="49"/>
      <c r="AY916" s="49"/>
      <c r="AZ916" s="49"/>
      <c r="BA916" s="49"/>
      <c r="BB916" s="49"/>
      <c r="BC916" s="49"/>
      <c r="BD916" s="49"/>
      <c r="BE916" s="68"/>
    </row>
    <row r="917" spans="1:57" s="51" customFormat="1" ht="14.25" customHeight="1">
      <c r="A917" s="1069" t="s">
        <v>965</v>
      </c>
      <c r="B917" s="867" t="s">
        <v>966</v>
      </c>
      <c r="C917" s="61"/>
      <c r="D917" s="84" t="s">
        <v>16</v>
      </c>
      <c r="E917" s="85">
        <f t="shared" ref="E917:J917" si="313">E918+E919+E920+E921+E922+E923+E924+E925+E926+E927+E928+E929</f>
        <v>0.11747</v>
      </c>
      <c r="F917" s="85">
        <f t="shared" si="313"/>
        <v>0.11747</v>
      </c>
      <c r="G917" s="85">
        <f t="shared" si="313"/>
        <v>0</v>
      </c>
      <c r="H917" s="85">
        <f t="shared" si="313"/>
        <v>0</v>
      </c>
      <c r="I917" s="85">
        <f t="shared" si="313"/>
        <v>0</v>
      </c>
      <c r="J917" s="85">
        <f t="shared" si="313"/>
        <v>0</v>
      </c>
      <c r="K917" s="86">
        <f t="shared" si="307"/>
        <v>0.11747</v>
      </c>
      <c r="L917" s="407"/>
      <c r="M917" s="88"/>
      <c r="N917" s="408"/>
      <c r="O917" s="995" t="s">
        <v>527</v>
      </c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  <c r="AO917" s="49"/>
      <c r="AP917" s="49"/>
      <c r="AQ917" s="49"/>
      <c r="AR917" s="49"/>
      <c r="AS917" s="49"/>
      <c r="AT917" s="49"/>
      <c r="AU917" s="49"/>
      <c r="AV917" s="49"/>
      <c r="AW917" s="49"/>
      <c r="AX917" s="49"/>
      <c r="AY917" s="49"/>
      <c r="AZ917" s="49"/>
      <c r="BA917" s="49"/>
      <c r="BB917" s="49"/>
      <c r="BC917" s="49"/>
      <c r="BD917" s="49"/>
      <c r="BE917" s="68"/>
    </row>
    <row r="918" spans="1:57" s="51" customFormat="1" ht="14.25" customHeight="1">
      <c r="A918" s="834"/>
      <c r="B918" s="868"/>
      <c r="C918" s="60" t="s">
        <v>955</v>
      </c>
      <c r="D918" s="62">
        <v>2019</v>
      </c>
      <c r="E918" s="63">
        <f t="shared" ref="E918:E929" si="314">F918+G918+H918+I918+J918</f>
        <v>0</v>
      </c>
      <c r="F918" s="63">
        <v>0</v>
      </c>
      <c r="G918" s="63">
        <v>0</v>
      </c>
      <c r="H918" s="63">
        <v>0</v>
      </c>
      <c r="I918" s="63">
        <v>0</v>
      </c>
      <c r="J918" s="63">
        <v>0</v>
      </c>
      <c r="K918" s="86">
        <f t="shared" si="307"/>
        <v>0</v>
      </c>
      <c r="L918" s="407"/>
      <c r="M918" s="88"/>
      <c r="N918" s="408"/>
      <c r="O918" s="1030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  <c r="AO918" s="49"/>
      <c r="AP918" s="49"/>
      <c r="AQ918" s="49"/>
      <c r="AR918" s="49"/>
      <c r="AS918" s="49"/>
      <c r="AT918" s="49"/>
      <c r="AU918" s="49"/>
      <c r="AV918" s="49"/>
      <c r="AW918" s="49"/>
      <c r="AX918" s="49"/>
      <c r="AY918" s="49"/>
      <c r="AZ918" s="49"/>
      <c r="BA918" s="49"/>
      <c r="BB918" s="49"/>
      <c r="BC918" s="49"/>
      <c r="BD918" s="49"/>
      <c r="BE918" s="68"/>
    </row>
    <row r="919" spans="1:57" s="219" customFormat="1" ht="14.25" customHeight="1">
      <c r="A919" s="834"/>
      <c r="B919" s="868"/>
      <c r="C919" s="867" t="s">
        <v>956</v>
      </c>
      <c r="D919" s="197">
        <v>2020</v>
      </c>
      <c r="E919" s="198">
        <f t="shared" si="314"/>
        <v>1.0370000000000001E-2</v>
      </c>
      <c r="F919" s="198">
        <v>1.0370000000000001E-2</v>
      </c>
      <c r="G919" s="198">
        <v>0</v>
      </c>
      <c r="H919" s="198">
        <v>0</v>
      </c>
      <c r="I919" s="198">
        <v>0</v>
      </c>
      <c r="J919" s="198">
        <v>0</v>
      </c>
      <c r="K919" s="129">
        <f t="shared" si="307"/>
        <v>1.0370000000000001E-2</v>
      </c>
      <c r="L919" s="413"/>
      <c r="M919" s="220"/>
      <c r="N919" s="414"/>
      <c r="O919" s="1030"/>
      <c r="P919" s="221"/>
      <c r="Q919" s="221"/>
      <c r="R919" s="221"/>
      <c r="S919" s="221"/>
      <c r="T919" s="221"/>
      <c r="U919" s="221"/>
      <c r="V919" s="221"/>
      <c r="W919" s="221"/>
      <c r="X919" s="221"/>
      <c r="Y919" s="221"/>
      <c r="Z919" s="221"/>
      <c r="AA919" s="221"/>
      <c r="AB919" s="221"/>
      <c r="AC919" s="221"/>
      <c r="AD919" s="221"/>
      <c r="AE919" s="221"/>
      <c r="AF919" s="221"/>
      <c r="AG919" s="221"/>
      <c r="AH919" s="221"/>
      <c r="AI919" s="221"/>
      <c r="AJ919" s="221"/>
      <c r="AK919" s="221"/>
      <c r="AL919" s="221"/>
      <c r="AM919" s="221"/>
      <c r="AN919" s="221"/>
      <c r="AO919" s="221"/>
      <c r="AP919" s="221"/>
      <c r="AQ919" s="221"/>
      <c r="AR919" s="221"/>
      <c r="AS919" s="221"/>
      <c r="AT919" s="221"/>
      <c r="AU919" s="221"/>
      <c r="AV919" s="221"/>
      <c r="AW919" s="221"/>
      <c r="AX919" s="221"/>
      <c r="AY919" s="221"/>
      <c r="AZ919" s="221"/>
      <c r="BA919" s="221"/>
      <c r="BB919" s="221"/>
      <c r="BC919" s="221"/>
      <c r="BD919" s="221"/>
      <c r="BE919" s="222"/>
    </row>
    <row r="920" spans="1:57" s="219" customFormat="1" ht="14.25" customHeight="1">
      <c r="A920" s="834"/>
      <c r="B920" s="868"/>
      <c r="C920" s="872"/>
      <c r="D920" s="197">
        <v>2021</v>
      </c>
      <c r="E920" s="198">
        <f t="shared" si="314"/>
        <v>1.04E-2</v>
      </c>
      <c r="F920" s="198">
        <v>1.04E-2</v>
      </c>
      <c r="G920" s="198">
        <v>0</v>
      </c>
      <c r="H920" s="198">
        <v>0</v>
      </c>
      <c r="I920" s="198">
        <v>0</v>
      </c>
      <c r="J920" s="198">
        <v>0</v>
      </c>
      <c r="K920" s="129">
        <f t="shared" si="307"/>
        <v>1.04E-2</v>
      </c>
      <c r="L920" s="413"/>
      <c r="M920" s="220"/>
      <c r="N920" s="414"/>
      <c r="O920" s="1030"/>
      <c r="P920" s="221"/>
      <c r="Q920" s="221"/>
      <c r="R920" s="221"/>
      <c r="S920" s="221"/>
      <c r="T920" s="221"/>
      <c r="U920" s="221"/>
      <c r="V920" s="221"/>
      <c r="W920" s="221"/>
      <c r="X920" s="221"/>
      <c r="Y920" s="221"/>
      <c r="Z920" s="221"/>
      <c r="AA920" s="221"/>
      <c r="AB920" s="221"/>
      <c r="AC920" s="221"/>
      <c r="AD920" s="221"/>
      <c r="AE920" s="221"/>
      <c r="AF920" s="221"/>
      <c r="AG920" s="221"/>
      <c r="AH920" s="221"/>
      <c r="AI920" s="221"/>
      <c r="AJ920" s="221"/>
      <c r="AK920" s="221"/>
      <c r="AL920" s="221"/>
      <c r="AM920" s="221"/>
      <c r="AN920" s="221"/>
      <c r="AO920" s="221"/>
      <c r="AP920" s="221"/>
      <c r="AQ920" s="221"/>
      <c r="AR920" s="221"/>
      <c r="AS920" s="221"/>
      <c r="AT920" s="221"/>
      <c r="AU920" s="221"/>
      <c r="AV920" s="221"/>
      <c r="AW920" s="221"/>
      <c r="AX920" s="221"/>
      <c r="AY920" s="221"/>
      <c r="AZ920" s="221"/>
      <c r="BA920" s="221"/>
      <c r="BB920" s="221"/>
      <c r="BC920" s="221"/>
      <c r="BD920" s="221"/>
      <c r="BE920" s="222"/>
    </row>
    <row r="921" spans="1:57" s="219" customFormat="1" ht="14.25" customHeight="1">
      <c r="A921" s="834"/>
      <c r="B921" s="868"/>
      <c r="C921" s="872"/>
      <c r="D921" s="197">
        <v>2022</v>
      </c>
      <c r="E921" s="198">
        <f t="shared" si="314"/>
        <v>1.04E-2</v>
      </c>
      <c r="F921" s="198">
        <v>1.04E-2</v>
      </c>
      <c r="G921" s="198">
        <v>0</v>
      </c>
      <c r="H921" s="198">
        <v>0</v>
      </c>
      <c r="I921" s="198">
        <v>0</v>
      </c>
      <c r="J921" s="198">
        <v>0</v>
      </c>
      <c r="K921" s="129">
        <f t="shared" si="307"/>
        <v>1.04E-2</v>
      </c>
      <c r="L921" s="413"/>
      <c r="M921" s="220"/>
      <c r="N921" s="414"/>
      <c r="O921" s="1030"/>
      <c r="P921" s="221"/>
      <c r="Q921" s="221"/>
      <c r="R921" s="221"/>
      <c r="S921" s="221"/>
      <c r="T921" s="221"/>
      <c r="U921" s="221"/>
      <c r="V921" s="221"/>
      <c r="W921" s="221"/>
      <c r="X921" s="221"/>
      <c r="Y921" s="221"/>
      <c r="Z921" s="221"/>
      <c r="AA921" s="221"/>
      <c r="AB921" s="221"/>
      <c r="AC921" s="221"/>
      <c r="AD921" s="221"/>
      <c r="AE921" s="221"/>
      <c r="AF921" s="221"/>
      <c r="AG921" s="221"/>
      <c r="AH921" s="221"/>
      <c r="AI921" s="221"/>
      <c r="AJ921" s="221"/>
      <c r="AK921" s="221"/>
      <c r="AL921" s="221"/>
      <c r="AM921" s="221"/>
      <c r="AN921" s="221"/>
      <c r="AO921" s="221"/>
      <c r="AP921" s="221"/>
      <c r="AQ921" s="221"/>
      <c r="AR921" s="221"/>
      <c r="AS921" s="221"/>
      <c r="AT921" s="221"/>
      <c r="AU921" s="221"/>
      <c r="AV921" s="221"/>
      <c r="AW921" s="221"/>
      <c r="AX921" s="221"/>
      <c r="AY921" s="221"/>
      <c r="AZ921" s="221"/>
      <c r="BA921" s="221"/>
      <c r="BB921" s="221"/>
      <c r="BC921" s="221"/>
      <c r="BD921" s="221"/>
      <c r="BE921" s="222"/>
    </row>
    <row r="922" spans="1:57" s="51" customFormat="1" ht="14.25" customHeight="1">
      <c r="A922" s="834"/>
      <c r="B922" s="868"/>
      <c r="C922" s="872"/>
      <c r="D922" s="62">
        <v>2023</v>
      </c>
      <c r="E922" s="63">
        <f t="shared" si="314"/>
        <v>0.01</v>
      </c>
      <c r="F922" s="63">
        <v>0.01</v>
      </c>
      <c r="G922" s="63">
        <v>0</v>
      </c>
      <c r="H922" s="63">
        <v>0</v>
      </c>
      <c r="I922" s="63">
        <v>0</v>
      </c>
      <c r="J922" s="63">
        <v>0</v>
      </c>
      <c r="K922" s="86">
        <f t="shared" si="307"/>
        <v>0.01</v>
      </c>
      <c r="L922" s="407"/>
      <c r="M922" s="88"/>
      <c r="N922" s="408"/>
      <c r="O922" s="1030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  <c r="AO922" s="49"/>
      <c r="AP922" s="49"/>
      <c r="AQ922" s="49"/>
      <c r="AR922" s="49"/>
      <c r="AS922" s="49"/>
      <c r="AT922" s="49"/>
      <c r="AU922" s="49"/>
      <c r="AV922" s="49"/>
      <c r="AW922" s="49"/>
      <c r="AX922" s="49"/>
      <c r="AY922" s="49"/>
      <c r="AZ922" s="49"/>
      <c r="BA922" s="49"/>
      <c r="BB922" s="49"/>
      <c r="BC922" s="49"/>
      <c r="BD922" s="49"/>
      <c r="BE922" s="68"/>
    </row>
    <row r="923" spans="1:57" s="51" customFormat="1" ht="14.25" customHeight="1">
      <c r="A923" s="834"/>
      <c r="B923" s="868"/>
      <c r="C923" s="872"/>
      <c r="D923" s="62">
        <v>2024</v>
      </c>
      <c r="E923" s="63">
        <f t="shared" si="314"/>
        <v>0.01</v>
      </c>
      <c r="F923" s="63">
        <v>0.01</v>
      </c>
      <c r="G923" s="63">
        <v>0</v>
      </c>
      <c r="H923" s="63">
        <v>0</v>
      </c>
      <c r="I923" s="63">
        <v>0</v>
      </c>
      <c r="J923" s="63">
        <v>0</v>
      </c>
      <c r="K923" s="86">
        <f t="shared" si="307"/>
        <v>0.01</v>
      </c>
      <c r="L923" s="407"/>
      <c r="M923" s="88"/>
      <c r="N923" s="408"/>
      <c r="O923" s="1030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  <c r="AO923" s="49"/>
      <c r="AP923" s="49"/>
      <c r="AQ923" s="49"/>
      <c r="AR923" s="49"/>
      <c r="AS923" s="49"/>
      <c r="AT923" s="49"/>
      <c r="AU923" s="49"/>
      <c r="AV923" s="49"/>
      <c r="AW923" s="49"/>
      <c r="AX923" s="49"/>
      <c r="AY923" s="49"/>
      <c r="AZ923" s="49"/>
      <c r="BA923" s="49"/>
      <c r="BB923" s="49"/>
      <c r="BC923" s="49"/>
      <c r="BD923" s="49"/>
      <c r="BE923" s="68"/>
    </row>
    <row r="924" spans="1:57" s="51" customFormat="1" ht="14.25" customHeight="1">
      <c r="A924" s="834"/>
      <c r="B924" s="868"/>
      <c r="C924" s="873"/>
      <c r="D924" s="62">
        <v>2025</v>
      </c>
      <c r="E924" s="63">
        <f t="shared" si="314"/>
        <v>0.01</v>
      </c>
      <c r="F924" s="63">
        <v>0.01</v>
      </c>
      <c r="G924" s="63">
        <v>0</v>
      </c>
      <c r="H924" s="63">
        <v>0</v>
      </c>
      <c r="I924" s="63">
        <v>0</v>
      </c>
      <c r="J924" s="63">
        <v>0</v>
      </c>
      <c r="K924" s="86">
        <f t="shared" si="307"/>
        <v>0.01</v>
      </c>
      <c r="L924" s="407"/>
      <c r="M924" s="88"/>
      <c r="N924" s="408"/>
      <c r="O924" s="1030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  <c r="AO924" s="49"/>
      <c r="AP924" s="49"/>
      <c r="AQ924" s="49"/>
      <c r="AR924" s="49"/>
      <c r="AS924" s="49"/>
      <c r="AT924" s="49"/>
      <c r="AU924" s="49"/>
      <c r="AV924" s="49"/>
      <c r="AW924" s="49"/>
      <c r="AX924" s="49"/>
      <c r="AY924" s="49"/>
      <c r="AZ924" s="49"/>
      <c r="BA924" s="49"/>
      <c r="BB924" s="49"/>
      <c r="BC924" s="49"/>
      <c r="BD924" s="49"/>
      <c r="BE924" s="68"/>
    </row>
    <row r="925" spans="1:57" s="51" customFormat="1" ht="14.25" customHeight="1">
      <c r="A925" s="834"/>
      <c r="B925" s="868"/>
      <c r="C925" s="867" t="s">
        <v>967</v>
      </c>
      <c r="D925" s="62">
        <v>2026</v>
      </c>
      <c r="E925" s="63">
        <f t="shared" si="314"/>
        <v>1.04E-2</v>
      </c>
      <c r="F925" s="63">
        <v>1.04E-2</v>
      </c>
      <c r="G925" s="63">
        <v>0</v>
      </c>
      <c r="H925" s="63">
        <v>0</v>
      </c>
      <c r="I925" s="63">
        <v>0</v>
      </c>
      <c r="J925" s="63">
        <v>0</v>
      </c>
      <c r="K925" s="86">
        <f t="shared" si="307"/>
        <v>1.04E-2</v>
      </c>
      <c r="L925" s="407"/>
      <c r="M925" s="88"/>
      <c r="N925" s="408"/>
      <c r="O925" s="1030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  <c r="AT925" s="49"/>
      <c r="AU925" s="49"/>
      <c r="AV925" s="49"/>
      <c r="AW925" s="49"/>
      <c r="AX925" s="49"/>
      <c r="AY925" s="49"/>
      <c r="AZ925" s="49"/>
      <c r="BA925" s="49"/>
      <c r="BB925" s="49"/>
      <c r="BC925" s="49"/>
      <c r="BD925" s="49"/>
      <c r="BE925" s="68"/>
    </row>
    <row r="926" spans="1:57" s="51" customFormat="1" ht="14.25" customHeight="1">
      <c r="A926" s="834"/>
      <c r="B926" s="868"/>
      <c r="C926" s="868"/>
      <c r="D926" s="62">
        <v>2027</v>
      </c>
      <c r="E926" s="63">
        <f t="shared" si="314"/>
        <v>1.0800000000000001E-2</v>
      </c>
      <c r="F926" s="63">
        <v>1.0800000000000001E-2</v>
      </c>
      <c r="G926" s="63">
        <v>0</v>
      </c>
      <c r="H926" s="63">
        <v>0</v>
      </c>
      <c r="I926" s="63">
        <v>0</v>
      </c>
      <c r="J926" s="63">
        <v>0</v>
      </c>
      <c r="K926" s="86">
        <f t="shared" si="307"/>
        <v>1.0800000000000001E-2</v>
      </c>
      <c r="L926" s="407"/>
      <c r="M926" s="88"/>
      <c r="N926" s="408"/>
      <c r="O926" s="1030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  <c r="AT926" s="49"/>
      <c r="AU926" s="49"/>
      <c r="AV926" s="49"/>
      <c r="AW926" s="49"/>
      <c r="AX926" s="49"/>
      <c r="AY926" s="49"/>
      <c r="AZ926" s="49"/>
      <c r="BA926" s="49"/>
      <c r="BB926" s="49"/>
      <c r="BC926" s="49"/>
      <c r="BD926" s="49"/>
      <c r="BE926" s="68"/>
    </row>
    <row r="927" spans="1:57" s="51" customFormat="1" ht="14.25" customHeight="1">
      <c r="A927" s="834"/>
      <c r="B927" s="868"/>
      <c r="C927" s="868"/>
      <c r="D927" s="62">
        <v>2028</v>
      </c>
      <c r="E927" s="63">
        <f t="shared" si="314"/>
        <v>1.12E-2</v>
      </c>
      <c r="F927" s="63">
        <v>1.12E-2</v>
      </c>
      <c r="G927" s="63">
        <v>0</v>
      </c>
      <c r="H927" s="63">
        <v>0</v>
      </c>
      <c r="I927" s="63">
        <v>0</v>
      </c>
      <c r="J927" s="63">
        <v>0</v>
      </c>
      <c r="K927" s="86">
        <f t="shared" si="307"/>
        <v>1.12E-2</v>
      </c>
      <c r="L927" s="407"/>
      <c r="M927" s="88"/>
      <c r="N927" s="408"/>
      <c r="O927" s="1030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  <c r="AO927" s="49"/>
      <c r="AP927" s="49"/>
      <c r="AQ927" s="49"/>
      <c r="AR927" s="49"/>
      <c r="AS927" s="49"/>
      <c r="AT927" s="49"/>
      <c r="AU927" s="49"/>
      <c r="AV927" s="49"/>
      <c r="AW927" s="49"/>
      <c r="AX927" s="49"/>
      <c r="AY927" s="49"/>
      <c r="AZ927" s="49"/>
      <c r="BA927" s="49"/>
      <c r="BB927" s="49"/>
      <c r="BC927" s="49"/>
      <c r="BD927" s="49"/>
      <c r="BE927" s="68"/>
    </row>
    <row r="928" spans="1:57" s="51" customFormat="1" ht="14.25" customHeight="1">
      <c r="A928" s="834"/>
      <c r="B928" s="868"/>
      <c r="C928" s="868"/>
      <c r="D928" s="62">
        <v>2029</v>
      </c>
      <c r="E928" s="63">
        <f t="shared" si="314"/>
        <v>1.17E-2</v>
      </c>
      <c r="F928" s="63">
        <v>1.17E-2</v>
      </c>
      <c r="G928" s="63">
        <v>0</v>
      </c>
      <c r="H928" s="63">
        <v>0</v>
      </c>
      <c r="I928" s="63">
        <v>0</v>
      </c>
      <c r="J928" s="63">
        <v>0</v>
      </c>
      <c r="K928" s="86">
        <f t="shared" si="307"/>
        <v>1.17E-2</v>
      </c>
      <c r="L928" s="407"/>
      <c r="M928" s="88"/>
      <c r="N928" s="408"/>
      <c r="O928" s="1030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49"/>
      <c r="AU928" s="49"/>
      <c r="AV928" s="49"/>
      <c r="AW928" s="49"/>
      <c r="AX928" s="49"/>
      <c r="AY928" s="49"/>
      <c r="AZ928" s="49"/>
      <c r="BA928" s="49"/>
      <c r="BB928" s="49"/>
      <c r="BC928" s="49"/>
      <c r="BD928" s="49"/>
      <c r="BE928" s="68"/>
    </row>
    <row r="929" spans="1:57" s="51" customFormat="1" ht="14.25" customHeight="1">
      <c r="A929" s="835"/>
      <c r="B929" s="869"/>
      <c r="C929" s="869"/>
      <c r="D929" s="62">
        <v>2030</v>
      </c>
      <c r="E929" s="63">
        <f t="shared" si="314"/>
        <v>1.2200000000000001E-2</v>
      </c>
      <c r="F929" s="63">
        <v>1.2200000000000001E-2</v>
      </c>
      <c r="G929" s="63">
        <v>0</v>
      </c>
      <c r="H929" s="63">
        <v>0</v>
      </c>
      <c r="I929" s="63">
        <v>0</v>
      </c>
      <c r="J929" s="63">
        <v>0</v>
      </c>
      <c r="K929" s="86">
        <f t="shared" si="307"/>
        <v>1.2200000000000001E-2</v>
      </c>
      <c r="L929" s="407"/>
      <c r="M929" s="88"/>
      <c r="N929" s="408"/>
      <c r="O929" s="996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  <c r="AO929" s="49"/>
      <c r="AP929" s="49"/>
      <c r="AQ929" s="49"/>
      <c r="AR929" s="49"/>
      <c r="AS929" s="49"/>
      <c r="AT929" s="49"/>
      <c r="AU929" s="49"/>
      <c r="AV929" s="49"/>
      <c r="AW929" s="49"/>
      <c r="AX929" s="49"/>
      <c r="AY929" s="49"/>
      <c r="AZ929" s="49"/>
      <c r="BA929" s="49"/>
      <c r="BB929" s="49"/>
      <c r="BC929" s="49"/>
      <c r="BD929" s="49"/>
      <c r="BE929" s="68"/>
    </row>
    <row r="930" spans="1:57" s="51" customFormat="1" ht="14.25" customHeight="1">
      <c r="A930" s="1024" t="s">
        <v>968</v>
      </c>
      <c r="B930" s="929" t="s">
        <v>969</v>
      </c>
      <c r="D930" s="84" t="s">
        <v>16</v>
      </c>
      <c r="E930" s="85">
        <f t="shared" ref="E930:J942" si="315">E943</f>
        <v>1.15229</v>
      </c>
      <c r="F930" s="85">
        <f t="shared" si="315"/>
        <v>1.15229</v>
      </c>
      <c r="G930" s="85">
        <f t="shared" si="315"/>
        <v>0</v>
      </c>
      <c r="H930" s="85">
        <f t="shared" si="315"/>
        <v>0</v>
      </c>
      <c r="I930" s="85">
        <f t="shared" si="315"/>
        <v>0</v>
      </c>
      <c r="J930" s="85">
        <f t="shared" si="315"/>
        <v>0</v>
      </c>
      <c r="K930" s="86">
        <f t="shared" si="307"/>
        <v>1.15229</v>
      </c>
      <c r="L930" s="407"/>
      <c r="M930" s="88"/>
      <c r="N930" s="408"/>
      <c r="O930" s="157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  <c r="AO930" s="49"/>
      <c r="AP930" s="49"/>
      <c r="AQ930" s="49"/>
      <c r="AR930" s="49"/>
      <c r="AS930" s="49"/>
      <c r="AT930" s="49"/>
      <c r="AU930" s="49"/>
      <c r="AV930" s="49"/>
      <c r="AW930" s="49"/>
      <c r="AX930" s="49"/>
      <c r="AY930" s="49"/>
      <c r="AZ930" s="49"/>
      <c r="BA930" s="49"/>
      <c r="BB930" s="49"/>
      <c r="BC930" s="49"/>
      <c r="BD930" s="49"/>
      <c r="BE930" s="68"/>
    </row>
    <row r="931" spans="1:57" s="51" customFormat="1" ht="14.25" customHeight="1">
      <c r="A931" s="959"/>
      <c r="B931" s="868"/>
      <c r="C931" s="94"/>
      <c r="D931" s="62">
        <v>2019</v>
      </c>
      <c r="E931" s="63">
        <f t="shared" si="315"/>
        <v>5.4999999999999997E-3</v>
      </c>
      <c r="F931" s="63">
        <f t="shared" si="315"/>
        <v>5.4999999999999997E-3</v>
      </c>
      <c r="G931" s="63">
        <f t="shared" si="315"/>
        <v>0</v>
      </c>
      <c r="H931" s="63">
        <f t="shared" si="315"/>
        <v>0</v>
      </c>
      <c r="I931" s="63">
        <f t="shared" si="315"/>
        <v>0</v>
      </c>
      <c r="J931" s="63">
        <f t="shared" si="315"/>
        <v>0</v>
      </c>
      <c r="K931" s="86">
        <f t="shared" si="307"/>
        <v>5.4999999999999997E-3</v>
      </c>
      <c r="L931" s="407"/>
      <c r="M931" s="88"/>
      <c r="N931" s="408"/>
      <c r="O931" s="157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  <c r="AO931" s="49"/>
      <c r="AP931" s="49"/>
      <c r="AQ931" s="49"/>
      <c r="AR931" s="49"/>
      <c r="AS931" s="49"/>
      <c r="AT931" s="49"/>
      <c r="AU931" s="49"/>
      <c r="AV931" s="49"/>
      <c r="AW931" s="49"/>
      <c r="AX931" s="49"/>
      <c r="AY931" s="49"/>
      <c r="AZ931" s="49"/>
      <c r="BA931" s="49"/>
      <c r="BB931" s="49"/>
      <c r="BC931" s="49"/>
      <c r="BD931" s="49"/>
      <c r="BE931" s="68"/>
    </row>
    <row r="932" spans="1:57" s="51" customFormat="1" ht="14.25" customHeight="1">
      <c r="A932" s="959"/>
      <c r="B932" s="868"/>
      <c r="C932" s="1019" t="s">
        <v>956</v>
      </c>
      <c r="D932" s="62">
        <v>2020</v>
      </c>
      <c r="E932" s="63">
        <f t="shared" si="315"/>
        <v>7.3419999999999999E-2</v>
      </c>
      <c r="F932" s="63">
        <f t="shared" si="315"/>
        <v>7.3419999999999999E-2</v>
      </c>
      <c r="G932" s="63">
        <f t="shared" si="315"/>
        <v>0</v>
      </c>
      <c r="H932" s="63">
        <f t="shared" si="315"/>
        <v>0</v>
      </c>
      <c r="I932" s="63">
        <f t="shared" si="315"/>
        <v>0</v>
      </c>
      <c r="J932" s="63">
        <f t="shared" si="315"/>
        <v>0</v>
      </c>
      <c r="K932" s="86">
        <f t="shared" si="307"/>
        <v>7.3419999999999999E-2</v>
      </c>
      <c r="L932" s="407"/>
      <c r="M932" s="88"/>
      <c r="N932" s="408"/>
      <c r="O932" s="157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  <c r="AO932" s="49"/>
      <c r="AP932" s="49"/>
      <c r="AQ932" s="49"/>
      <c r="AR932" s="49"/>
      <c r="AS932" s="49"/>
      <c r="AT932" s="49"/>
      <c r="AU932" s="49"/>
      <c r="AV932" s="49"/>
      <c r="AW932" s="49"/>
      <c r="AX932" s="49"/>
      <c r="AY932" s="49"/>
      <c r="AZ932" s="49"/>
      <c r="BA932" s="49"/>
      <c r="BB932" s="49"/>
      <c r="BC932" s="49"/>
      <c r="BD932" s="49"/>
      <c r="BE932" s="68"/>
    </row>
    <row r="933" spans="1:57" s="51" customFormat="1" ht="14.25" customHeight="1">
      <c r="A933" s="959"/>
      <c r="B933" s="868"/>
      <c r="C933" s="1019"/>
      <c r="D933" s="62">
        <v>2021</v>
      </c>
      <c r="E933" s="63">
        <f t="shared" si="315"/>
        <v>7.6359999999999997E-2</v>
      </c>
      <c r="F933" s="63">
        <f t="shared" si="315"/>
        <v>7.6359999999999997E-2</v>
      </c>
      <c r="G933" s="63">
        <f t="shared" si="315"/>
        <v>0</v>
      </c>
      <c r="H933" s="63">
        <f t="shared" si="315"/>
        <v>0</v>
      </c>
      <c r="I933" s="63">
        <f t="shared" si="315"/>
        <v>0</v>
      </c>
      <c r="J933" s="63">
        <f t="shared" si="315"/>
        <v>0</v>
      </c>
      <c r="K933" s="86">
        <f t="shared" si="307"/>
        <v>7.6359999999999997E-2</v>
      </c>
      <c r="L933" s="407"/>
      <c r="M933" s="88"/>
      <c r="N933" s="408"/>
      <c r="O933" s="157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  <c r="AO933" s="49"/>
      <c r="AP933" s="49"/>
      <c r="AQ933" s="49"/>
      <c r="AR933" s="49"/>
      <c r="AS933" s="49"/>
      <c r="AT933" s="49"/>
      <c r="AU933" s="49"/>
      <c r="AV933" s="49"/>
      <c r="AW933" s="49"/>
      <c r="AX933" s="49"/>
      <c r="AY933" s="49"/>
      <c r="AZ933" s="49"/>
      <c r="BA933" s="49"/>
      <c r="BB933" s="49"/>
      <c r="BC933" s="49"/>
      <c r="BD933" s="49"/>
      <c r="BE933" s="68"/>
    </row>
    <row r="934" spans="1:57" s="51" customFormat="1" ht="14.25" customHeight="1">
      <c r="A934" s="959"/>
      <c r="B934" s="868"/>
      <c r="C934" s="1019"/>
      <c r="D934" s="62">
        <v>2022</v>
      </c>
      <c r="E934" s="63">
        <f t="shared" si="315"/>
        <v>7.9409999999999994E-2</v>
      </c>
      <c r="F934" s="63">
        <f t="shared" si="315"/>
        <v>7.9409999999999994E-2</v>
      </c>
      <c r="G934" s="63">
        <f t="shared" si="315"/>
        <v>0</v>
      </c>
      <c r="H934" s="63">
        <f t="shared" si="315"/>
        <v>0</v>
      </c>
      <c r="I934" s="63">
        <f t="shared" si="315"/>
        <v>0</v>
      </c>
      <c r="J934" s="63">
        <f t="shared" si="315"/>
        <v>0</v>
      </c>
      <c r="K934" s="86">
        <f t="shared" si="307"/>
        <v>7.9409999999999994E-2</v>
      </c>
      <c r="L934" s="407"/>
      <c r="M934" s="88"/>
      <c r="N934" s="408"/>
      <c r="O934" s="157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  <c r="AO934" s="49"/>
      <c r="AP934" s="49"/>
      <c r="AQ934" s="49"/>
      <c r="AR934" s="49"/>
      <c r="AS934" s="49"/>
      <c r="AT934" s="49"/>
      <c r="AU934" s="49"/>
      <c r="AV934" s="49"/>
      <c r="AW934" s="49"/>
      <c r="AX934" s="49"/>
      <c r="AY934" s="49"/>
      <c r="AZ934" s="49"/>
      <c r="BA934" s="49"/>
      <c r="BB934" s="49"/>
      <c r="BC934" s="49"/>
      <c r="BD934" s="49"/>
      <c r="BE934" s="68"/>
    </row>
    <row r="935" spans="1:57" s="51" customFormat="1" ht="14.25" customHeight="1">
      <c r="A935" s="959"/>
      <c r="B935" s="868"/>
      <c r="C935" s="1019"/>
      <c r="D935" s="62">
        <v>2023</v>
      </c>
      <c r="E935" s="63">
        <f t="shared" si="315"/>
        <v>9.9599999999999994E-2</v>
      </c>
      <c r="F935" s="63">
        <f t="shared" si="315"/>
        <v>9.9599999999999994E-2</v>
      </c>
      <c r="G935" s="63">
        <f t="shared" si="315"/>
        <v>0</v>
      </c>
      <c r="H935" s="63">
        <f t="shared" si="315"/>
        <v>0</v>
      </c>
      <c r="I935" s="63">
        <f t="shared" si="315"/>
        <v>0</v>
      </c>
      <c r="J935" s="63">
        <f t="shared" si="315"/>
        <v>0</v>
      </c>
      <c r="K935" s="86">
        <f t="shared" si="307"/>
        <v>9.9599999999999994E-2</v>
      </c>
      <c r="L935" s="407"/>
      <c r="M935" s="88"/>
      <c r="N935" s="408"/>
      <c r="O935" s="157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  <c r="AO935" s="49"/>
      <c r="AP935" s="49"/>
      <c r="AQ935" s="49"/>
      <c r="AR935" s="49"/>
      <c r="AS935" s="49"/>
      <c r="AT935" s="49"/>
      <c r="AU935" s="49"/>
      <c r="AV935" s="49"/>
      <c r="AW935" s="49"/>
      <c r="AX935" s="49"/>
      <c r="AY935" s="49"/>
      <c r="AZ935" s="49"/>
      <c r="BA935" s="49"/>
      <c r="BB935" s="49"/>
      <c r="BC935" s="49"/>
      <c r="BD935" s="49"/>
      <c r="BE935" s="68"/>
    </row>
    <row r="936" spans="1:57" s="51" customFormat="1" ht="14.25" customHeight="1">
      <c r="A936" s="959"/>
      <c r="B936" s="868"/>
      <c r="C936" s="1019"/>
      <c r="D936" s="62">
        <v>2024</v>
      </c>
      <c r="E936" s="63">
        <f t="shared" si="315"/>
        <v>0.1036</v>
      </c>
      <c r="F936" s="63">
        <f t="shared" si="315"/>
        <v>0.1036</v>
      </c>
      <c r="G936" s="63">
        <f t="shared" si="315"/>
        <v>0</v>
      </c>
      <c r="H936" s="63">
        <f t="shared" si="315"/>
        <v>0</v>
      </c>
      <c r="I936" s="63">
        <f t="shared" si="315"/>
        <v>0</v>
      </c>
      <c r="J936" s="63">
        <f t="shared" si="315"/>
        <v>0</v>
      </c>
      <c r="K936" s="86">
        <f t="shared" si="307"/>
        <v>0.1036</v>
      </c>
      <c r="L936" s="407"/>
      <c r="M936" s="88"/>
      <c r="N936" s="408"/>
      <c r="O936" s="157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  <c r="AO936" s="49"/>
      <c r="AP936" s="49"/>
      <c r="AQ936" s="49"/>
      <c r="AR936" s="49"/>
      <c r="AS936" s="49"/>
      <c r="AT936" s="49"/>
      <c r="AU936" s="49"/>
      <c r="AV936" s="49"/>
      <c r="AW936" s="49"/>
      <c r="AX936" s="49"/>
      <c r="AY936" s="49"/>
      <c r="AZ936" s="49"/>
      <c r="BA936" s="49"/>
      <c r="BB936" s="49"/>
      <c r="BC936" s="49"/>
      <c r="BD936" s="49"/>
      <c r="BE936" s="68"/>
    </row>
    <row r="937" spans="1:57" s="51" customFormat="1" ht="14.25" customHeight="1">
      <c r="A937" s="959"/>
      <c r="B937" s="868"/>
      <c r="C937" s="1019"/>
      <c r="D937" s="62">
        <v>2025</v>
      </c>
      <c r="E937" s="63">
        <f t="shared" si="315"/>
        <v>0.1077</v>
      </c>
      <c r="F937" s="63">
        <f t="shared" si="315"/>
        <v>0.1077</v>
      </c>
      <c r="G937" s="63">
        <f t="shared" si="315"/>
        <v>0</v>
      </c>
      <c r="H937" s="63">
        <f t="shared" si="315"/>
        <v>0</v>
      </c>
      <c r="I937" s="63">
        <f t="shared" si="315"/>
        <v>0</v>
      </c>
      <c r="J937" s="63">
        <f t="shared" si="315"/>
        <v>0</v>
      </c>
      <c r="K937" s="86">
        <f t="shared" si="307"/>
        <v>0.1077</v>
      </c>
      <c r="L937" s="407"/>
      <c r="M937" s="88"/>
      <c r="N937" s="408"/>
      <c r="O937" s="157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  <c r="AO937" s="49"/>
      <c r="AP937" s="49"/>
      <c r="AQ937" s="49"/>
      <c r="AR937" s="49"/>
      <c r="AS937" s="49"/>
      <c r="AT937" s="49"/>
      <c r="AU937" s="49"/>
      <c r="AV937" s="49"/>
      <c r="AW937" s="49"/>
      <c r="AX937" s="49"/>
      <c r="AY937" s="49"/>
      <c r="AZ937" s="49"/>
      <c r="BA937" s="49"/>
      <c r="BB937" s="49"/>
      <c r="BC937" s="49"/>
      <c r="BD937" s="49"/>
      <c r="BE937" s="68"/>
    </row>
    <row r="938" spans="1:57" s="51" customFormat="1" ht="14.25" customHeight="1">
      <c r="A938" s="959"/>
      <c r="B938" s="868"/>
      <c r="C938" s="94"/>
      <c r="D938" s="62">
        <v>2026</v>
      </c>
      <c r="E938" s="63">
        <f t="shared" si="315"/>
        <v>0.112</v>
      </c>
      <c r="F938" s="63">
        <f t="shared" si="315"/>
        <v>0.112</v>
      </c>
      <c r="G938" s="63">
        <f t="shared" si="315"/>
        <v>0</v>
      </c>
      <c r="H938" s="63">
        <f t="shared" si="315"/>
        <v>0</v>
      </c>
      <c r="I938" s="63">
        <f t="shared" si="315"/>
        <v>0</v>
      </c>
      <c r="J938" s="63">
        <f t="shared" si="315"/>
        <v>0</v>
      </c>
      <c r="K938" s="86">
        <f t="shared" si="307"/>
        <v>0.112</v>
      </c>
      <c r="L938" s="407"/>
      <c r="M938" s="88"/>
      <c r="N938" s="408"/>
      <c r="O938" s="157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  <c r="AO938" s="49"/>
      <c r="AP938" s="49"/>
      <c r="AQ938" s="49"/>
      <c r="AR938" s="49"/>
      <c r="AS938" s="49"/>
      <c r="AT938" s="49"/>
      <c r="AU938" s="49"/>
      <c r="AV938" s="49"/>
      <c r="AW938" s="49"/>
      <c r="AX938" s="49"/>
      <c r="AY938" s="49"/>
      <c r="AZ938" s="49"/>
      <c r="BA938" s="49"/>
      <c r="BB938" s="49"/>
      <c r="BC938" s="49"/>
      <c r="BD938" s="49"/>
      <c r="BE938" s="68"/>
    </row>
    <row r="939" spans="1:57" s="51" customFormat="1" ht="14.25" customHeight="1">
      <c r="A939" s="959"/>
      <c r="B939" s="868"/>
      <c r="C939" s="1019" t="s">
        <v>970</v>
      </c>
      <c r="D939" s="62">
        <v>2027</v>
      </c>
      <c r="E939" s="63">
        <f t="shared" si="315"/>
        <v>0.11650000000000001</v>
      </c>
      <c r="F939" s="63">
        <f t="shared" si="315"/>
        <v>0.11650000000000001</v>
      </c>
      <c r="G939" s="63">
        <f t="shared" si="315"/>
        <v>0</v>
      </c>
      <c r="H939" s="63">
        <f t="shared" si="315"/>
        <v>0</v>
      </c>
      <c r="I939" s="63">
        <f t="shared" si="315"/>
        <v>0</v>
      </c>
      <c r="J939" s="63">
        <f t="shared" si="315"/>
        <v>0</v>
      </c>
      <c r="K939" s="86">
        <f t="shared" si="307"/>
        <v>0.11650000000000001</v>
      </c>
      <c r="L939" s="407"/>
      <c r="M939" s="88"/>
      <c r="N939" s="408"/>
      <c r="O939" s="157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  <c r="AO939" s="49"/>
      <c r="AP939" s="49"/>
      <c r="AQ939" s="49"/>
      <c r="AR939" s="49"/>
      <c r="AS939" s="49"/>
      <c r="AT939" s="49"/>
      <c r="AU939" s="49"/>
      <c r="AV939" s="49"/>
      <c r="AW939" s="49"/>
      <c r="AX939" s="49"/>
      <c r="AY939" s="49"/>
      <c r="AZ939" s="49"/>
      <c r="BA939" s="49"/>
      <c r="BB939" s="49"/>
      <c r="BC939" s="49"/>
      <c r="BD939" s="49"/>
      <c r="BE939" s="68"/>
    </row>
    <row r="940" spans="1:57" s="51" customFormat="1" ht="14.25" customHeight="1">
      <c r="A940" s="959"/>
      <c r="B940" s="868"/>
      <c r="C940" s="1019"/>
      <c r="D940" s="62">
        <v>2028</v>
      </c>
      <c r="E940" s="63">
        <f t="shared" si="315"/>
        <v>0.1212</v>
      </c>
      <c r="F940" s="63">
        <f t="shared" si="315"/>
        <v>0.1212</v>
      </c>
      <c r="G940" s="63">
        <f t="shared" si="315"/>
        <v>0</v>
      </c>
      <c r="H940" s="63">
        <f t="shared" si="315"/>
        <v>0</v>
      </c>
      <c r="I940" s="63">
        <f t="shared" si="315"/>
        <v>0</v>
      </c>
      <c r="J940" s="63">
        <f t="shared" si="315"/>
        <v>0</v>
      </c>
      <c r="K940" s="86">
        <f t="shared" si="307"/>
        <v>0.1212</v>
      </c>
      <c r="L940" s="407"/>
      <c r="M940" s="88"/>
      <c r="N940" s="408"/>
      <c r="O940" s="157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  <c r="AO940" s="49"/>
      <c r="AP940" s="49"/>
      <c r="AQ940" s="49"/>
      <c r="AR940" s="49"/>
      <c r="AS940" s="49"/>
      <c r="AT940" s="49"/>
      <c r="AU940" s="49"/>
      <c r="AV940" s="49"/>
      <c r="AW940" s="49"/>
      <c r="AX940" s="49"/>
      <c r="AY940" s="49"/>
      <c r="AZ940" s="49"/>
      <c r="BA940" s="49"/>
      <c r="BB940" s="49"/>
      <c r="BC940" s="49"/>
      <c r="BD940" s="49"/>
      <c r="BE940" s="68"/>
    </row>
    <row r="941" spans="1:57" s="51" customFormat="1" ht="14.25" customHeight="1">
      <c r="A941" s="959"/>
      <c r="B941" s="868"/>
      <c r="C941" s="1019"/>
      <c r="D941" s="62">
        <v>2029</v>
      </c>
      <c r="E941" s="63">
        <f t="shared" si="315"/>
        <v>0.126</v>
      </c>
      <c r="F941" s="63">
        <f t="shared" si="315"/>
        <v>0.126</v>
      </c>
      <c r="G941" s="63">
        <f t="shared" si="315"/>
        <v>0</v>
      </c>
      <c r="H941" s="63">
        <f t="shared" si="315"/>
        <v>0</v>
      </c>
      <c r="I941" s="63">
        <f t="shared" si="315"/>
        <v>0</v>
      </c>
      <c r="J941" s="63">
        <f t="shared" si="315"/>
        <v>0</v>
      </c>
      <c r="K941" s="86">
        <f t="shared" si="307"/>
        <v>0.126</v>
      </c>
      <c r="L941" s="407"/>
      <c r="M941" s="88"/>
      <c r="N941" s="408"/>
      <c r="O941" s="157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49"/>
      <c r="AU941" s="49"/>
      <c r="AV941" s="49"/>
      <c r="AW941" s="49"/>
      <c r="AX941" s="49"/>
      <c r="AY941" s="49"/>
      <c r="AZ941" s="49"/>
      <c r="BA941" s="49"/>
      <c r="BB941" s="49"/>
      <c r="BC941" s="49"/>
      <c r="BD941" s="49"/>
      <c r="BE941" s="68"/>
    </row>
    <row r="942" spans="1:57" s="51" customFormat="1" ht="14.25" customHeight="1">
      <c r="A942" s="986"/>
      <c r="B942" s="869"/>
      <c r="C942" s="1019"/>
      <c r="D942" s="62">
        <v>2030</v>
      </c>
      <c r="E942" s="63">
        <f t="shared" si="315"/>
        <v>0.13100000000000001</v>
      </c>
      <c r="F942" s="63">
        <f t="shared" si="315"/>
        <v>0.13100000000000001</v>
      </c>
      <c r="G942" s="63">
        <f t="shared" si="315"/>
        <v>0</v>
      </c>
      <c r="H942" s="63">
        <f t="shared" si="315"/>
        <v>0</v>
      </c>
      <c r="I942" s="63">
        <f t="shared" si="315"/>
        <v>0</v>
      </c>
      <c r="J942" s="63">
        <f t="shared" si="315"/>
        <v>0</v>
      </c>
      <c r="K942" s="86">
        <f t="shared" si="307"/>
        <v>0.13100000000000001</v>
      </c>
      <c r="L942" s="407"/>
      <c r="M942" s="88"/>
      <c r="N942" s="408"/>
      <c r="O942" s="157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  <c r="AO942" s="49"/>
      <c r="AP942" s="49"/>
      <c r="AQ942" s="49"/>
      <c r="AR942" s="49"/>
      <c r="AS942" s="49"/>
      <c r="AT942" s="49"/>
      <c r="AU942" s="49"/>
      <c r="AV942" s="49"/>
      <c r="AW942" s="49"/>
      <c r="AX942" s="49"/>
      <c r="AY942" s="49"/>
      <c r="AZ942" s="49"/>
      <c r="BA942" s="49"/>
      <c r="BB942" s="49"/>
      <c r="BC942" s="49"/>
      <c r="BD942" s="49"/>
      <c r="BE942" s="68"/>
    </row>
    <row r="943" spans="1:57" s="51" customFormat="1" ht="21.75" customHeight="1">
      <c r="A943" s="900" t="s">
        <v>971</v>
      </c>
      <c r="B943" s="867" t="s">
        <v>972</v>
      </c>
      <c r="D943" s="84" t="s">
        <v>16</v>
      </c>
      <c r="E943" s="85">
        <f t="shared" ref="E943:J943" si="316">E944+E945+E946+E947+E948+E949+E950+E951+E952+E953+E954+E955</f>
        <v>1.15229</v>
      </c>
      <c r="F943" s="85">
        <f t="shared" si="316"/>
        <v>1.15229</v>
      </c>
      <c r="G943" s="85">
        <f t="shared" si="316"/>
        <v>0</v>
      </c>
      <c r="H943" s="85">
        <f t="shared" si="316"/>
        <v>0</v>
      </c>
      <c r="I943" s="85">
        <f t="shared" si="316"/>
        <v>0</v>
      </c>
      <c r="J943" s="85">
        <f t="shared" si="316"/>
        <v>0</v>
      </c>
      <c r="K943" s="86">
        <f t="shared" si="307"/>
        <v>1.15229</v>
      </c>
      <c r="L943" s="407"/>
      <c r="M943" s="88"/>
      <c r="N943" s="408"/>
      <c r="O943" s="858" t="s">
        <v>527</v>
      </c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  <c r="AO943" s="49"/>
      <c r="AP943" s="49"/>
      <c r="AQ943" s="49"/>
      <c r="AR943" s="49"/>
      <c r="AS943" s="49"/>
      <c r="AT943" s="49"/>
      <c r="AU943" s="49"/>
      <c r="AV943" s="49"/>
      <c r="AW943" s="49"/>
      <c r="AX943" s="49"/>
      <c r="AY943" s="49"/>
      <c r="AZ943" s="49"/>
      <c r="BA943" s="49"/>
      <c r="BB943" s="49"/>
      <c r="BC943" s="49"/>
      <c r="BD943" s="49"/>
      <c r="BE943" s="68"/>
    </row>
    <row r="944" spans="1:57" s="51" customFormat="1" ht="14.25" customHeight="1">
      <c r="A944" s="834"/>
      <c r="B944" s="868"/>
      <c r="C944" s="60" t="s">
        <v>955</v>
      </c>
      <c r="D944" s="62">
        <v>2019</v>
      </c>
      <c r="E944" s="63">
        <f t="shared" ref="E944:E955" si="317">F944+G944+H944+I944+J944</f>
        <v>5.4999999999999997E-3</v>
      </c>
      <c r="F944" s="63">
        <v>5.4999999999999997E-3</v>
      </c>
      <c r="G944" s="63">
        <v>0</v>
      </c>
      <c r="H944" s="63">
        <v>0</v>
      </c>
      <c r="I944" s="63">
        <v>0</v>
      </c>
      <c r="J944" s="63">
        <v>0</v>
      </c>
      <c r="K944" s="86">
        <f t="shared" si="307"/>
        <v>5.4999999999999997E-3</v>
      </c>
      <c r="L944" s="407"/>
      <c r="M944" s="88"/>
      <c r="N944" s="408"/>
      <c r="O944" s="871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  <c r="AO944" s="49"/>
      <c r="AP944" s="49"/>
      <c r="AQ944" s="49"/>
      <c r="AR944" s="49"/>
      <c r="AS944" s="49"/>
      <c r="AT944" s="49"/>
      <c r="AU944" s="49"/>
      <c r="AV944" s="49"/>
      <c r="AW944" s="49"/>
      <c r="AX944" s="49"/>
      <c r="AY944" s="49"/>
      <c r="AZ944" s="49"/>
      <c r="BA944" s="49"/>
      <c r="BB944" s="49"/>
      <c r="BC944" s="49"/>
      <c r="BD944" s="49"/>
      <c r="BE944" s="68"/>
    </row>
    <row r="945" spans="1:57" s="219" customFormat="1" ht="14.25" customHeight="1">
      <c r="A945" s="834"/>
      <c r="B945" s="868"/>
      <c r="C945" s="867" t="s">
        <v>956</v>
      </c>
      <c r="D945" s="197">
        <v>2020</v>
      </c>
      <c r="E945" s="198">
        <f t="shared" si="317"/>
        <v>7.3419999999999999E-2</v>
      </c>
      <c r="F945" s="198">
        <v>7.3419999999999999E-2</v>
      </c>
      <c r="G945" s="198">
        <v>0</v>
      </c>
      <c r="H945" s="198">
        <v>0</v>
      </c>
      <c r="I945" s="198">
        <v>0</v>
      </c>
      <c r="J945" s="198">
        <v>0</v>
      </c>
      <c r="K945" s="129">
        <f t="shared" si="307"/>
        <v>7.3419999999999999E-2</v>
      </c>
      <c r="L945" s="413"/>
      <c r="M945" s="220"/>
      <c r="N945" s="414"/>
      <c r="O945" s="871"/>
      <c r="P945" s="221"/>
      <c r="Q945" s="221"/>
      <c r="R945" s="221"/>
      <c r="S945" s="221"/>
      <c r="T945" s="221"/>
      <c r="U945" s="221"/>
      <c r="V945" s="221"/>
      <c r="W945" s="221"/>
      <c r="X945" s="221"/>
      <c r="Y945" s="221"/>
      <c r="Z945" s="221"/>
      <c r="AA945" s="221"/>
      <c r="AB945" s="221"/>
      <c r="AC945" s="221"/>
      <c r="AD945" s="221"/>
      <c r="AE945" s="221"/>
      <c r="AF945" s="221"/>
      <c r="AG945" s="221"/>
      <c r="AH945" s="221"/>
      <c r="AI945" s="221"/>
      <c r="AJ945" s="221"/>
      <c r="AK945" s="221"/>
      <c r="AL945" s="221"/>
      <c r="AM945" s="221"/>
      <c r="AN945" s="221"/>
      <c r="AO945" s="221"/>
      <c r="AP945" s="221"/>
      <c r="AQ945" s="221"/>
      <c r="AR945" s="221"/>
      <c r="AS945" s="221"/>
      <c r="AT945" s="221"/>
      <c r="AU945" s="221"/>
      <c r="AV945" s="221"/>
      <c r="AW945" s="221"/>
      <c r="AX945" s="221"/>
      <c r="AY945" s="221"/>
      <c r="AZ945" s="221"/>
      <c r="BA945" s="221"/>
      <c r="BB945" s="221"/>
      <c r="BC945" s="221"/>
      <c r="BD945" s="221"/>
      <c r="BE945" s="222"/>
    </row>
    <row r="946" spans="1:57" s="219" customFormat="1" ht="14.25" customHeight="1">
      <c r="A946" s="834"/>
      <c r="B946" s="868"/>
      <c r="C946" s="872"/>
      <c r="D946" s="197">
        <v>2021</v>
      </c>
      <c r="E946" s="198">
        <f t="shared" si="317"/>
        <v>7.6359999999999997E-2</v>
      </c>
      <c r="F946" s="198">
        <v>7.6359999999999997E-2</v>
      </c>
      <c r="G946" s="198">
        <v>0</v>
      </c>
      <c r="H946" s="198">
        <v>0</v>
      </c>
      <c r="I946" s="198">
        <v>0</v>
      </c>
      <c r="J946" s="198">
        <v>0</v>
      </c>
      <c r="K946" s="129">
        <f t="shared" si="307"/>
        <v>7.6359999999999997E-2</v>
      </c>
      <c r="L946" s="413"/>
      <c r="M946" s="220"/>
      <c r="N946" s="414"/>
      <c r="O946" s="871"/>
      <c r="P946" s="221"/>
      <c r="Q946" s="221"/>
      <c r="R946" s="221"/>
      <c r="S946" s="221"/>
      <c r="T946" s="221"/>
      <c r="U946" s="221"/>
      <c r="V946" s="221"/>
      <c r="W946" s="221"/>
      <c r="X946" s="221"/>
      <c r="Y946" s="221"/>
      <c r="Z946" s="221"/>
      <c r="AA946" s="221"/>
      <c r="AB946" s="221"/>
      <c r="AC946" s="221"/>
      <c r="AD946" s="221"/>
      <c r="AE946" s="221"/>
      <c r="AF946" s="221"/>
      <c r="AG946" s="221"/>
      <c r="AH946" s="221"/>
      <c r="AI946" s="221"/>
      <c r="AJ946" s="221"/>
      <c r="AK946" s="221"/>
      <c r="AL946" s="221"/>
      <c r="AM946" s="221"/>
      <c r="AN946" s="221"/>
      <c r="AO946" s="221"/>
      <c r="AP946" s="221"/>
      <c r="AQ946" s="221"/>
      <c r="AR946" s="221"/>
      <c r="AS946" s="221"/>
      <c r="AT946" s="221"/>
      <c r="AU946" s="221"/>
      <c r="AV946" s="221"/>
      <c r="AW946" s="221"/>
      <c r="AX946" s="221"/>
      <c r="AY946" s="221"/>
      <c r="AZ946" s="221"/>
      <c r="BA946" s="221"/>
      <c r="BB946" s="221"/>
      <c r="BC946" s="221"/>
      <c r="BD946" s="221"/>
      <c r="BE946" s="222"/>
    </row>
    <row r="947" spans="1:57" s="219" customFormat="1" ht="14.25" customHeight="1">
      <c r="A947" s="834"/>
      <c r="B947" s="868"/>
      <c r="C947" s="872"/>
      <c r="D947" s="197">
        <v>2022</v>
      </c>
      <c r="E947" s="198">
        <f t="shared" si="317"/>
        <v>7.9409999999999994E-2</v>
      </c>
      <c r="F947" s="198">
        <v>7.9409999999999994E-2</v>
      </c>
      <c r="G947" s="198">
        <v>0</v>
      </c>
      <c r="H947" s="198">
        <v>0</v>
      </c>
      <c r="I947" s="198">
        <v>0</v>
      </c>
      <c r="J947" s="198">
        <v>0</v>
      </c>
      <c r="K947" s="129">
        <f t="shared" si="307"/>
        <v>7.9409999999999994E-2</v>
      </c>
      <c r="L947" s="413"/>
      <c r="M947" s="220"/>
      <c r="N947" s="414"/>
      <c r="O947" s="871"/>
      <c r="P947" s="221"/>
      <c r="Q947" s="221"/>
      <c r="R947" s="221"/>
      <c r="S947" s="221"/>
      <c r="T947" s="221"/>
      <c r="U947" s="221"/>
      <c r="V947" s="221"/>
      <c r="W947" s="221"/>
      <c r="X947" s="221"/>
      <c r="Y947" s="221"/>
      <c r="Z947" s="221"/>
      <c r="AA947" s="221"/>
      <c r="AB947" s="221"/>
      <c r="AC947" s="221"/>
      <c r="AD947" s="221"/>
      <c r="AE947" s="221"/>
      <c r="AF947" s="221"/>
      <c r="AG947" s="221"/>
      <c r="AH947" s="221"/>
      <c r="AI947" s="221"/>
      <c r="AJ947" s="221"/>
      <c r="AK947" s="221"/>
      <c r="AL947" s="221"/>
      <c r="AM947" s="221"/>
      <c r="AN947" s="221"/>
      <c r="AO947" s="221"/>
      <c r="AP947" s="221"/>
      <c r="AQ947" s="221"/>
      <c r="AR947" s="221"/>
      <c r="AS947" s="221"/>
      <c r="AT947" s="221"/>
      <c r="AU947" s="221"/>
      <c r="AV947" s="221"/>
      <c r="AW947" s="221"/>
      <c r="AX947" s="221"/>
      <c r="AY947" s="221"/>
      <c r="AZ947" s="221"/>
      <c r="BA947" s="221"/>
      <c r="BB947" s="221"/>
      <c r="BC947" s="221"/>
      <c r="BD947" s="221"/>
      <c r="BE947" s="222"/>
    </row>
    <row r="948" spans="1:57" s="51" customFormat="1" ht="14.25" customHeight="1">
      <c r="A948" s="834"/>
      <c r="B948" s="868"/>
      <c r="C948" s="872"/>
      <c r="D948" s="62">
        <v>2023</v>
      </c>
      <c r="E948" s="63">
        <f t="shared" si="317"/>
        <v>9.9599999999999994E-2</v>
      </c>
      <c r="F948" s="63">
        <v>9.9599999999999994E-2</v>
      </c>
      <c r="G948" s="63">
        <v>0</v>
      </c>
      <c r="H948" s="63">
        <v>0</v>
      </c>
      <c r="I948" s="63">
        <v>0</v>
      </c>
      <c r="J948" s="63">
        <v>0</v>
      </c>
      <c r="K948" s="86">
        <f t="shared" si="307"/>
        <v>9.9599999999999994E-2</v>
      </c>
      <c r="L948" s="407"/>
      <c r="M948" s="88"/>
      <c r="N948" s="408"/>
      <c r="O948" s="871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  <c r="AO948" s="49"/>
      <c r="AP948" s="49"/>
      <c r="AQ948" s="49"/>
      <c r="AR948" s="49"/>
      <c r="AS948" s="49"/>
      <c r="AT948" s="49"/>
      <c r="AU948" s="49"/>
      <c r="AV948" s="49"/>
      <c r="AW948" s="49"/>
      <c r="AX948" s="49"/>
      <c r="AY948" s="49"/>
      <c r="AZ948" s="49"/>
      <c r="BA948" s="49"/>
      <c r="BB948" s="49"/>
      <c r="BC948" s="49"/>
      <c r="BD948" s="49"/>
      <c r="BE948" s="68"/>
    </row>
    <row r="949" spans="1:57" s="51" customFormat="1" ht="14.25" customHeight="1">
      <c r="A949" s="834"/>
      <c r="B949" s="868"/>
      <c r="C949" s="872"/>
      <c r="D949" s="62">
        <v>2024</v>
      </c>
      <c r="E949" s="63">
        <f t="shared" si="317"/>
        <v>0.1036</v>
      </c>
      <c r="F949" s="63">
        <v>0.1036</v>
      </c>
      <c r="G949" s="63">
        <v>0</v>
      </c>
      <c r="H949" s="63">
        <v>0</v>
      </c>
      <c r="I949" s="63">
        <v>0</v>
      </c>
      <c r="J949" s="63">
        <v>0</v>
      </c>
      <c r="K949" s="86">
        <f t="shared" si="307"/>
        <v>0.1036</v>
      </c>
      <c r="L949" s="407"/>
      <c r="M949" s="88"/>
      <c r="N949" s="408"/>
      <c r="O949" s="871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  <c r="AO949" s="49"/>
      <c r="AP949" s="49"/>
      <c r="AQ949" s="49"/>
      <c r="AR949" s="49"/>
      <c r="AS949" s="49"/>
      <c r="AT949" s="49"/>
      <c r="AU949" s="49"/>
      <c r="AV949" s="49"/>
      <c r="AW949" s="49"/>
      <c r="AX949" s="49"/>
      <c r="AY949" s="49"/>
      <c r="AZ949" s="49"/>
      <c r="BA949" s="49"/>
      <c r="BB949" s="49"/>
      <c r="BC949" s="49"/>
      <c r="BD949" s="49"/>
      <c r="BE949" s="68"/>
    </row>
    <row r="950" spans="1:57" s="51" customFormat="1" ht="14.25" customHeight="1">
      <c r="A950" s="834"/>
      <c r="B950" s="868"/>
      <c r="C950" s="873"/>
      <c r="D950" s="62">
        <v>2025</v>
      </c>
      <c r="E950" s="63">
        <f t="shared" si="317"/>
        <v>0.1077</v>
      </c>
      <c r="F950" s="63">
        <v>0.1077</v>
      </c>
      <c r="G950" s="63">
        <v>0</v>
      </c>
      <c r="H950" s="63">
        <v>0</v>
      </c>
      <c r="I950" s="63">
        <v>0</v>
      </c>
      <c r="J950" s="63">
        <v>0</v>
      </c>
      <c r="K950" s="86">
        <f t="shared" si="307"/>
        <v>0.1077</v>
      </c>
      <c r="L950" s="407"/>
      <c r="M950" s="88"/>
      <c r="N950" s="408"/>
      <c r="O950" s="871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  <c r="AT950" s="49"/>
      <c r="AU950" s="49"/>
      <c r="AV950" s="49"/>
      <c r="AW950" s="49"/>
      <c r="AX950" s="49"/>
      <c r="AY950" s="49"/>
      <c r="AZ950" s="49"/>
      <c r="BA950" s="49"/>
      <c r="BB950" s="49"/>
      <c r="BC950" s="49"/>
      <c r="BD950" s="49"/>
      <c r="BE950" s="68"/>
    </row>
    <row r="951" spans="1:57" s="51" customFormat="1" ht="14.25" customHeight="1">
      <c r="A951" s="834"/>
      <c r="B951" s="868"/>
      <c r="C951" s="867" t="s">
        <v>957</v>
      </c>
      <c r="D951" s="62">
        <v>2026</v>
      </c>
      <c r="E951" s="63">
        <f t="shared" si="317"/>
        <v>0.112</v>
      </c>
      <c r="F951" s="63">
        <v>0.112</v>
      </c>
      <c r="G951" s="63">
        <v>0</v>
      </c>
      <c r="H951" s="63">
        <v>0</v>
      </c>
      <c r="I951" s="63">
        <v>0</v>
      </c>
      <c r="J951" s="63">
        <v>0</v>
      </c>
      <c r="K951" s="86">
        <f t="shared" si="307"/>
        <v>0.112</v>
      </c>
      <c r="L951" s="407"/>
      <c r="M951" s="88"/>
      <c r="N951" s="408"/>
      <c r="O951" s="871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  <c r="AO951" s="49"/>
      <c r="AP951" s="49"/>
      <c r="AQ951" s="49"/>
      <c r="AR951" s="49"/>
      <c r="AS951" s="49"/>
      <c r="AT951" s="49"/>
      <c r="AU951" s="49"/>
      <c r="AV951" s="49"/>
      <c r="AW951" s="49"/>
      <c r="AX951" s="49"/>
      <c r="AY951" s="49"/>
      <c r="AZ951" s="49"/>
      <c r="BA951" s="49"/>
      <c r="BB951" s="49"/>
      <c r="BC951" s="49"/>
      <c r="BD951" s="49"/>
      <c r="BE951" s="68"/>
    </row>
    <row r="952" spans="1:57" s="51" customFormat="1" ht="14.25" customHeight="1">
      <c r="A952" s="834"/>
      <c r="B952" s="868"/>
      <c r="C952" s="872"/>
      <c r="D952" s="62">
        <v>2027</v>
      </c>
      <c r="E952" s="63">
        <f t="shared" si="317"/>
        <v>0.11650000000000001</v>
      </c>
      <c r="F952" s="63">
        <v>0.11650000000000001</v>
      </c>
      <c r="G952" s="63">
        <v>0</v>
      </c>
      <c r="H952" s="63">
        <v>0</v>
      </c>
      <c r="I952" s="63">
        <v>0</v>
      </c>
      <c r="J952" s="63">
        <v>0</v>
      </c>
      <c r="K952" s="86">
        <f t="shared" si="307"/>
        <v>0.11650000000000001</v>
      </c>
      <c r="L952" s="407"/>
      <c r="M952" s="88"/>
      <c r="N952" s="408"/>
      <c r="O952" s="871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  <c r="AO952" s="49"/>
      <c r="AP952" s="49"/>
      <c r="AQ952" s="49"/>
      <c r="AR952" s="49"/>
      <c r="AS952" s="49"/>
      <c r="AT952" s="49"/>
      <c r="AU952" s="49"/>
      <c r="AV952" s="49"/>
      <c r="AW952" s="49"/>
      <c r="AX952" s="49"/>
      <c r="AY952" s="49"/>
      <c r="AZ952" s="49"/>
      <c r="BA952" s="49"/>
      <c r="BB952" s="49"/>
      <c r="BC952" s="49"/>
      <c r="BD952" s="49"/>
      <c r="BE952" s="68"/>
    </row>
    <row r="953" spans="1:57" s="51" customFormat="1" ht="14.25" customHeight="1">
      <c r="A953" s="834"/>
      <c r="B953" s="868"/>
      <c r="C953" s="872"/>
      <c r="D953" s="62">
        <v>2028</v>
      </c>
      <c r="E953" s="63">
        <f t="shared" si="317"/>
        <v>0.1212</v>
      </c>
      <c r="F953" s="63">
        <v>0.1212</v>
      </c>
      <c r="G953" s="63">
        <v>0</v>
      </c>
      <c r="H953" s="63">
        <v>0</v>
      </c>
      <c r="I953" s="63">
        <v>0</v>
      </c>
      <c r="J953" s="63">
        <v>0</v>
      </c>
      <c r="K953" s="86">
        <f t="shared" ref="K953:K1016" si="318">F953+G953+H953+I953+J953</f>
        <v>0.1212</v>
      </c>
      <c r="L953" s="407"/>
      <c r="M953" s="88"/>
      <c r="N953" s="408"/>
      <c r="O953" s="871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  <c r="AO953" s="49"/>
      <c r="AP953" s="49"/>
      <c r="AQ953" s="49"/>
      <c r="AR953" s="49"/>
      <c r="AS953" s="49"/>
      <c r="AT953" s="49"/>
      <c r="AU953" s="49"/>
      <c r="AV953" s="49"/>
      <c r="AW953" s="49"/>
      <c r="AX953" s="49"/>
      <c r="AY953" s="49"/>
      <c r="AZ953" s="49"/>
      <c r="BA953" s="49"/>
      <c r="BB953" s="49"/>
      <c r="BC953" s="49"/>
      <c r="BD953" s="49"/>
      <c r="BE953" s="68"/>
    </row>
    <row r="954" spans="1:57" s="51" customFormat="1" ht="14.25" customHeight="1">
      <c r="A954" s="834"/>
      <c r="B954" s="868"/>
      <c r="C954" s="872"/>
      <c r="D954" s="62">
        <v>2029</v>
      </c>
      <c r="E954" s="63">
        <f t="shared" si="317"/>
        <v>0.126</v>
      </c>
      <c r="F954" s="63">
        <v>0.126</v>
      </c>
      <c r="G954" s="63">
        <v>0</v>
      </c>
      <c r="H954" s="63">
        <v>0</v>
      </c>
      <c r="I954" s="63">
        <v>0</v>
      </c>
      <c r="J954" s="63">
        <v>0</v>
      </c>
      <c r="K954" s="86">
        <f t="shared" si="318"/>
        <v>0.126</v>
      </c>
      <c r="L954" s="407"/>
      <c r="M954" s="88"/>
      <c r="N954" s="408"/>
      <c r="O954" s="871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49"/>
      <c r="AU954" s="49"/>
      <c r="AV954" s="49"/>
      <c r="AW954" s="49"/>
      <c r="AX954" s="49"/>
      <c r="AY954" s="49"/>
      <c r="AZ954" s="49"/>
      <c r="BA954" s="49"/>
      <c r="BB954" s="49"/>
      <c r="BC954" s="49"/>
      <c r="BD954" s="49"/>
      <c r="BE954" s="68"/>
    </row>
    <row r="955" spans="1:57" s="51" customFormat="1" ht="14.25" customHeight="1">
      <c r="A955" s="835"/>
      <c r="B955" s="869"/>
      <c r="C955" s="873"/>
      <c r="D955" s="62">
        <v>2030</v>
      </c>
      <c r="E955" s="63">
        <f t="shared" si="317"/>
        <v>0.13100000000000001</v>
      </c>
      <c r="F955" s="63">
        <v>0.13100000000000001</v>
      </c>
      <c r="G955" s="63">
        <v>0</v>
      </c>
      <c r="H955" s="63">
        <v>0</v>
      </c>
      <c r="I955" s="63">
        <v>0</v>
      </c>
      <c r="J955" s="63">
        <v>0</v>
      </c>
      <c r="K955" s="86">
        <f t="shared" si="318"/>
        <v>0.13100000000000001</v>
      </c>
      <c r="L955" s="407"/>
      <c r="M955" s="88"/>
      <c r="N955" s="408"/>
      <c r="O955" s="988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  <c r="AT955" s="49"/>
      <c r="AU955" s="49"/>
      <c r="AV955" s="49"/>
      <c r="AW955" s="49"/>
      <c r="AX955" s="49"/>
      <c r="AY955" s="49"/>
      <c r="AZ955" s="49"/>
      <c r="BA955" s="49"/>
      <c r="BB955" s="49"/>
      <c r="BC955" s="49"/>
      <c r="BD955" s="49"/>
      <c r="BE955" s="68"/>
    </row>
    <row r="956" spans="1:57" s="51" customFormat="1" ht="14.25" customHeight="1">
      <c r="A956" s="1003" t="s">
        <v>973</v>
      </c>
      <c r="B956" s="929" t="s">
        <v>974</v>
      </c>
      <c r="C956" s="69"/>
      <c r="D956" s="84" t="s">
        <v>16</v>
      </c>
      <c r="E956" s="85">
        <f t="shared" ref="E956:J968" si="319">E969</f>
        <v>0</v>
      </c>
      <c r="F956" s="85">
        <f t="shared" si="319"/>
        <v>0</v>
      </c>
      <c r="G956" s="85">
        <f t="shared" si="319"/>
        <v>0</v>
      </c>
      <c r="H956" s="85">
        <f t="shared" si="319"/>
        <v>0</v>
      </c>
      <c r="I956" s="85">
        <f t="shared" si="319"/>
        <v>0</v>
      </c>
      <c r="J956" s="85">
        <f t="shared" si="319"/>
        <v>0</v>
      </c>
      <c r="K956" s="86">
        <f t="shared" si="318"/>
        <v>0</v>
      </c>
      <c r="L956" s="407"/>
      <c r="M956" s="88"/>
      <c r="N956" s="408"/>
      <c r="O956" s="157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  <c r="AO956" s="49"/>
      <c r="AP956" s="49"/>
      <c r="AQ956" s="49"/>
      <c r="AR956" s="49"/>
      <c r="AS956" s="49"/>
      <c r="AT956" s="49"/>
      <c r="AU956" s="49"/>
      <c r="AV956" s="49"/>
      <c r="AW956" s="49"/>
      <c r="AX956" s="49"/>
      <c r="AY956" s="49"/>
      <c r="AZ956" s="49"/>
      <c r="BA956" s="49"/>
      <c r="BB956" s="49"/>
      <c r="BC956" s="49"/>
      <c r="BD956" s="49"/>
      <c r="BE956" s="68"/>
    </row>
    <row r="957" spans="1:57" s="51" customFormat="1" ht="14.25" customHeight="1">
      <c r="A957" s="834"/>
      <c r="B957" s="868"/>
      <c r="C957" s="69"/>
      <c r="D957" s="84">
        <v>2019</v>
      </c>
      <c r="E957" s="85">
        <f t="shared" si="319"/>
        <v>0</v>
      </c>
      <c r="F957" s="85">
        <f t="shared" si="319"/>
        <v>0</v>
      </c>
      <c r="G957" s="85">
        <f t="shared" si="319"/>
        <v>0</v>
      </c>
      <c r="H957" s="85">
        <f t="shared" si="319"/>
        <v>0</v>
      </c>
      <c r="I957" s="85">
        <f t="shared" si="319"/>
        <v>0</v>
      </c>
      <c r="J957" s="85">
        <f t="shared" si="319"/>
        <v>0</v>
      </c>
      <c r="K957" s="86">
        <f t="shared" si="318"/>
        <v>0</v>
      </c>
      <c r="L957" s="407"/>
      <c r="M957" s="88"/>
      <c r="N957" s="408"/>
      <c r="O957" s="157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  <c r="AO957" s="49"/>
      <c r="AP957" s="49"/>
      <c r="AQ957" s="49"/>
      <c r="AR957" s="49"/>
      <c r="AS957" s="49"/>
      <c r="AT957" s="49"/>
      <c r="AU957" s="49"/>
      <c r="AV957" s="49"/>
      <c r="AW957" s="49"/>
      <c r="AX957" s="49"/>
      <c r="AY957" s="49"/>
      <c r="AZ957" s="49"/>
      <c r="BA957" s="49"/>
      <c r="BB957" s="49"/>
      <c r="BC957" s="49"/>
      <c r="BD957" s="49"/>
      <c r="BE957" s="68"/>
    </row>
    <row r="958" spans="1:57" s="51" customFormat="1" ht="14.25" customHeight="1">
      <c r="A958" s="834"/>
      <c r="B958" s="868"/>
      <c r="C958" s="69"/>
      <c r="D958" s="84">
        <v>2020</v>
      </c>
      <c r="E958" s="85">
        <f t="shared" si="319"/>
        <v>0</v>
      </c>
      <c r="F958" s="85">
        <f t="shared" si="319"/>
        <v>0</v>
      </c>
      <c r="G958" s="85">
        <f t="shared" si="319"/>
        <v>0</v>
      </c>
      <c r="H958" s="85">
        <f t="shared" si="319"/>
        <v>0</v>
      </c>
      <c r="I958" s="85">
        <f t="shared" si="319"/>
        <v>0</v>
      </c>
      <c r="J958" s="85">
        <f t="shared" si="319"/>
        <v>0</v>
      </c>
      <c r="K958" s="86">
        <f t="shared" si="318"/>
        <v>0</v>
      </c>
      <c r="L958" s="407"/>
      <c r="M958" s="88"/>
      <c r="N958" s="408"/>
      <c r="O958" s="157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  <c r="AO958" s="49"/>
      <c r="AP958" s="49"/>
      <c r="AQ958" s="49"/>
      <c r="AR958" s="49"/>
      <c r="AS958" s="49"/>
      <c r="AT958" s="49"/>
      <c r="AU958" s="49"/>
      <c r="AV958" s="49"/>
      <c r="AW958" s="49"/>
      <c r="AX958" s="49"/>
      <c r="AY958" s="49"/>
      <c r="AZ958" s="49"/>
      <c r="BA958" s="49"/>
      <c r="BB958" s="49"/>
      <c r="BC958" s="49"/>
      <c r="BD958" s="49"/>
      <c r="BE958" s="68"/>
    </row>
    <row r="959" spans="1:57" s="51" customFormat="1" ht="14.25" customHeight="1">
      <c r="A959" s="834"/>
      <c r="B959" s="868"/>
      <c r="C959" s="69"/>
      <c r="D959" s="84">
        <v>2021</v>
      </c>
      <c r="E959" s="85">
        <f t="shared" si="319"/>
        <v>0</v>
      </c>
      <c r="F959" s="85">
        <f t="shared" si="319"/>
        <v>0</v>
      </c>
      <c r="G959" s="85">
        <f t="shared" si="319"/>
        <v>0</v>
      </c>
      <c r="H959" s="85">
        <f t="shared" si="319"/>
        <v>0</v>
      </c>
      <c r="I959" s="85">
        <f t="shared" si="319"/>
        <v>0</v>
      </c>
      <c r="J959" s="85">
        <f t="shared" si="319"/>
        <v>0</v>
      </c>
      <c r="K959" s="86">
        <f t="shared" si="318"/>
        <v>0</v>
      </c>
      <c r="L959" s="407"/>
      <c r="M959" s="88"/>
      <c r="N959" s="408"/>
      <c r="O959" s="157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  <c r="AO959" s="49"/>
      <c r="AP959" s="49"/>
      <c r="AQ959" s="49"/>
      <c r="AR959" s="49"/>
      <c r="AS959" s="49"/>
      <c r="AT959" s="49"/>
      <c r="AU959" s="49"/>
      <c r="AV959" s="49"/>
      <c r="AW959" s="49"/>
      <c r="AX959" s="49"/>
      <c r="AY959" s="49"/>
      <c r="AZ959" s="49"/>
      <c r="BA959" s="49"/>
      <c r="BB959" s="49"/>
      <c r="BC959" s="49"/>
      <c r="BD959" s="49"/>
      <c r="BE959" s="68"/>
    </row>
    <row r="960" spans="1:57" s="51" customFormat="1" ht="14.25" customHeight="1">
      <c r="A960" s="834"/>
      <c r="B960" s="868"/>
      <c r="C960" s="69"/>
      <c r="D960" s="84">
        <v>2022</v>
      </c>
      <c r="E960" s="85">
        <f t="shared" si="319"/>
        <v>0</v>
      </c>
      <c r="F960" s="85">
        <f t="shared" si="319"/>
        <v>0</v>
      </c>
      <c r="G960" s="85">
        <f t="shared" si="319"/>
        <v>0</v>
      </c>
      <c r="H960" s="85">
        <f t="shared" si="319"/>
        <v>0</v>
      </c>
      <c r="I960" s="85">
        <f t="shared" si="319"/>
        <v>0</v>
      </c>
      <c r="J960" s="85">
        <f t="shared" si="319"/>
        <v>0</v>
      </c>
      <c r="K960" s="86">
        <f t="shared" si="318"/>
        <v>0</v>
      </c>
      <c r="L960" s="407"/>
      <c r="M960" s="88"/>
      <c r="N960" s="408"/>
      <c r="O960" s="157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  <c r="AO960" s="49"/>
      <c r="AP960" s="49"/>
      <c r="AQ960" s="49"/>
      <c r="AR960" s="49"/>
      <c r="AS960" s="49"/>
      <c r="AT960" s="49"/>
      <c r="AU960" s="49"/>
      <c r="AV960" s="49"/>
      <c r="AW960" s="49"/>
      <c r="AX960" s="49"/>
      <c r="AY960" s="49"/>
      <c r="AZ960" s="49"/>
      <c r="BA960" s="49"/>
      <c r="BB960" s="49"/>
      <c r="BC960" s="49"/>
      <c r="BD960" s="49"/>
      <c r="BE960" s="68"/>
    </row>
    <row r="961" spans="1:57" s="51" customFormat="1" ht="14.25" customHeight="1">
      <c r="A961" s="834"/>
      <c r="B961" s="868"/>
      <c r="C961" s="69"/>
      <c r="D961" s="84">
        <v>2023</v>
      </c>
      <c r="E961" s="85">
        <f t="shared" si="319"/>
        <v>0</v>
      </c>
      <c r="F961" s="85">
        <f t="shared" si="319"/>
        <v>0</v>
      </c>
      <c r="G961" s="85">
        <f t="shared" si="319"/>
        <v>0</v>
      </c>
      <c r="H961" s="85">
        <f t="shared" si="319"/>
        <v>0</v>
      </c>
      <c r="I961" s="85">
        <f t="shared" si="319"/>
        <v>0</v>
      </c>
      <c r="J961" s="85">
        <f t="shared" si="319"/>
        <v>0</v>
      </c>
      <c r="K961" s="86">
        <f t="shared" si="318"/>
        <v>0</v>
      </c>
      <c r="L961" s="407"/>
      <c r="M961" s="88"/>
      <c r="N961" s="408"/>
      <c r="O961" s="157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  <c r="AO961" s="49"/>
      <c r="AP961" s="49"/>
      <c r="AQ961" s="49"/>
      <c r="AR961" s="49"/>
      <c r="AS961" s="49"/>
      <c r="AT961" s="49"/>
      <c r="AU961" s="49"/>
      <c r="AV961" s="49"/>
      <c r="AW961" s="49"/>
      <c r="AX961" s="49"/>
      <c r="AY961" s="49"/>
      <c r="AZ961" s="49"/>
      <c r="BA961" s="49"/>
      <c r="BB961" s="49"/>
      <c r="BC961" s="49"/>
      <c r="BD961" s="49"/>
      <c r="BE961" s="68"/>
    </row>
    <row r="962" spans="1:57" s="51" customFormat="1" ht="14.25" customHeight="1">
      <c r="A962" s="834"/>
      <c r="B962" s="868"/>
      <c r="C962" s="69"/>
      <c r="D962" s="84">
        <v>2024</v>
      </c>
      <c r="E962" s="85">
        <f t="shared" si="319"/>
        <v>0</v>
      </c>
      <c r="F962" s="85">
        <f t="shared" si="319"/>
        <v>0</v>
      </c>
      <c r="G962" s="85">
        <f t="shared" si="319"/>
        <v>0</v>
      </c>
      <c r="H962" s="85">
        <f t="shared" si="319"/>
        <v>0</v>
      </c>
      <c r="I962" s="85">
        <f t="shared" si="319"/>
        <v>0</v>
      </c>
      <c r="J962" s="85">
        <f t="shared" si="319"/>
        <v>0</v>
      </c>
      <c r="K962" s="86">
        <f t="shared" si="318"/>
        <v>0</v>
      </c>
      <c r="L962" s="407"/>
      <c r="M962" s="88"/>
      <c r="N962" s="408"/>
      <c r="O962" s="157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  <c r="AO962" s="49"/>
      <c r="AP962" s="49"/>
      <c r="AQ962" s="49"/>
      <c r="AR962" s="49"/>
      <c r="AS962" s="49"/>
      <c r="AT962" s="49"/>
      <c r="AU962" s="49"/>
      <c r="AV962" s="49"/>
      <c r="AW962" s="49"/>
      <c r="AX962" s="49"/>
      <c r="AY962" s="49"/>
      <c r="AZ962" s="49"/>
      <c r="BA962" s="49"/>
      <c r="BB962" s="49"/>
      <c r="BC962" s="49"/>
      <c r="BD962" s="49"/>
      <c r="BE962" s="68"/>
    </row>
    <row r="963" spans="1:57" s="51" customFormat="1" ht="14.25" customHeight="1">
      <c r="A963" s="834"/>
      <c r="B963" s="868"/>
      <c r="C963" s="69"/>
      <c r="D963" s="84">
        <v>2025</v>
      </c>
      <c r="E963" s="85">
        <f t="shared" si="319"/>
        <v>0</v>
      </c>
      <c r="F963" s="85">
        <f t="shared" si="319"/>
        <v>0</v>
      </c>
      <c r="G963" s="85">
        <f t="shared" si="319"/>
        <v>0</v>
      </c>
      <c r="H963" s="85">
        <f t="shared" si="319"/>
        <v>0</v>
      </c>
      <c r="I963" s="85">
        <f t="shared" si="319"/>
        <v>0</v>
      </c>
      <c r="J963" s="85">
        <f t="shared" si="319"/>
        <v>0</v>
      </c>
      <c r="K963" s="86">
        <f t="shared" si="318"/>
        <v>0</v>
      </c>
      <c r="L963" s="407"/>
      <c r="M963" s="88"/>
      <c r="N963" s="408"/>
      <c r="O963" s="157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  <c r="AO963" s="49"/>
      <c r="AP963" s="49"/>
      <c r="AQ963" s="49"/>
      <c r="AR963" s="49"/>
      <c r="AS963" s="49"/>
      <c r="AT963" s="49"/>
      <c r="AU963" s="49"/>
      <c r="AV963" s="49"/>
      <c r="AW963" s="49"/>
      <c r="AX963" s="49"/>
      <c r="AY963" s="49"/>
      <c r="AZ963" s="49"/>
      <c r="BA963" s="49"/>
      <c r="BB963" s="49"/>
      <c r="BC963" s="49"/>
      <c r="BD963" s="49"/>
      <c r="BE963" s="68"/>
    </row>
    <row r="964" spans="1:57" s="51" customFormat="1" ht="14.25" customHeight="1">
      <c r="A964" s="834"/>
      <c r="B964" s="868"/>
      <c r="C964" s="69"/>
      <c r="D964" s="84">
        <v>2026</v>
      </c>
      <c r="E964" s="85">
        <f t="shared" si="319"/>
        <v>0</v>
      </c>
      <c r="F964" s="85">
        <f t="shared" si="319"/>
        <v>0</v>
      </c>
      <c r="G964" s="85">
        <f t="shared" si="319"/>
        <v>0</v>
      </c>
      <c r="H964" s="85">
        <f t="shared" si="319"/>
        <v>0</v>
      </c>
      <c r="I964" s="85">
        <f t="shared" si="319"/>
        <v>0</v>
      </c>
      <c r="J964" s="85">
        <f t="shared" si="319"/>
        <v>0</v>
      </c>
      <c r="K964" s="86">
        <f t="shared" si="318"/>
        <v>0</v>
      </c>
      <c r="L964" s="407"/>
      <c r="M964" s="88"/>
      <c r="N964" s="408"/>
      <c r="O964" s="157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  <c r="AO964" s="49"/>
      <c r="AP964" s="49"/>
      <c r="AQ964" s="49"/>
      <c r="AR964" s="49"/>
      <c r="AS964" s="49"/>
      <c r="AT964" s="49"/>
      <c r="AU964" s="49"/>
      <c r="AV964" s="49"/>
      <c r="AW964" s="49"/>
      <c r="AX964" s="49"/>
      <c r="AY964" s="49"/>
      <c r="AZ964" s="49"/>
      <c r="BA964" s="49"/>
      <c r="BB964" s="49"/>
      <c r="BC964" s="49"/>
      <c r="BD964" s="49"/>
      <c r="BE964" s="68"/>
    </row>
    <row r="965" spans="1:57" s="51" customFormat="1" ht="14.25" customHeight="1">
      <c r="A965" s="834"/>
      <c r="B965" s="868"/>
      <c r="C965" s="69"/>
      <c r="D965" s="84">
        <v>2027</v>
      </c>
      <c r="E965" s="85">
        <f t="shared" si="319"/>
        <v>0</v>
      </c>
      <c r="F965" s="85">
        <f t="shared" si="319"/>
        <v>0</v>
      </c>
      <c r="G965" s="85">
        <f t="shared" si="319"/>
        <v>0</v>
      </c>
      <c r="H965" s="85">
        <f t="shared" si="319"/>
        <v>0</v>
      </c>
      <c r="I965" s="85">
        <f t="shared" si="319"/>
        <v>0</v>
      </c>
      <c r="J965" s="85">
        <f t="shared" si="319"/>
        <v>0</v>
      </c>
      <c r="K965" s="86">
        <f t="shared" si="318"/>
        <v>0</v>
      </c>
      <c r="L965" s="407"/>
      <c r="M965" s="88"/>
      <c r="N965" s="408"/>
      <c r="O965" s="157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  <c r="AO965" s="49"/>
      <c r="AP965" s="49"/>
      <c r="AQ965" s="49"/>
      <c r="AR965" s="49"/>
      <c r="AS965" s="49"/>
      <c r="AT965" s="49"/>
      <c r="AU965" s="49"/>
      <c r="AV965" s="49"/>
      <c r="AW965" s="49"/>
      <c r="AX965" s="49"/>
      <c r="AY965" s="49"/>
      <c r="AZ965" s="49"/>
      <c r="BA965" s="49"/>
      <c r="BB965" s="49"/>
      <c r="BC965" s="49"/>
      <c r="BD965" s="49"/>
      <c r="BE965" s="68"/>
    </row>
    <row r="966" spans="1:57" s="51" customFormat="1" ht="14.25" customHeight="1">
      <c r="A966" s="834"/>
      <c r="B966" s="868"/>
      <c r="C966" s="69"/>
      <c r="D966" s="84">
        <v>2028</v>
      </c>
      <c r="E966" s="85">
        <f t="shared" si="319"/>
        <v>0</v>
      </c>
      <c r="F966" s="85">
        <f t="shared" si="319"/>
        <v>0</v>
      </c>
      <c r="G966" s="85">
        <f t="shared" si="319"/>
        <v>0</v>
      </c>
      <c r="H966" s="85">
        <f t="shared" si="319"/>
        <v>0</v>
      </c>
      <c r="I966" s="85">
        <f t="shared" si="319"/>
        <v>0</v>
      </c>
      <c r="J966" s="85">
        <f t="shared" si="319"/>
        <v>0</v>
      </c>
      <c r="K966" s="86">
        <f t="shared" si="318"/>
        <v>0</v>
      </c>
      <c r="L966" s="407"/>
      <c r="M966" s="88"/>
      <c r="N966" s="408"/>
      <c r="O966" s="157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  <c r="AO966" s="49"/>
      <c r="AP966" s="49"/>
      <c r="AQ966" s="49"/>
      <c r="AR966" s="49"/>
      <c r="AS966" s="49"/>
      <c r="AT966" s="49"/>
      <c r="AU966" s="49"/>
      <c r="AV966" s="49"/>
      <c r="AW966" s="49"/>
      <c r="AX966" s="49"/>
      <c r="AY966" s="49"/>
      <c r="AZ966" s="49"/>
      <c r="BA966" s="49"/>
      <c r="BB966" s="49"/>
      <c r="BC966" s="49"/>
      <c r="BD966" s="49"/>
      <c r="BE966" s="68"/>
    </row>
    <row r="967" spans="1:57" s="51" customFormat="1" ht="14.25" customHeight="1">
      <c r="A967" s="834"/>
      <c r="B967" s="868"/>
      <c r="C967" s="69"/>
      <c r="D967" s="84">
        <v>2029</v>
      </c>
      <c r="E967" s="85">
        <f t="shared" si="319"/>
        <v>0</v>
      </c>
      <c r="F967" s="85">
        <f t="shared" si="319"/>
        <v>0</v>
      </c>
      <c r="G967" s="85">
        <f t="shared" si="319"/>
        <v>0</v>
      </c>
      <c r="H967" s="85">
        <f t="shared" si="319"/>
        <v>0</v>
      </c>
      <c r="I967" s="85">
        <f t="shared" si="319"/>
        <v>0</v>
      </c>
      <c r="J967" s="85">
        <f t="shared" si="319"/>
        <v>0</v>
      </c>
      <c r="K967" s="86">
        <f t="shared" si="318"/>
        <v>0</v>
      </c>
      <c r="L967" s="407"/>
      <c r="M967" s="88"/>
      <c r="N967" s="408"/>
      <c r="O967" s="157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49"/>
      <c r="AU967" s="49"/>
      <c r="AV967" s="49"/>
      <c r="AW967" s="49"/>
      <c r="AX967" s="49"/>
      <c r="AY967" s="49"/>
      <c r="AZ967" s="49"/>
      <c r="BA967" s="49"/>
      <c r="BB967" s="49"/>
      <c r="BC967" s="49"/>
      <c r="BD967" s="49"/>
      <c r="BE967" s="68"/>
    </row>
    <row r="968" spans="1:57" s="51" customFormat="1" ht="14.25" customHeight="1">
      <c r="A968" s="835"/>
      <c r="B968" s="869"/>
      <c r="C968" s="78"/>
      <c r="D968" s="84">
        <v>2030</v>
      </c>
      <c r="E968" s="85">
        <f t="shared" si="319"/>
        <v>0</v>
      </c>
      <c r="F968" s="85">
        <f t="shared" si="319"/>
        <v>0</v>
      </c>
      <c r="G968" s="85">
        <f t="shared" si="319"/>
        <v>0</v>
      </c>
      <c r="H968" s="85">
        <f t="shared" si="319"/>
        <v>0</v>
      </c>
      <c r="I968" s="85">
        <f t="shared" si="319"/>
        <v>0</v>
      </c>
      <c r="J968" s="85">
        <f t="shared" si="319"/>
        <v>0</v>
      </c>
      <c r="K968" s="86">
        <f t="shared" si="318"/>
        <v>0</v>
      </c>
      <c r="L968" s="407"/>
      <c r="M968" s="88"/>
      <c r="N968" s="408"/>
      <c r="O968" s="157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  <c r="AO968" s="49"/>
      <c r="AP968" s="49"/>
      <c r="AQ968" s="49"/>
      <c r="AR968" s="49"/>
      <c r="AS968" s="49"/>
      <c r="AT968" s="49"/>
      <c r="AU968" s="49"/>
      <c r="AV968" s="49"/>
      <c r="AW968" s="49"/>
      <c r="AX968" s="49"/>
      <c r="AY968" s="49"/>
      <c r="AZ968" s="49"/>
      <c r="BA968" s="49"/>
      <c r="BB968" s="49"/>
      <c r="BC968" s="49"/>
      <c r="BD968" s="49"/>
      <c r="BE968" s="68"/>
    </row>
    <row r="969" spans="1:57" s="51" customFormat="1" ht="14.25" customHeight="1">
      <c r="A969" s="900" t="s">
        <v>975</v>
      </c>
      <c r="B969" s="867" t="s">
        <v>976</v>
      </c>
      <c r="C969" s="867"/>
      <c r="D969" s="84" t="s">
        <v>16</v>
      </c>
      <c r="E969" s="85">
        <f t="shared" ref="E969:J969" si="320">E970+E971+E972+E973+E974+E975+E976+E977+E978+E979+E980+E981</f>
        <v>0</v>
      </c>
      <c r="F969" s="85">
        <f t="shared" si="320"/>
        <v>0</v>
      </c>
      <c r="G969" s="85">
        <f t="shared" si="320"/>
        <v>0</v>
      </c>
      <c r="H969" s="85">
        <f t="shared" si="320"/>
        <v>0</v>
      </c>
      <c r="I969" s="85">
        <f t="shared" si="320"/>
        <v>0</v>
      </c>
      <c r="J969" s="85">
        <f t="shared" si="320"/>
        <v>0</v>
      </c>
      <c r="K969" s="86">
        <f t="shared" si="318"/>
        <v>0</v>
      </c>
      <c r="L969" s="407"/>
      <c r="M969" s="88"/>
      <c r="N969" s="408"/>
      <c r="O969" s="858" t="s">
        <v>527</v>
      </c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  <c r="AT969" s="49"/>
      <c r="AU969" s="49"/>
      <c r="AV969" s="49"/>
      <c r="AW969" s="49"/>
      <c r="AX969" s="49"/>
      <c r="AY969" s="49"/>
      <c r="AZ969" s="49"/>
      <c r="BA969" s="49"/>
      <c r="BB969" s="49"/>
      <c r="BC969" s="49"/>
      <c r="BD969" s="49"/>
      <c r="BE969" s="68"/>
    </row>
    <row r="970" spans="1:57" s="51" customFormat="1" ht="14.25" customHeight="1">
      <c r="A970" s="834"/>
      <c r="B970" s="872"/>
      <c r="C970" s="868"/>
      <c r="D970" s="62">
        <v>2019</v>
      </c>
      <c r="E970" s="63">
        <v>0</v>
      </c>
      <c r="F970" s="63">
        <v>0</v>
      </c>
      <c r="G970" s="63">
        <v>0</v>
      </c>
      <c r="H970" s="63">
        <v>0</v>
      </c>
      <c r="I970" s="63">
        <v>0</v>
      </c>
      <c r="J970" s="63">
        <v>0</v>
      </c>
      <c r="K970" s="86">
        <f t="shared" si="318"/>
        <v>0</v>
      </c>
      <c r="L970" s="407"/>
      <c r="M970" s="88"/>
      <c r="N970" s="408"/>
      <c r="O970" s="868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  <c r="AR970" s="49"/>
      <c r="AS970" s="49"/>
      <c r="AT970" s="49"/>
      <c r="AU970" s="49"/>
      <c r="AV970" s="49"/>
      <c r="AW970" s="49"/>
      <c r="AX970" s="49"/>
      <c r="AY970" s="49"/>
      <c r="AZ970" s="49"/>
      <c r="BA970" s="49"/>
      <c r="BB970" s="49"/>
      <c r="BC970" s="49"/>
      <c r="BD970" s="49"/>
      <c r="BE970" s="68"/>
    </row>
    <row r="971" spans="1:57" s="51" customFormat="1" ht="14.25" customHeight="1">
      <c r="A971" s="834"/>
      <c r="B971" s="872"/>
      <c r="C971" s="868"/>
      <c r="D971" s="62">
        <v>2020</v>
      </c>
      <c r="E971" s="63">
        <v>0</v>
      </c>
      <c r="F971" s="63">
        <v>0</v>
      </c>
      <c r="G971" s="63">
        <v>0</v>
      </c>
      <c r="H971" s="63">
        <v>0</v>
      </c>
      <c r="I971" s="63">
        <v>0</v>
      </c>
      <c r="J971" s="63">
        <v>0</v>
      </c>
      <c r="K971" s="86">
        <f t="shared" si="318"/>
        <v>0</v>
      </c>
      <c r="L971" s="407"/>
      <c r="M971" s="88"/>
      <c r="N971" s="408"/>
      <c r="O971" s="868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  <c r="AR971" s="49"/>
      <c r="AS971" s="49"/>
      <c r="AT971" s="49"/>
      <c r="AU971" s="49"/>
      <c r="AV971" s="49"/>
      <c r="AW971" s="49"/>
      <c r="AX971" s="49"/>
      <c r="AY971" s="49"/>
      <c r="AZ971" s="49"/>
      <c r="BA971" s="49"/>
      <c r="BB971" s="49"/>
      <c r="BC971" s="49"/>
      <c r="BD971" s="49"/>
      <c r="BE971" s="68"/>
    </row>
    <row r="972" spans="1:57" s="51" customFormat="1" ht="14.25" customHeight="1">
      <c r="A972" s="834"/>
      <c r="B972" s="872"/>
      <c r="C972" s="868"/>
      <c r="D972" s="62">
        <v>2021</v>
      </c>
      <c r="E972" s="63">
        <v>0</v>
      </c>
      <c r="F972" s="63">
        <v>0</v>
      </c>
      <c r="G972" s="63">
        <v>0</v>
      </c>
      <c r="H972" s="63">
        <v>0</v>
      </c>
      <c r="I972" s="63">
        <v>0</v>
      </c>
      <c r="J972" s="63">
        <v>0</v>
      </c>
      <c r="K972" s="86">
        <f t="shared" si="318"/>
        <v>0</v>
      </c>
      <c r="L972" s="407"/>
      <c r="M972" s="88"/>
      <c r="N972" s="408"/>
      <c r="O972" s="868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  <c r="AR972" s="49"/>
      <c r="AS972" s="49"/>
      <c r="AT972" s="49"/>
      <c r="AU972" s="49"/>
      <c r="AV972" s="49"/>
      <c r="AW972" s="49"/>
      <c r="AX972" s="49"/>
      <c r="AY972" s="49"/>
      <c r="AZ972" s="49"/>
      <c r="BA972" s="49"/>
      <c r="BB972" s="49"/>
      <c r="BC972" s="49"/>
      <c r="BD972" s="49"/>
      <c r="BE972" s="68"/>
    </row>
    <row r="973" spans="1:57" s="51" customFormat="1" ht="14.25" customHeight="1">
      <c r="A973" s="834"/>
      <c r="B973" s="872"/>
      <c r="C973" s="868"/>
      <c r="D973" s="62">
        <v>2022</v>
      </c>
      <c r="E973" s="63">
        <v>0</v>
      </c>
      <c r="F973" s="63">
        <v>0</v>
      </c>
      <c r="G973" s="63">
        <v>0</v>
      </c>
      <c r="H973" s="63">
        <v>0</v>
      </c>
      <c r="I973" s="63">
        <v>0</v>
      </c>
      <c r="J973" s="63">
        <v>0</v>
      </c>
      <c r="K973" s="86">
        <f t="shared" si="318"/>
        <v>0</v>
      </c>
      <c r="L973" s="407"/>
      <c r="M973" s="88"/>
      <c r="N973" s="408"/>
      <c r="O973" s="868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  <c r="AR973" s="49"/>
      <c r="AS973" s="49"/>
      <c r="AT973" s="49"/>
      <c r="AU973" s="49"/>
      <c r="AV973" s="49"/>
      <c r="AW973" s="49"/>
      <c r="AX973" s="49"/>
      <c r="AY973" s="49"/>
      <c r="AZ973" s="49"/>
      <c r="BA973" s="49"/>
      <c r="BB973" s="49"/>
      <c r="BC973" s="49"/>
      <c r="BD973" s="49"/>
      <c r="BE973" s="68"/>
    </row>
    <row r="974" spans="1:57" s="51" customFormat="1" ht="14.25" customHeight="1">
      <c r="A974" s="834"/>
      <c r="B974" s="872"/>
      <c r="C974" s="868"/>
      <c r="D974" s="62">
        <v>2023</v>
      </c>
      <c r="E974" s="63">
        <v>0</v>
      </c>
      <c r="F974" s="63">
        <v>0</v>
      </c>
      <c r="G974" s="63">
        <v>0</v>
      </c>
      <c r="H974" s="63">
        <v>0</v>
      </c>
      <c r="I974" s="63">
        <v>0</v>
      </c>
      <c r="J974" s="63">
        <v>0</v>
      </c>
      <c r="K974" s="86">
        <f t="shared" si="318"/>
        <v>0</v>
      </c>
      <c r="L974" s="407"/>
      <c r="M974" s="88"/>
      <c r="N974" s="408"/>
      <c r="O974" s="868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  <c r="AR974" s="49"/>
      <c r="AS974" s="49"/>
      <c r="AT974" s="49"/>
      <c r="AU974" s="49"/>
      <c r="AV974" s="49"/>
      <c r="AW974" s="49"/>
      <c r="AX974" s="49"/>
      <c r="AY974" s="49"/>
      <c r="AZ974" s="49"/>
      <c r="BA974" s="49"/>
      <c r="BB974" s="49"/>
      <c r="BC974" s="49"/>
      <c r="BD974" s="49"/>
      <c r="BE974" s="68"/>
    </row>
    <row r="975" spans="1:57" s="51" customFormat="1" ht="14.25" customHeight="1">
      <c r="A975" s="834"/>
      <c r="B975" s="872"/>
      <c r="C975" s="868"/>
      <c r="D975" s="62">
        <v>2024</v>
      </c>
      <c r="E975" s="63">
        <v>0</v>
      </c>
      <c r="F975" s="63">
        <v>0</v>
      </c>
      <c r="G975" s="63">
        <v>0</v>
      </c>
      <c r="H975" s="63">
        <v>0</v>
      </c>
      <c r="I975" s="63">
        <v>0</v>
      </c>
      <c r="J975" s="63">
        <v>0</v>
      </c>
      <c r="K975" s="86">
        <f t="shared" si="318"/>
        <v>0</v>
      </c>
      <c r="L975" s="407"/>
      <c r="M975" s="88"/>
      <c r="N975" s="408"/>
      <c r="O975" s="868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  <c r="AR975" s="49"/>
      <c r="AS975" s="49"/>
      <c r="AT975" s="49"/>
      <c r="AU975" s="49"/>
      <c r="AV975" s="49"/>
      <c r="AW975" s="49"/>
      <c r="AX975" s="49"/>
      <c r="AY975" s="49"/>
      <c r="AZ975" s="49"/>
      <c r="BA975" s="49"/>
      <c r="BB975" s="49"/>
      <c r="BC975" s="49"/>
      <c r="BD975" s="49"/>
      <c r="BE975" s="68"/>
    </row>
    <row r="976" spans="1:57" s="51" customFormat="1" ht="14.25" customHeight="1">
      <c r="A976" s="834"/>
      <c r="B976" s="872"/>
      <c r="C976" s="868"/>
      <c r="D976" s="62">
        <v>2025</v>
      </c>
      <c r="E976" s="63">
        <v>0</v>
      </c>
      <c r="F976" s="63">
        <v>0</v>
      </c>
      <c r="G976" s="63">
        <v>0</v>
      </c>
      <c r="H976" s="63">
        <v>0</v>
      </c>
      <c r="I976" s="63">
        <v>0</v>
      </c>
      <c r="J976" s="63">
        <v>0</v>
      </c>
      <c r="K976" s="86">
        <f t="shared" si="318"/>
        <v>0</v>
      </c>
      <c r="L976" s="407"/>
      <c r="M976" s="88"/>
      <c r="N976" s="408"/>
      <c r="O976" s="868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  <c r="AO976" s="49"/>
      <c r="AP976" s="49"/>
      <c r="AQ976" s="49"/>
      <c r="AR976" s="49"/>
      <c r="AS976" s="49"/>
      <c r="AT976" s="49"/>
      <c r="AU976" s="49"/>
      <c r="AV976" s="49"/>
      <c r="AW976" s="49"/>
      <c r="AX976" s="49"/>
      <c r="AY976" s="49"/>
      <c r="AZ976" s="49"/>
      <c r="BA976" s="49"/>
      <c r="BB976" s="49"/>
      <c r="BC976" s="49"/>
      <c r="BD976" s="49"/>
      <c r="BE976" s="68"/>
    </row>
    <row r="977" spans="1:57" s="51" customFormat="1" ht="14.25" customHeight="1">
      <c r="A977" s="834"/>
      <c r="B977" s="872"/>
      <c r="C977" s="868"/>
      <c r="D977" s="62">
        <v>2026</v>
      </c>
      <c r="E977" s="63">
        <v>0</v>
      </c>
      <c r="F977" s="63">
        <v>0</v>
      </c>
      <c r="G977" s="63">
        <v>0</v>
      </c>
      <c r="H977" s="63">
        <v>0</v>
      </c>
      <c r="I977" s="63">
        <v>0</v>
      </c>
      <c r="J977" s="63">
        <v>0</v>
      </c>
      <c r="K977" s="86">
        <f t="shared" si="318"/>
        <v>0</v>
      </c>
      <c r="L977" s="407"/>
      <c r="M977" s="88"/>
      <c r="N977" s="408"/>
      <c r="O977" s="868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  <c r="AO977" s="49"/>
      <c r="AP977" s="49"/>
      <c r="AQ977" s="49"/>
      <c r="AR977" s="49"/>
      <c r="AS977" s="49"/>
      <c r="AT977" s="49"/>
      <c r="AU977" s="49"/>
      <c r="AV977" s="49"/>
      <c r="AW977" s="49"/>
      <c r="AX977" s="49"/>
      <c r="AY977" s="49"/>
      <c r="AZ977" s="49"/>
      <c r="BA977" s="49"/>
      <c r="BB977" s="49"/>
      <c r="BC977" s="49"/>
      <c r="BD977" s="49"/>
      <c r="BE977" s="68"/>
    </row>
    <row r="978" spans="1:57" s="51" customFormat="1" ht="14.25" customHeight="1">
      <c r="A978" s="834"/>
      <c r="B978" s="872"/>
      <c r="C978" s="868"/>
      <c r="D978" s="62">
        <v>2027</v>
      </c>
      <c r="E978" s="63">
        <v>0</v>
      </c>
      <c r="F978" s="63">
        <v>0</v>
      </c>
      <c r="G978" s="63">
        <v>0</v>
      </c>
      <c r="H978" s="63">
        <v>0</v>
      </c>
      <c r="I978" s="63">
        <v>0</v>
      </c>
      <c r="J978" s="63">
        <v>0</v>
      </c>
      <c r="K978" s="86">
        <f t="shared" si="318"/>
        <v>0</v>
      </c>
      <c r="L978" s="407"/>
      <c r="M978" s="88"/>
      <c r="N978" s="408"/>
      <c r="O978" s="868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  <c r="AO978" s="49"/>
      <c r="AP978" s="49"/>
      <c r="AQ978" s="49"/>
      <c r="AR978" s="49"/>
      <c r="AS978" s="49"/>
      <c r="AT978" s="49"/>
      <c r="AU978" s="49"/>
      <c r="AV978" s="49"/>
      <c r="AW978" s="49"/>
      <c r="AX978" s="49"/>
      <c r="AY978" s="49"/>
      <c r="AZ978" s="49"/>
      <c r="BA978" s="49"/>
      <c r="BB978" s="49"/>
      <c r="BC978" s="49"/>
      <c r="BD978" s="49"/>
      <c r="BE978" s="68"/>
    </row>
    <row r="979" spans="1:57" s="51" customFormat="1" ht="14.25" customHeight="1">
      <c r="A979" s="834"/>
      <c r="B979" s="872"/>
      <c r="C979" s="868"/>
      <c r="D979" s="62">
        <v>2028</v>
      </c>
      <c r="E979" s="63">
        <v>0</v>
      </c>
      <c r="F979" s="63">
        <v>0</v>
      </c>
      <c r="G979" s="63">
        <v>0</v>
      </c>
      <c r="H979" s="63">
        <v>0</v>
      </c>
      <c r="I979" s="63">
        <v>0</v>
      </c>
      <c r="J979" s="63">
        <v>0</v>
      </c>
      <c r="K979" s="86">
        <f t="shared" si="318"/>
        <v>0</v>
      </c>
      <c r="L979" s="407"/>
      <c r="M979" s="88"/>
      <c r="N979" s="408"/>
      <c r="O979" s="868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  <c r="AO979" s="49"/>
      <c r="AP979" s="49"/>
      <c r="AQ979" s="49"/>
      <c r="AR979" s="49"/>
      <c r="AS979" s="49"/>
      <c r="AT979" s="49"/>
      <c r="AU979" s="49"/>
      <c r="AV979" s="49"/>
      <c r="AW979" s="49"/>
      <c r="AX979" s="49"/>
      <c r="AY979" s="49"/>
      <c r="AZ979" s="49"/>
      <c r="BA979" s="49"/>
      <c r="BB979" s="49"/>
      <c r="BC979" s="49"/>
      <c r="BD979" s="49"/>
      <c r="BE979" s="68"/>
    </row>
    <row r="980" spans="1:57" s="51" customFormat="1" ht="14.25" customHeight="1">
      <c r="A980" s="834"/>
      <c r="B980" s="872"/>
      <c r="C980" s="868"/>
      <c r="D980" s="62">
        <v>2029</v>
      </c>
      <c r="E980" s="63">
        <v>0</v>
      </c>
      <c r="F980" s="63">
        <v>0</v>
      </c>
      <c r="G980" s="63">
        <v>0</v>
      </c>
      <c r="H980" s="63">
        <v>0</v>
      </c>
      <c r="I980" s="63">
        <v>0</v>
      </c>
      <c r="J980" s="63">
        <v>0</v>
      </c>
      <c r="K980" s="86">
        <f t="shared" si="318"/>
        <v>0</v>
      </c>
      <c r="L980" s="407"/>
      <c r="M980" s="88"/>
      <c r="N980" s="408"/>
      <c r="O980" s="86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49"/>
      <c r="AU980" s="49"/>
      <c r="AV980" s="49"/>
      <c r="AW980" s="49"/>
      <c r="AX980" s="49"/>
      <c r="AY980" s="49"/>
      <c r="AZ980" s="49"/>
      <c r="BA980" s="49"/>
      <c r="BB980" s="49"/>
      <c r="BC980" s="49"/>
      <c r="BD980" s="49"/>
      <c r="BE980" s="68"/>
    </row>
    <row r="981" spans="1:57" s="51" customFormat="1" ht="14.25" customHeight="1">
      <c r="A981" s="835"/>
      <c r="B981" s="873"/>
      <c r="C981" s="869"/>
      <c r="D981" s="62">
        <v>2030</v>
      </c>
      <c r="E981" s="63">
        <v>0</v>
      </c>
      <c r="F981" s="63">
        <v>0</v>
      </c>
      <c r="G981" s="63">
        <v>0</v>
      </c>
      <c r="H981" s="63">
        <v>0</v>
      </c>
      <c r="I981" s="63">
        <v>0</v>
      </c>
      <c r="J981" s="63">
        <v>0</v>
      </c>
      <c r="K981" s="86">
        <f t="shared" si="318"/>
        <v>0</v>
      </c>
      <c r="L981" s="407"/>
      <c r="M981" s="88"/>
      <c r="N981" s="408"/>
      <c r="O981" s="86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  <c r="AO981" s="49"/>
      <c r="AP981" s="49"/>
      <c r="AQ981" s="49"/>
      <c r="AR981" s="49"/>
      <c r="AS981" s="49"/>
      <c r="AT981" s="49"/>
      <c r="AU981" s="49"/>
      <c r="AV981" s="49"/>
      <c r="AW981" s="49"/>
      <c r="AX981" s="49"/>
      <c r="AY981" s="49"/>
      <c r="AZ981" s="49"/>
      <c r="BA981" s="49"/>
      <c r="BB981" s="49"/>
      <c r="BC981" s="49"/>
      <c r="BD981" s="49"/>
      <c r="BE981" s="68"/>
    </row>
    <row r="982" spans="1:57" s="51" customFormat="1" ht="14.25" customHeight="1">
      <c r="A982" s="926" t="s">
        <v>977</v>
      </c>
      <c r="B982" s="929" t="s">
        <v>265</v>
      </c>
      <c r="C982" s="69"/>
      <c r="D982" s="84" t="s">
        <v>16</v>
      </c>
      <c r="E982" s="85">
        <f t="shared" ref="E982:J982" si="321">E983+E984+E985+E986+E987+E988+E989+E990+E991+E992+E993+E994</f>
        <v>1989.0156000000002</v>
      </c>
      <c r="F982" s="85">
        <f t="shared" si="321"/>
        <v>1884.7554000000002</v>
      </c>
      <c r="G982" s="85">
        <f t="shared" si="321"/>
        <v>0</v>
      </c>
      <c r="H982" s="85">
        <f t="shared" si="321"/>
        <v>0</v>
      </c>
      <c r="I982" s="85">
        <f t="shared" si="321"/>
        <v>0</v>
      </c>
      <c r="J982" s="85">
        <f t="shared" si="321"/>
        <v>104.26020000000001</v>
      </c>
      <c r="K982" s="86">
        <f t="shared" si="318"/>
        <v>1989.0156000000002</v>
      </c>
      <c r="L982" s="407"/>
      <c r="M982" s="88"/>
      <c r="N982" s="408"/>
      <c r="O982" s="157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  <c r="AO982" s="49"/>
      <c r="AP982" s="49"/>
      <c r="AQ982" s="49"/>
      <c r="AR982" s="49"/>
      <c r="AS982" s="49"/>
      <c r="AT982" s="49"/>
      <c r="AU982" s="49"/>
      <c r="AV982" s="49"/>
      <c r="AW982" s="49"/>
      <c r="AX982" s="49"/>
      <c r="AY982" s="49"/>
      <c r="AZ982" s="49"/>
      <c r="BA982" s="49"/>
      <c r="BB982" s="49"/>
      <c r="BC982" s="49"/>
      <c r="BD982" s="49"/>
      <c r="BE982" s="68"/>
    </row>
    <row r="983" spans="1:57" s="51" customFormat="1" ht="14.25" customHeight="1">
      <c r="A983" s="1003"/>
      <c r="B983" s="953"/>
      <c r="C983" s="69"/>
      <c r="D983" s="84">
        <v>2019</v>
      </c>
      <c r="E983" s="85">
        <f t="shared" ref="E983:J983" si="322">E996+E1021</f>
        <v>179.2253</v>
      </c>
      <c r="F983" s="85">
        <f t="shared" si="322"/>
        <v>169.74709999999999</v>
      </c>
      <c r="G983" s="85">
        <f t="shared" si="322"/>
        <v>0</v>
      </c>
      <c r="H983" s="85">
        <f t="shared" si="322"/>
        <v>0</v>
      </c>
      <c r="I983" s="85">
        <f t="shared" si="322"/>
        <v>0</v>
      </c>
      <c r="J983" s="85">
        <f t="shared" si="322"/>
        <v>9.4781999999999993</v>
      </c>
      <c r="K983" s="86">
        <f t="shared" si="318"/>
        <v>179.22529999999998</v>
      </c>
      <c r="L983" s="407"/>
      <c r="M983" s="88"/>
      <c r="N983" s="408"/>
      <c r="O983" s="157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  <c r="AO983" s="49"/>
      <c r="AP983" s="49"/>
      <c r="AQ983" s="49"/>
      <c r="AR983" s="49"/>
      <c r="AS983" s="49"/>
      <c r="AT983" s="49"/>
      <c r="AU983" s="49"/>
      <c r="AV983" s="49"/>
      <c r="AW983" s="49"/>
      <c r="AX983" s="49"/>
      <c r="AY983" s="49"/>
      <c r="AZ983" s="49"/>
      <c r="BA983" s="49"/>
      <c r="BB983" s="49"/>
      <c r="BC983" s="49"/>
      <c r="BD983" s="49"/>
      <c r="BE983" s="68"/>
    </row>
    <row r="984" spans="1:57" s="51" customFormat="1" ht="14.25" customHeight="1">
      <c r="A984" s="1003"/>
      <c r="B984" s="953"/>
      <c r="C984" s="69"/>
      <c r="D984" s="84">
        <v>2020</v>
      </c>
      <c r="E984" s="85">
        <f t="shared" ref="E984:J984" si="323">E997+E1022+E1009</f>
        <v>177.33180000000002</v>
      </c>
      <c r="F984" s="85">
        <f t="shared" si="323"/>
        <v>167.8536</v>
      </c>
      <c r="G984" s="85">
        <f t="shared" si="323"/>
        <v>0</v>
      </c>
      <c r="H984" s="85">
        <f t="shared" si="323"/>
        <v>0</v>
      </c>
      <c r="I984" s="85">
        <f t="shared" si="323"/>
        <v>0</v>
      </c>
      <c r="J984" s="85">
        <f t="shared" si="323"/>
        <v>9.4782000000000011</v>
      </c>
      <c r="K984" s="86">
        <f t="shared" si="318"/>
        <v>177.33179999999999</v>
      </c>
      <c r="L984" s="407"/>
      <c r="M984" s="88"/>
      <c r="N984" s="408"/>
      <c r="O984" s="157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  <c r="AR984" s="49"/>
      <c r="AS984" s="49"/>
      <c r="AT984" s="49"/>
      <c r="AU984" s="49"/>
      <c r="AV984" s="49"/>
      <c r="AW984" s="49"/>
      <c r="AX984" s="49"/>
      <c r="AY984" s="49"/>
      <c r="AZ984" s="49"/>
      <c r="BA984" s="49"/>
      <c r="BB984" s="49"/>
      <c r="BC984" s="49"/>
      <c r="BD984" s="49"/>
      <c r="BE984" s="68"/>
    </row>
    <row r="985" spans="1:57" s="51" customFormat="1" ht="14.25" customHeight="1">
      <c r="A985" s="1003"/>
      <c r="B985" s="953"/>
      <c r="C985" s="69"/>
      <c r="D985" s="84">
        <v>2021</v>
      </c>
      <c r="E985" s="85">
        <f t="shared" ref="E985:F994" si="324">E998+E1023+E1010</f>
        <v>159.95349999999999</v>
      </c>
      <c r="F985" s="85">
        <f t="shared" si="324"/>
        <v>150.4753</v>
      </c>
      <c r="G985" s="85">
        <f t="shared" ref="G985:I994" si="325">G998+G1023</f>
        <v>0</v>
      </c>
      <c r="H985" s="85">
        <f t="shared" si="325"/>
        <v>0</v>
      </c>
      <c r="I985" s="85">
        <f t="shared" si="325"/>
        <v>0</v>
      </c>
      <c r="J985" s="85">
        <f t="shared" ref="J985:J994" si="326">J998+J1023+J1010</f>
        <v>9.4782000000000011</v>
      </c>
      <c r="K985" s="86">
        <f t="shared" si="318"/>
        <v>159.95350000000002</v>
      </c>
      <c r="L985" s="407"/>
      <c r="M985" s="88"/>
      <c r="N985" s="408"/>
      <c r="O985" s="157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  <c r="AO985" s="49"/>
      <c r="AP985" s="49"/>
      <c r="AQ985" s="49"/>
      <c r="AR985" s="49"/>
      <c r="AS985" s="49"/>
      <c r="AT985" s="49"/>
      <c r="AU985" s="49"/>
      <c r="AV985" s="49"/>
      <c r="AW985" s="49"/>
      <c r="AX985" s="49"/>
      <c r="AY985" s="49"/>
      <c r="AZ985" s="49"/>
      <c r="BA985" s="49"/>
      <c r="BB985" s="49"/>
      <c r="BC985" s="49"/>
      <c r="BD985" s="49"/>
      <c r="BE985" s="68"/>
    </row>
    <row r="986" spans="1:57" s="51" customFormat="1" ht="14.25" customHeight="1">
      <c r="A986" s="1003"/>
      <c r="B986" s="953"/>
      <c r="C986" s="69"/>
      <c r="D986" s="84">
        <v>2022</v>
      </c>
      <c r="E986" s="85">
        <f t="shared" si="324"/>
        <v>153.92019999999999</v>
      </c>
      <c r="F986" s="85">
        <f t="shared" si="324"/>
        <v>153.92019999999999</v>
      </c>
      <c r="G986" s="85">
        <f t="shared" si="325"/>
        <v>0</v>
      </c>
      <c r="H986" s="85">
        <f t="shared" si="325"/>
        <v>0</v>
      </c>
      <c r="I986" s="85">
        <f t="shared" si="325"/>
        <v>0</v>
      </c>
      <c r="J986" s="85">
        <f t="shared" si="326"/>
        <v>0</v>
      </c>
      <c r="K986" s="86">
        <f t="shared" si="318"/>
        <v>153.92019999999999</v>
      </c>
      <c r="L986" s="407"/>
      <c r="M986" s="88"/>
      <c r="N986" s="408"/>
      <c r="O986" s="157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  <c r="AO986" s="49"/>
      <c r="AP986" s="49"/>
      <c r="AQ986" s="49"/>
      <c r="AR986" s="49"/>
      <c r="AS986" s="49"/>
      <c r="AT986" s="49"/>
      <c r="AU986" s="49"/>
      <c r="AV986" s="49"/>
      <c r="AW986" s="49"/>
      <c r="AX986" s="49"/>
      <c r="AY986" s="49"/>
      <c r="AZ986" s="49"/>
      <c r="BA986" s="49"/>
      <c r="BB986" s="49"/>
      <c r="BC986" s="49"/>
      <c r="BD986" s="49"/>
      <c r="BE986" s="68"/>
    </row>
    <row r="987" spans="1:57" s="51" customFormat="1" ht="14.25" customHeight="1">
      <c r="A987" s="1003"/>
      <c r="B987" s="953"/>
      <c r="C987" s="69"/>
      <c r="D987" s="84">
        <v>2023</v>
      </c>
      <c r="E987" s="85">
        <f t="shared" si="324"/>
        <v>164.82309999999998</v>
      </c>
      <c r="F987" s="85">
        <f t="shared" si="324"/>
        <v>155.3449</v>
      </c>
      <c r="G987" s="85">
        <f t="shared" si="325"/>
        <v>0</v>
      </c>
      <c r="H987" s="85">
        <f t="shared" si="325"/>
        <v>0</v>
      </c>
      <c r="I987" s="85">
        <f t="shared" si="325"/>
        <v>0</v>
      </c>
      <c r="J987" s="85">
        <f t="shared" si="326"/>
        <v>9.4782000000000011</v>
      </c>
      <c r="K987" s="86">
        <f t="shared" si="318"/>
        <v>164.82310000000001</v>
      </c>
      <c r="L987" s="407"/>
      <c r="M987" s="88"/>
      <c r="N987" s="408"/>
      <c r="O987" s="157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  <c r="AO987" s="49"/>
      <c r="AP987" s="49"/>
      <c r="AQ987" s="49"/>
      <c r="AR987" s="49"/>
      <c r="AS987" s="49"/>
      <c r="AT987" s="49"/>
      <c r="AU987" s="49"/>
      <c r="AV987" s="49"/>
      <c r="AW987" s="49"/>
      <c r="AX987" s="49"/>
      <c r="AY987" s="49"/>
      <c r="AZ987" s="49"/>
      <c r="BA987" s="49"/>
      <c r="BB987" s="49"/>
      <c r="BC987" s="49"/>
      <c r="BD987" s="49"/>
      <c r="BE987" s="68"/>
    </row>
    <row r="988" spans="1:57" s="51" customFormat="1" ht="14.25" customHeight="1">
      <c r="A988" s="1003"/>
      <c r="B988" s="953"/>
      <c r="C988" s="69"/>
      <c r="D988" s="84">
        <v>2024</v>
      </c>
      <c r="E988" s="85">
        <f t="shared" si="324"/>
        <v>164.82309999999998</v>
      </c>
      <c r="F988" s="85">
        <f t="shared" si="324"/>
        <v>155.3449</v>
      </c>
      <c r="G988" s="85">
        <f t="shared" si="325"/>
        <v>0</v>
      </c>
      <c r="H988" s="85">
        <f t="shared" si="325"/>
        <v>0</v>
      </c>
      <c r="I988" s="85">
        <f t="shared" si="325"/>
        <v>0</v>
      </c>
      <c r="J988" s="85">
        <f t="shared" si="326"/>
        <v>9.4782000000000011</v>
      </c>
      <c r="K988" s="86">
        <f t="shared" si="318"/>
        <v>164.82310000000001</v>
      </c>
      <c r="L988" s="407"/>
      <c r="M988" s="88"/>
      <c r="N988" s="408"/>
      <c r="O988" s="157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  <c r="AO988" s="49"/>
      <c r="AP988" s="49"/>
      <c r="AQ988" s="49"/>
      <c r="AR988" s="49"/>
      <c r="AS988" s="49"/>
      <c r="AT988" s="49"/>
      <c r="AU988" s="49"/>
      <c r="AV988" s="49"/>
      <c r="AW988" s="49"/>
      <c r="AX988" s="49"/>
      <c r="AY988" s="49"/>
      <c r="AZ988" s="49"/>
      <c r="BA988" s="49"/>
      <c r="BB988" s="49"/>
      <c r="BC988" s="49"/>
      <c r="BD988" s="49"/>
      <c r="BE988" s="68"/>
    </row>
    <row r="989" spans="1:57" s="51" customFormat="1" ht="14.25" customHeight="1">
      <c r="A989" s="1003"/>
      <c r="B989" s="953"/>
      <c r="C989" s="69"/>
      <c r="D989" s="84">
        <v>2025</v>
      </c>
      <c r="E989" s="85">
        <f t="shared" si="324"/>
        <v>164.82309999999998</v>
      </c>
      <c r="F989" s="85">
        <f t="shared" si="324"/>
        <v>155.3449</v>
      </c>
      <c r="G989" s="85">
        <f t="shared" si="325"/>
        <v>0</v>
      </c>
      <c r="H989" s="85">
        <f t="shared" si="325"/>
        <v>0</v>
      </c>
      <c r="I989" s="85">
        <f t="shared" si="325"/>
        <v>0</v>
      </c>
      <c r="J989" s="85">
        <f t="shared" si="326"/>
        <v>9.4782000000000011</v>
      </c>
      <c r="K989" s="86">
        <f t="shared" si="318"/>
        <v>164.82310000000001</v>
      </c>
      <c r="L989" s="407"/>
      <c r="M989" s="88"/>
      <c r="N989" s="408"/>
      <c r="O989" s="157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  <c r="AO989" s="49"/>
      <c r="AP989" s="49"/>
      <c r="AQ989" s="49"/>
      <c r="AR989" s="49"/>
      <c r="AS989" s="49"/>
      <c r="AT989" s="49"/>
      <c r="AU989" s="49"/>
      <c r="AV989" s="49"/>
      <c r="AW989" s="49"/>
      <c r="AX989" s="49"/>
      <c r="AY989" s="49"/>
      <c r="AZ989" s="49"/>
      <c r="BA989" s="49"/>
      <c r="BB989" s="49"/>
      <c r="BC989" s="49"/>
      <c r="BD989" s="49"/>
      <c r="BE989" s="68"/>
    </row>
    <row r="990" spans="1:57" s="51" customFormat="1" ht="14.25" customHeight="1">
      <c r="A990" s="1003"/>
      <c r="B990" s="953"/>
      <c r="C990" s="69"/>
      <c r="D990" s="84">
        <v>2026</v>
      </c>
      <c r="E990" s="85">
        <f t="shared" si="324"/>
        <v>164.82309999999998</v>
      </c>
      <c r="F990" s="85">
        <f t="shared" si="324"/>
        <v>155.3449</v>
      </c>
      <c r="G990" s="85">
        <f t="shared" si="325"/>
        <v>0</v>
      </c>
      <c r="H990" s="85">
        <f t="shared" si="325"/>
        <v>0</v>
      </c>
      <c r="I990" s="85">
        <f t="shared" si="325"/>
        <v>0</v>
      </c>
      <c r="J990" s="85">
        <f t="shared" si="326"/>
        <v>9.4782000000000011</v>
      </c>
      <c r="K990" s="86">
        <f t="shared" si="318"/>
        <v>164.82310000000001</v>
      </c>
      <c r="L990" s="407"/>
      <c r="M990" s="88"/>
      <c r="N990" s="408"/>
      <c r="O990" s="157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  <c r="AO990" s="49"/>
      <c r="AP990" s="49"/>
      <c r="AQ990" s="49"/>
      <c r="AR990" s="49"/>
      <c r="AS990" s="49"/>
      <c r="AT990" s="49"/>
      <c r="AU990" s="49"/>
      <c r="AV990" s="49"/>
      <c r="AW990" s="49"/>
      <c r="AX990" s="49"/>
      <c r="AY990" s="49"/>
      <c r="AZ990" s="49"/>
      <c r="BA990" s="49"/>
      <c r="BB990" s="49"/>
      <c r="BC990" s="49"/>
      <c r="BD990" s="49"/>
      <c r="BE990" s="68"/>
    </row>
    <row r="991" spans="1:57" s="51" customFormat="1" ht="14.25" customHeight="1">
      <c r="A991" s="1003"/>
      <c r="B991" s="953"/>
      <c r="C991" s="69"/>
      <c r="D991" s="84">
        <v>2027</v>
      </c>
      <c r="E991" s="85">
        <f t="shared" si="324"/>
        <v>164.82309999999998</v>
      </c>
      <c r="F991" s="85">
        <f t="shared" si="324"/>
        <v>155.3449</v>
      </c>
      <c r="G991" s="85">
        <f t="shared" si="325"/>
        <v>0</v>
      </c>
      <c r="H991" s="85">
        <f t="shared" si="325"/>
        <v>0</v>
      </c>
      <c r="I991" s="85">
        <f t="shared" si="325"/>
        <v>0</v>
      </c>
      <c r="J991" s="85">
        <f t="shared" si="326"/>
        <v>9.4782000000000011</v>
      </c>
      <c r="K991" s="86">
        <f t="shared" si="318"/>
        <v>164.82310000000001</v>
      </c>
      <c r="L991" s="407"/>
      <c r="M991" s="88"/>
      <c r="N991" s="408"/>
      <c r="O991" s="157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  <c r="AO991" s="49"/>
      <c r="AP991" s="49"/>
      <c r="AQ991" s="49"/>
      <c r="AR991" s="49"/>
      <c r="AS991" s="49"/>
      <c r="AT991" s="49"/>
      <c r="AU991" s="49"/>
      <c r="AV991" s="49"/>
      <c r="AW991" s="49"/>
      <c r="AX991" s="49"/>
      <c r="AY991" s="49"/>
      <c r="AZ991" s="49"/>
      <c r="BA991" s="49"/>
      <c r="BB991" s="49"/>
      <c r="BC991" s="49"/>
      <c r="BD991" s="49"/>
      <c r="BE991" s="68"/>
    </row>
    <row r="992" spans="1:57" s="51" customFormat="1" ht="14.25" customHeight="1">
      <c r="A992" s="1003"/>
      <c r="B992" s="953"/>
      <c r="C992" s="69"/>
      <c r="D992" s="84">
        <v>2028</v>
      </c>
      <c r="E992" s="85">
        <f t="shared" si="324"/>
        <v>164.82309999999998</v>
      </c>
      <c r="F992" s="85">
        <f t="shared" si="324"/>
        <v>155.3449</v>
      </c>
      <c r="G992" s="85">
        <f t="shared" si="325"/>
        <v>0</v>
      </c>
      <c r="H992" s="85">
        <f t="shared" si="325"/>
        <v>0</v>
      </c>
      <c r="I992" s="85">
        <f t="shared" si="325"/>
        <v>0</v>
      </c>
      <c r="J992" s="85">
        <f t="shared" si="326"/>
        <v>9.4782000000000011</v>
      </c>
      <c r="K992" s="86">
        <f t="shared" si="318"/>
        <v>164.82310000000001</v>
      </c>
      <c r="L992" s="407"/>
      <c r="M992" s="88"/>
      <c r="N992" s="408"/>
      <c r="O992" s="157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  <c r="AO992" s="49"/>
      <c r="AP992" s="49"/>
      <c r="AQ992" s="49"/>
      <c r="AR992" s="49"/>
      <c r="AS992" s="49"/>
      <c r="AT992" s="49"/>
      <c r="AU992" s="49"/>
      <c r="AV992" s="49"/>
      <c r="AW992" s="49"/>
      <c r="AX992" s="49"/>
      <c r="AY992" s="49"/>
      <c r="AZ992" s="49"/>
      <c r="BA992" s="49"/>
      <c r="BB992" s="49"/>
      <c r="BC992" s="49"/>
      <c r="BD992" s="49"/>
      <c r="BE992" s="68"/>
    </row>
    <row r="993" spans="1:57" s="51" customFormat="1" ht="14.25" customHeight="1">
      <c r="A993" s="1003"/>
      <c r="B993" s="953"/>
      <c r="C993" s="69"/>
      <c r="D993" s="84">
        <v>2029</v>
      </c>
      <c r="E993" s="85">
        <f t="shared" si="324"/>
        <v>164.82309999999998</v>
      </c>
      <c r="F993" s="85">
        <f t="shared" si="324"/>
        <v>155.3449</v>
      </c>
      <c r="G993" s="85">
        <f t="shared" si="325"/>
        <v>0</v>
      </c>
      <c r="H993" s="85">
        <f t="shared" si="325"/>
        <v>0</v>
      </c>
      <c r="I993" s="85">
        <f t="shared" si="325"/>
        <v>0</v>
      </c>
      <c r="J993" s="85">
        <f t="shared" si="326"/>
        <v>9.4782000000000011</v>
      </c>
      <c r="K993" s="86">
        <f t="shared" si="318"/>
        <v>164.82310000000001</v>
      </c>
      <c r="L993" s="407"/>
      <c r="M993" s="88"/>
      <c r="N993" s="408"/>
      <c r="O993" s="157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49"/>
      <c r="AU993" s="49"/>
      <c r="AV993" s="49"/>
      <c r="AW993" s="49"/>
      <c r="AX993" s="49"/>
      <c r="AY993" s="49"/>
      <c r="AZ993" s="49"/>
      <c r="BA993" s="49"/>
      <c r="BB993" s="49"/>
      <c r="BC993" s="49"/>
      <c r="BD993" s="49"/>
      <c r="BE993" s="68"/>
    </row>
    <row r="994" spans="1:57" s="51" customFormat="1" ht="14.25" customHeight="1">
      <c r="A994" s="1004"/>
      <c r="B994" s="954"/>
      <c r="C994" s="69"/>
      <c r="D994" s="84">
        <v>2030</v>
      </c>
      <c r="E994" s="85">
        <f t="shared" si="324"/>
        <v>164.82309999999998</v>
      </c>
      <c r="F994" s="85">
        <f t="shared" si="324"/>
        <v>155.3449</v>
      </c>
      <c r="G994" s="85">
        <f t="shared" si="325"/>
        <v>0</v>
      </c>
      <c r="H994" s="85">
        <f t="shared" si="325"/>
        <v>0</v>
      </c>
      <c r="I994" s="85">
        <f t="shared" si="325"/>
        <v>0</v>
      </c>
      <c r="J994" s="85">
        <f t="shared" si="326"/>
        <v>9.4782000000000011</v>
      </c>
      <c r="K994" s="86">
        <f t="shared" si="318"/>
        <v>164.82310000000001</v>
      </c>
      <c r="L994" s="407"/>
      <c r="M994" s="88"/>
      <c r="N994" s="408"/>
      <c r="O994" s="157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  <c r="AO994" s="49"/>
      <c r="AP994" s="49"/>
      <c r="AQ994" s="49"/>
      <c r="AR994" s="49"/>
      <c r="AS994" s="49"/>
      <c r="AT994" s="49"/>
      <c r="AU994" s="49"/>
      <c r="AV994" s="49"/>
      <c r="AW994" s="49"/>
      <c r="AX994" s="49"/>
      <c r="AY994" s="49"/>
      <c r="AZ994" s="49"/>
      <c r="BA994" s="49"/>
      <c r="BB994" s="49"/>
      <c r="BC994" s="49"/>
      <c r="BD994" s="49"/>
      <c r="BE994" s="68"/>
    </row>
    <row r="995" spans="1:57" s="51" customFormat="1" ht="21.75" customHeight="1">
      <c r="A995" s="900" t="s">
        <v>978</v>
      </c>
      <c r="B995" s="931" t="s">
        <v>979</v>
      </c>
      <c r="C995" s="60"/>
      <c r="D995" s="84" t="s">
        <v>16</v>
      </c>
      <c r="E995" s="85">
        <f t="shared" ref="E995:J995" si="327">E996+E997+E998+E999+E1000+E1001+E1002+E1003+E1004+E1005+E1006+E1007</f>
        <v>318.70899999999995</v>
      </c>
      <c r="F995" s="85">
        <f t="shared" si="327"/>
        <v>226.90680000000003</v>
      </c>
      <c r="G995" s="85">
        <f t="shared" si="327"/>
        <v>0</v>
      </c>
      <c r="H995" s="85">
        <f t="shared" si="327"/>
        <v>0</v>
      </c>
      <c r="I995" s="85">
        <f t="shared" si="327"/>
        <v>0</v>
      </c>
      <c r="J995" s="85">
        <f t="shared" si="327"/>
        <v>91.802199999999985</v>
      </c>
      <c r="K995" s="86">
        <f t="shared" si="318"/>
        <v>318.709</v>
      </c>
      <c r="L995" s="407"/>
      <c r="M995" s="88"/>
      <c r="N995" s="408"/>
      <c r="O995" s="858" t="s">
        <v>980</v>
      </c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  <c r="AO995" s="49"/>
      <c r="AP995" s="49"/>
      <c r="AQ995" s="49"/>
      <c r="AR995" s="49"/>
      <c r="AS995" s="49"/>
      <c r="AT995" s="49"/>
      <c r="AU995" s="49"/>
      <c r="AV995" s="49"/>
      <c r="AW995" s="49"/>
      <c r="AX995" s="49"/>
      <c r="AY995" s="49"/>
      <c r="AZ995" s="49"/>
      <c r="BA995" s="49"/>
      <c r="BB995" s="49"/>
      <c r="BC995" s="49"/>
      <c r="BD995" s="49"/>
      <c r="BE995" s="68"/>
    </row>
    <row r="996" spans="1:57" s="416" customFormat="1">
      <c r="A996" s="834"/>
      <c r="B996" s="932"/>
      <c r="C996" s="870" t="s">
        <v>981</v>
      </c>
      <c r="D996" s="417">
        <v>2019</v>
      </c>
      <c r="E996" s="418">
        <f t="shared" ref="E996:E1007" si="328">F996+G996+H996+I996+J996</f>
        <v>36.131900000000002</v>
      </c>
      <c r="F996" s="418">
        <v>26.653700000000001</v>
      </c>
      <c r="G996" s="418">
        <v>0</v>
      </c>
      <c r="H996" s="418">
        <v>0</v>
      </c>
      <c r="I996" s="418">
        <v>0</v>
      </c>
      <c r="J996" s="418">
        <v>9.4781999999999993</v>
      </c>
      <c r="K996" s="419">
        <f t="shared" si="318"/>
        <v>36.131900000000002</v>
      </c>
      <c r="L996" s="420"/>
      <c r="M996" s="421"/>
      <c r="N996" s="422"/>
      <c r="O996" s="871"/>
      <c r="P996" s="423"/>
      <c r="Q996" s="423"/>
      <c r="R996" s="423"/>
      <c r="S996" s="423"/>
      <c r="T996" s="423"/>
      <c r="U996" s="423"/>
      <c r="V996" s="423"/>
      <c r="W996" s="423"/>
      <c r="X996" s="423"/>
      <c r="Y996" s="423"/>
      <c r="Z996" s="423"/>
      <c r="AA996" s="423"/>
      <c r="AB996" s="423"/>
      <c r="AC996" s="423"/>
      <c r="AD996" s="423"/>
      <c r="AE996" s="423"/>
      <c r="AF996" s="423"/>
      <c r="AG996" s="423"/>
      <c r="AH996" s="423"/>
      <c r="AI996" s="423"/>
      <c r="AJ996" s="423"/>
      <c r="AK996" s="423"/>
      <c r="AL996" s="423"/>
      <c r="AM996" s="423"/>
      <c r="AN996" s="423"/>
      <c r="AO996" s="423"/>
      <c r="AP996" s="423"/>
      <c r="AQ996" s="423"/>
      <c r="AR996" s="423"/>
      <c r="AS996" s="423"/>
      <c r="AT996" s="423"/>
      <c r="AU996" s="423"/>
      <c r="AV996" s="423"/>
      <c r="AW996" s="423"/>
      <c r="AX996" s="423"/>
      <c r="AY996" s="423"/>
      <c r="AZ996" s="423"/>
      <c r="BA996" s="423"/>
      <c r="BB996" s="423"/>
      <c r="BC996" s="423"/>
      <c r="BD996" s="423"/>
      <c r="BE996" s="424"/>
    </row>
    <row r="997" spans="1:57" s="219" customFormat="1" ht="14.25" customHeight="1">
      <c r="A997" s="834"/>
      <c r="B997" s="932"/>
      <c r="C997" s="870"/>
      <c r="D997" s="197">
        <v>2020</v>
      </c>
      <c r="E997" s="198">
        <f t="shared" si="328"/>
        <v>28.799999999999997</v>
      </c>
      <c r="F997" s="198">
        <v>20.567599999999999</v>
      </c>
      <c r="G997" s="198">
        <v>0</v>
      </c>
      <c r="H997" s="198">
        <v>0</v>
      </c>
      <c r="I997" s="198">
        <v>0</v>
      </c>
      <c r="J997" s="198">
        <v>8.2324000000000002</v>
      </c>
      <c r="K997" s="129">
        <f t="shared" si="318"/>
        <v>28.799999999999997</v>
      </c>
      <c r="L997" s="413"/>
      <c r="M997" s="220"/>
      <c r="N997" s="414"/>
      <c r="O997" s="871"/>
      <c r="P997" s="221"/>
      <c r="Q997" s="221"/>
      <c r="R997" s="221"/>
      <c r="S997" s="221"/>
      <c r="T997" s="221"/>
      <c r="U997" s="221"/>
      <c r="V997" s="221"/>
      <c r="W997" s="221"/>
      <c r="X997" s="221"/>
      <c r="Y997" s="221"/>
      <c r="Z997" s="221"/>
      <c r="AA997" s="221"/>
      <c r="AB997" s="221"/>
      <c r="AC997" s="221"/>
      <c r="AD997" s="221"/>
      <c r="AE997" s="221"/>
      <c r="AF997" s="221"/>
      <c r="AG997" s="221"/>
      <c r="AH997" s="221"/>
      <c r="AI997" s="221"/>
      <c r="AJ997" s="221"/>
      <c r="AK997" s="221"/>
      <c r="AL997" s="221"/>
      <c r="AM997" s="221"/>
      <c r="AN997" s="221"/>
      <c r="AO997" s="221"/>
      <c r="AP997" s="221"/>
      <c r="AQ997" s="221"/>
      <c r="AR997" s="221"/>
      <c r="AS997" s="221"/>
      <c r="AT997" s="221"/>
      <c r="AU997" s="221"/>
      <c r="AV997" s="221"/>
      <c r="AW997" s="221"/>
      <c r="AX997" s="221"/>
      <c r="AY997" s="221"/>
      <c r="AZ997" s="221"/>
      <c r="BA997" s="221"/>
      <c r="BB997" s="221"/>
      <c r="BC997" s="221"/>
      <c r="BD997" s="221"/>
      <c r="BE997" s="222"/>
    </row>
    <row r="998" spans="1:57" s="219" customFormat="1" ht="14.25" customHeight="1">
      <c r="A998" s="834"/>
      <c r="B998" s="932"/>
      <c r="C998" s="870"/>
      <c r="D998" s="197">
        <v>2021</v>
      </c>
      <c r="E998" s="198">
        <f t="shared" si="328"/>
        <v>26.107799999999997</v>
      </c>
      <c r="F998" s="198">
        <v>17.875399999999999</v>
      </c>
      <c r="G998" s="198">
        <v>0</v>
      </c>
      <c r="H998" s="198">
        <v>0</v>
      </c>
      <c r="I998" s="198">
        <v>0</v>
      </c>
      <c r="J998" s="198">
        <v>8.2324000000000002</v>
      </c>
      <c r="K998" s="129">
        <f t="shared" si="318"/>
        <v>26.107799999999997</v>
      </c>
      <c r="L998" s="413"/>
      <c r="M998" s="220"/>
      <c r="N998" s="414"/>
      <c r="O998" s="871"/>
      <c r="P998" s="221"/>
      <c r="Q998" s="221"/>
      <c r="R998" s="221"/>
      <c r="S998" s="221"/>
      <c r="T998" s="221"/>
      <c r="U998" s="221"/>
      <c r="V998" s="221"/>
      <c r="W998" s="221"/>
      <c r="X998" s="221"/>
      <c r="Y998" s="221"/>
      <c r="Z998" s="221"/>
      <c r="AA998" s="221"/>
      <c r="AB998" s="221"/>
      <c r="AC998" s="221"/>
      <c r="AD998" s="221"/>
      <c r="AE998" s="221"/>
      <c r="AF998" s="221"/>
      <c r="AG998" s="221"/>
      <c r="AH998" s="221"/>
      <c r="AI998" s="221"/>
      <c r="AJ998" s="221"/>
      <c r="AK998" s="221"/>
      <c r="AL998" s="221"/>
      <c r="AM998" s="221"/>
      <c r="AN998" s="221"/>
      <c r="AO998" s="221"/>
      <c r="AP998" s="221"/>
      <c r="AQ998" s="221"/>
      <c r="AR998" s="221"/>
      <c r="AS998" s="221"/>
      <c r="AT998" s="221"/>
      <c r="AU998" s="221"/>
      <c r="AV998" s="221"/>
      <c r="AW998" s="221"/>
      <c r="AX998" s="221"/>
      <c r="AY998" s="221"/>
      <c r="AZ998" s="221"/>
      <c r="BA998" s="221"/>
      <c r="BB998" s="221"/>
      <c r="BC998" s="221"/>
      <c r="BD998" s="221"/>
      <c r="BE998" s="222"/>
    </row>
    <row r="999" spans="1:57" s="219" customFormat="1" ht="14.25" customHeight="1">
      <c r="A999" s="834"/>
      <c r="B999" s="932"/>
      <c r="C999" s="870"/>
      <c r="D999" s="197">
        <v>2022</v>
      </c>
      <c r="E999" s="198">
        <f t="shared" si="328"/>
        <v>17.978899999999999</v>
      </c>
      <c r="F999" s="198">
        <v>17.978899999999999</v>
      </c>
      <c r="G999" s="198">
        <v>0</v>
      </c>
      <c r="H999" s="198">
        <v>0</v>
      </c>
      <c r="I999" s="198">
        <v>0</v>
      </c>
      <c r="J999" s="198">
        <v>0</v>
      </c>
      <c r="K999" s="129">
        <f t="shared" si="318"/>
        <v>17.978899999999999</v>
      </c>
      <c r="L999" s="413"/>
      <c r="M999" s="220"/>
      <c r="N999" s="414"/>
      <c r="O999" s="871"/>
      <c r="P999" s="221"/>
      <c r="Q999" s="221"/>
      <c r="R999" s="221"/>
      <c r="S999" s="221"/>
      <c r="T999" s="221"/>
      <c r="U999" s="221"/>
      <c r="V999" s="221"/>
      <c r="W999" s="221"/>
      <c r="X999" s="221"/>
      <c r="Y999" s="221"/>
      <c r="Z999" s="221"/>
      <c r="AA999" s="221"/>
      <c r="AB999" s="221"/>
      <c r="AC999" s="221"/>
      <c r="AD999" s="221"/>
      <c r="AE999" s="221"/>
      <c r="AF999" s="221"/>
      <c r="AG999" s="221"/>
      <c r="AH999" s="221"/>
      <c r="AI999" s="221"/>
      <c r="AJ999" s="221"/>
      <c r="AK999" s="221"/>
      <c r="AL999" s="221"/>
      <c r="AM999" s="221"/>
      <c r="AN999" s="221"/>
      <c r="AO999" s="221"/>
      <c r="AP999" s="221"/>
      <c r="AQ999" s="221"/>
      <c r="AR999" s="221"/>
      <c r="AS999" s="221"/>
      <c r="AT999" s="221"/>
      <c r="AU999" s="221"/>
      <c r="AV999" s="221"/>
      <c r="AW999" s="221"/>
      <c r="AX999" s="221"/>
      <c r="AY999" s="221"/>
      <c r="AZ999" s="221"/>
      <c r="BA999" s="221"/>
      <c r="BB999" s="221"/>
      <c r="BC999" s="221"/>
      <c r="BD999" s="221"/>
      <c r="BE999" s="222"/>
    </row>
    <row r="1000" spans="1:57" s="51" customFormat="1" ht="14.25" customHeight="1">
      <c r="A1000" s="834"/>
      <c r="B1000" s="932"/>
      <c r="C1000" s="870"/>
      <c r="D1000" s="62">
        <v>2023</v>
      </c>
      <c r="E1000" s="63">
        <f t="shared" si="328"/>
        <v>26.211300000000001</v>
      </c>
      <c r="F1000" s="63">
        <v>17.978899999999999</v>
      </c>
      <c r="G1000" s="63">
        <v>0</v>
      </c>
      <c r="H1000" s="63">
        <v>0</v>
      </c>
      <c r="I1000" s="63">
        <v>0</v>
      </c>
      <c r="J1000" s="63">
        <v>8.2324000000000002</v>
      </c>
      <c r="K1000" s="86">
        <f t="shared" si="318"/>
        <v>26.211300000000001</v>
      </c>
      <c r="L1000" s="407"/>
      <c r="M1000" s="88"/>
      <c r="N1000" s="408"/>
      <c r="O1000" s="871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  <c r="AO1000" s="49"/>
      <c r="AP1000" s="49"/>
      <c r="AQ1000" s="49"/>
      <c r="AR1000" s="49"/>
      <c r="AS1000" s="49"/>
      <c r="AT1000" s="49"/>
      <c r="AU1000" s="49"/>
      <c r="AV1000" s="49"/>
      <c r="AW1000" s="49"/>
      <c r="AX1000" s="49"/>
      <c r="AY1000" s="49"/>
      <c r="AZ1000" s="49"/>
      <c r="BA1000" s="49"/>
      <c r="BB1000" s="49"/>
      <c r="BC1000" s="49"/>
      <c r="BD1000" s="49"/>
      <c r="BE1000" s="68"/>
    </row>
    <row r="1001" spans="1:57" s="51" customFormat="1" ht="14.25" customHeight="1">
      <c r="A1001" s="834"/>
      <c r="B1001" s="932"/>
      <c r="C1001" s="870"/>
      <c r="D1001" s="62">
        <v>2024</v>
      </c>
      <c r="E1001" s="63">
        <f t="shared" si="328"/>
        <v>26.211300000000001</v>
      </c>
      <c r="F1001" s="63">
        <v>17.978899999999999</v>
      </c>
      <c r="G1001" s="63">
        <v>0</v>
      </c>
      <c r="H1001" s="63">
        <v>0</v>
      </c>
      <c r="I1001" s="63">
        <v>0</v>
      </c>
      <c r="J1001" s="63">
        <v>8.2324000000000002</v>
      </c>
      <c r="K1001" s="86">
        <f t="shared" si="318"/>
        <v>26.211300000000001</v>
      </c>
      <c r="L1001" s="407"/>
      <c r="M1001" s="88"/>
      <c r="N1001" s="408"/>
      <c r="O1001" s="871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  <c r="AK1001" s="49"/>
      <c r="AL1001" s="49"/>
      <c r="AM1001" s="49"/>
      <c r="AN1001" s="49"/>
      <c r="AO1001" s="49"/>
      <c r="AP1001" s="49"/>
      <c r="AQ1001" s="49"/>
      <c r="AR1001" s="49"/>
      <c r="AS1001" s="49"/>
      <c r="AT1001" s="49"/>
      <c r="AU1001" s="49"/>
      <c r="AV1001" s="49"/>
      <c r="AW1001" s="49"/>
      <c r="AX1001" s="49"/>
      <c r="AY1001" s="49"/>
      <c r="AZ1001" s="49"/>
      <c r="BA1001" s="49"/>
      <c r="BB1001" s="49"/>
      <c r="BC1001" s="49"/>
      <c r="BD1001" s="49"/>
      <c r="BE1001" s="68"/>
    </row>
    <row r="1002" spans="1:57" s="51" customFormat="1" ht="14.25" customHeight="1">
      <c r="A1002" s="834"/>
      <c r="B1002" s="932"/>
      <c r="C1002" s="870"/>
      <c r="D1002" s="62">
        <v>2025</v>
      </c>
      <c r="E1002" s="63">
        <f t="shared" si="328"/>
        <v>26.211300000000001</v>
      </c>
      <c r="F1002" s="63">
        <v>17.978899999999999</v>
      </c>
      <c r="G1002" s="63">
        <v>0</v>
      </c>
      <c r="H1002" s="63">
        <v>0</v>
      </c>
      <c r="I1002" s="63">
        <v>0</v>
      </c>
      <c r="J1002" s="63">
        <v>8.2324000000000002</v>
      </c>
      <c r="K1002" s="86">
        <f t="shared" si="318"/>
        <v>26.211300000000001</v>
      </c>
      <c r="L1002" s="407"/>
      <c r="M1002" s="88"/>
      <c r="N1002" s="408"/>
      <c r="O1002" s="871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  <c r="AL1002" s="49"/>
      <c r="AM1002" s="49"/>
      <c r="AN1002" s="49"/>
      <c r="AO1002" s="49"/>
      <c r="AP1002" s="49"/>
      <c r="AQ1002" s="49"/>
      <c r="AR1002" s="49"/>
      <c r="AS1002" s="49"/>
      <c r="AT1002" s="49"/>
      <c r="AU1002" s="49"/>
      <c r="AV1002" s="49"/>
      <c r="AW1002" s="49"/>
      <c r="AX1002" s="49"/>
      <c r="AY1002" s="49"/>
      <c r="AZ1002" s="49"/>
      <c r="BA1002" s="49"/>
      <c r="BB1002" s="49"/>
      <c r="BC1002" s="49"/>
      <c r="BD1002" s="49"/>
      <c r="BE1002" s="68"/>
    </row>
    <row r="1003" spans="1:57" s="51" customFormat="1" ht="14.25" customHeight="1">
      <c r="A1003" s="834"/>
      <c r="B1003" s="932"/>
      <c r="C1003" s="870" t="s">
        <v>982</v>
      </c>
      <c r="D1003" s="62">
        <v>2026</v>
      </c>
      <c r="E1003" s="63">
        <f t="shared" si="328"/>
        <v>26.211300000000001</v>
      </c>
      <c r="F1003" s="63">
        <v>17.978899999999999</v>
      </c>
      <c r="G1003" s="63">
        <v>0</v>
      </c>
      <c r="H1003" s="63">
        <v>0</v>
      </c>
      <c r="I1003" s="63">
        <v>0</v>
      </c>
      <c r="J1003" s="63">
        <v>8.2324000000000002</v>
      </c>
      <c r="K1003" s="86">
        <f t="shared" si="318"/>
        <v>26.211300000000001</v>
      </c>
      <c r="L1003" s="407"/>
      <c r="M1003" s="88"/>
      <c r="N1003" s="408"/>
      <c r="O1003" s="871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  <c r="AK1003" s="49"/>
      <c r="AL1003" s="49"/>
      <c r="AM1003" s="49"/>
      <c r="AN1003" s="49"/>
      <c r="AO1003" s="49"/>
      <c r="AP1003" s="49"/>
      <c r="AQ1003" s="49"/>
      <c r="AR1003" s="49"/>
      <c r="AS1003" s="49"/>
      <c r="AT1003" s="49"/>
      <c r="AU1003" s="49"/>
      <c r="AV1003" s="49"/>
      <c r="AW1003" s="49"/>
      <c r="AX1003" s="49"/>
      <c r="AY1003" s="49"/>
      <c r="AZ1003" s="49"/>
      <c r="BA1003" s="49"/>
      <c r="BB1003" s="49"/>
      <c r="BC1003" s="49"/>
      <c r="BD1003" s="49"/>
      <c r="BE1003" s="68"/>
    </row>
    <row r="1004" spans="1:57" s="51" customFormat="1" ht="14.25" customHeight="1">
      <c r="A1004" s="834"/>
      <c r="B1004" s="932"/>
      <c r="C1004" s="870"/>
      <c r="D1004" s="62">
        <v>2027</v>
      </c>
      <c r="E1004" s="63">
        <f t="shared" si="328"/>
        <v>26.211300000000001</v>
      </c>
      <c r="F1004" s="63">
        <v>17.978899999999999</v>
      </c>
      <c r="G1004" s="63">
        <v>0</v>
      </c>
      <c r="H1004" s="63">
        <v>0</v>
      </c>
      <c r="I1004" s="63">
        <v>0</v>
      </c>
      <c r="J1004" s="63">
        <v>8.2324000000000002</v>
      </c>
      <c r="K1004" s="86">
        <f t="shared" si="318"/>
        <v>26.211300000000001</v>
      </c>
      <c r="L1004" s="407"/>
      <c r="M1004" s="88"/>
      <c r="N1004" s="408"/>
      <c r="O1004" s="871"/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  <c r="AK1004" s="49"/>
      <c r="AL1004" s="49"/>
      <c r="AM1004" s="49"/>
      <c r="AN1004" s="49"/>
      <c r="AO1004" s="49"/>
      <c r="AP1004" s="49"/>
      <c r="AQ1004" s="49"/>
      <c r="AR1004" s="49"/>
      <c r="AS1004" s="49"/>
      <c r="AT1004" s="49"/>
      <c r="AU1004" s="49"/>
      <c r="AV1004" s="49"/>
      <c r="AW1004" s="49"/>
      <c r="AX1004" s="49"/>
      <c r="AY1004" s="49"/>
      <c r="AZ1004" s="49"/>
      <c r="BA1004" s="49"/>
      <c r="BB1004" s="49"/>
      <c r="BC1004" s="49"/>
      <c r="BD1004" s="49"/>
      <c r="BE1004" s="68"/>
    </row>
    <row r="1005" spans="1:57" s="51" customFormat="1" ht="14.25" customHeight="1">
      <c r="A1005" s="834"/>
      <c r="B1005" s="932"/>
      <c r="C1005" s="870"/>
      <c r="D1005" s="62">
        <v>2028</v>
      </c>
      <c r="E1005" s="63">
        <f t="shared" si="328"/>
        <v>26.211300000000001</v>
      </c>
      <c r="F1005" s="63">
        <v>17.978899999999999</v>
      </c>
      <c r="G1005" s="63">
        <v>0</v>
      </c>
      <c r="H1005" s="63">
        <v>0</v>
      </c>
      <c r="I1005" s="63">
        <v>0</v>
      </c>
      <c r="J1005" s="63">
        <v>8.2324000000000002</v>
      </c>
      <c r="K1005" s="86">
        <f t="shared" si="318"/>
        <v>26.211300000000001</v>
      </c>
      <c r="L1005" s="407"/>
      <c r="M1005" s="88"/>
      <c r="N1005" s="408"/>
      <c r="O1005" s="871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  <c r="AK1005" s="49"/>
      <c r="AL1005" s="49"/>
      <c r="AM1005" s="49"/>
      <c r="AN1005" s="49"/>
      <c r="AO1005" s="49"/>
      <c r="AP1005" s="49"/>
      <c r="AQ1005" s="49"/>
      <c r="AR1005" s="49"/>
      <c r="AS1005" s="49"/>
      <c r="AT1005" s="49"/>
      <c r="AU1005" s="49"/>
      <c r="AV1005" s="49"/>
      <c r="AW1005" s="49"/>
      <c r="AX1005" s="49"/>
      <c r="AY1005" s="49"/>
      <c r="AZ1005" s="49"/>
      <c r="BA1005" s="49"/>
      <c r="BB1005" s="49"/>
      <c r="BC1005" s="49"/>
      <c r="BD1005" s="49"/>
      <c r="BE1005" s="68"/>
    </row>
    <row r="1006" spans="1:57" s="51" customFormat="1" ht="14.25" customHeight="1">
      <c r="A1006" s="834"/>
      <c r="B1006" s="932"/>
      <c r="C1006" s="870"/>
      <c r="D1006" s="62">
        <v>2029</v>
      </c>
      <c r="E1006" s="63">
        <f t="shared" si="328"/>
        <v>26.211300000000001</v>
      </c>
      <c r="F1006" s="63">
        <v>17.978899999999999</v>
      </c>
      <c r="G1006" s="63">
        <v>0</v>
      </c>
      <c r="H1006" s="63">
        <v>0</v>
      </c>
      <c r="I1006" s="63">
        <v>0</v>
      </c>
      <c r="J1006" s="63">
        <v>8.2324000000000002</v>
      </c>
      <c r="K1006" s="86">
        <f t="shared" si="318"/>
        <v>26.211300000000001</v>
      </c>
      <c r="L1006" s="407"/>
      <c r="M1006" s="88"/>
      <c r="N1006" s="408"/>
      <c r="O1006" s="871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49"/>
      <c r="AU1006" s="49"/>
      <c r="AV1006" s="49"/>
      <c r="AW1006" s="49"/>
      <c r="AX1006" s="49"/>
      <c r="AY1006" s="49"/>
      <c r="AZ1006" s="49"/>
      <c r="BA1006" s="49"/>
      <c r="BB1006" s="49"/>
      <c r="BC1006" s="49"/>
      <c r="BD1006" s="49"/>
      <c r="BE1006" s="68"/>
    </row>
    <row r="1007" spans="1:57" s="51" customFormat="1" ht="14.25" customHeight="1">
      <c r="A1007" s="835"/>
      <c r="B1007" s="933"/>
      <c r="C1007" s="870"/>
      <c r="D1007" s="62">
        <v>2030</v>
      </c>
      <c r="E1007" s="63">
        <f t="shared" si="328"/>
        <v>26.211300000000001</v>
      </c>
      <c r="F1007" s="63">
        <v>17.978899999999999</v>
      </c>
      <c r="G1007" s="63">
        <v>0</v>
      </c>
      <c r="H1007" s="63">
        <v>0</v>
      </c>
      <c r="I1007" s="63">
        <v>0</v>
      </c>
      <c r="J1007" s="63">
        <v>8.2324000000000002</v>
      </c>
      <c r="K1007" s="86">
        <f t="shared" si="318"/>
        <v>26.211300000000001</v>
      </c>
      <c r="L1007" s="407"/>
      <c r="M1007" s="88"/>
      <c r="N1007" s="408"/>
      <c r="O1007" s="988"/>
      <c r="P1007" s="49"/>
      <c r="Q1007" s="49"/>
      <c r="R1007" s="49"/>
      <c r="S1007" s="49"/>
      <c r="T1007" s="49"/>
      <c r="U1007" s="49"/>
      <c r="V1007" s="49"/>
      <c r="W1007" s="49"/>
      <c r="X1007" s="49"/>
      <c r="Y1007" s="49"/>
      <c r="Z1007" s="49"/>
      <c r="AA1007" s="49"/>
      <c r="AB1007" s="49"/>
      <c r="AC1007" s="49"/>
      <c r="AD1007" s="49"/>
      <c r="AE1007" s="49"/>
      <c r="AF1007" s="49"/>
      <c r="AG1007" s="49"/>
      <c r="AH1007" s="49"/>
      <c r="AI1007" s="49"/>
      <c r="AJ1007" s="49"/>
      <c r="AK1007" s="49"/>
      <c r="AL1007" s="49"/>
      <c r="AM1007" s="49"/>
      <c r="AN1007" s="49"/>
      <c r="AO1007" s="49"/>
      <c r="AP1007" s="49"/>
      <c r="AQ1007" s="49"/>
      <c r="AR1007" s="49"/>
      <c r="AS1007" s="49"/>
      <c r="AT1007" s="49"/>
      <c r="AU1007" s="49"/>
      <c r="AV1007" s="49"/>
      <c r="AW1007" s="49"/>
      <c r="AX1007" s="49"/>
      <c r="AY1007" s="49"/>
      <c r="AZ1007" s="49"/>
      <c r="BA1007" s="49"/>
      <c r="BB1007" s="49"/>
      <c r="BC1007" s="49"/>
      <c r="BD1007" s="49"/>
      <c r="BE1007" s="68"/>
    </row>
    <row r="1008" spans="1:57" s="51" customFormat="1" ht="14.25" customHeight="1">
      <c r="A1008" s="900" t="s">
        <v>983</v>
      </c>
      <c r="B1008" s="931" t="s">
        <v>984</v>
      </c>
      <c r="C1008" s="60"/>
      <c r="D1008" s="84" t="s">
        <v>16</v>
      </c>
      <c r="E1008" s="63">
        <f t="shared" ref="E1008:J1008" si="329">E1009+E1010+E1011+E1012+E1013+E1014+E1015+E1016+E1017+E1018+E1019</f>
        <v>31.361200000000004</v>
      </c>
      <c r="F1008" s="63">
        <f t="shared" si="329"/>
        <v>18.903199999999998</v>
      </c>
      <c r="G1008" s="63">
        <f t="shared" si="329"/>
        <v>0</v>
      </c>
      <c r="H1008" s="63">
        <f t="shared" si="329"/>
        <v>0</v>
      </c>
      <c r="I1008" s="63">
        <f t="shared" si="329"/>
        <v>0</v>
      </c>
      <c r="J1008" s="63">
        <f t="shared" si="329"/>
        <v>12.457999999999998</v>
      </c>
      <c r="K1008" s="86">
        <f t="shared" si="318"/>
        <v>31.361199999999997</v>
      </c>
      <c r="L1008" s="407"/>
      <c r="M1008" s="88"/>
      <c r="N1008" s="408"/>
      <c r="O1008" s="172"/>
      <c r="P1008" s="49"/>
      <c r="Q1008" s="49"/>
      <c r="R1008" s="49"/>
      <c r="S1008" s="49"/>
      <c r="T1008" s="49"/>
      <c r="U1008" s="49"/>
      <c r="V1008" s="49"/>
      <c r="W1008" s="49"/>
      <c r="X1008" s="49"/>
      <c r="Y1008" s="49"/>
      <c r="Z1008" s="49"/>
      <c r="AA1008" s="49"/>
      <c r="AB1008" s="49"/>
      <c r="AC1008" s="49"/>
      <c r="AD1008" s="49"/>
      <c r="AE1008" s="49"/>
      <c r="AF1008" s="49"/>
      <c r="AG1008" s="49"/>
      <c r="AH1008" s="49"/>
      <c r="AI1008" s="49"/>
      <c r="AJ1008" s="49"/>
      <c r="AK1008" s="49"/>
      <c r="AL1008" s="49"/>
      <c r="AM1008" s="49"/>
      <c r="AN1008" s="49"/>
      <c r="AO1008" s="49"/>
      <c r="AP1008" s="49"/>
      <c r="AQ1008" s="49"/>
      <c r="AR1008" s="49"/>
      <c r="AS1008" s="49"/>
      <c r="AT1008" s="49"/>
      <c r="AU1008" s="49"/>
      <c r="AV1008" s="49"/>
      <c r="AW1008" s="49"/>
      <c r="AX1008" s="49"/>
      <c r="AY1008" s="49"/>
      <c r="AZ1008" s="49"/>
      <c r="BA1008" s="49"/>
      <c r="BB1008" s="49"/>
      <c r="BC1008" s="49"/>
      <c r="BD1008" s="49"/>
      <c r="BE1008" s="68"/>
    </row>
    <row r="1009" spans="1:57" s="219" customFormat="1" ht="14.25" customHeight="1">
      <c r="A1009" s="834"/>
      <c r="B1009" s="932"/>
      <c r="C1009" s="867" t="s">
        <v>981</v>
      </c>
      <c r="D1009" s="197">
        <v>2020</v>
      </c>
      <c r="E1009" s="198">
        <f t="shared" ref="E1009:E1019" si="330">F1009+G1009+H1009+I1009+J1009</f>
        <v>3.2515000000000001</v>
      </c>
      <c r="F1009" s="198">
        <v>2.0057</v>
      </c>
      <c r="G1009" s="198">
        <v>0</v>
      </c>
      <c r="H1009" s="198">
        <v>0</v>
      </c>
      <c r="I1009" s="198">
        <v>0</v>
      </c>
      <c r="J1009" s="198">
        <v>1.2458</v>
      </c>
      <c r="K1009" s="129">
        <f t="shared" si="318"/>
        <v>3.2515000000000001</v>
      </c>
      <c r="L1009" s="413"/>
      <c r="M1009" s="220"/>
      <c r="N1009" s="414"/>
      <c r="O1009" s="365"/>
      <c r="P1009" s="221"/>
      <c r="Q1009" s="221"/>
      <c r="R1009" s="221"/>
      <c r="S1009" s="221"/>
      <c r="T1009" s="221"/>
      <c r="U1009" s="221"/>
      <c r="V1009" s="221"/>
      <c r="W1009" s="221"/>
      <c r="X1009" s="221"/>
      <c r="Y1009" s="221"/>
      <c r="Z1009" s="221"/>
      <c r="AA1009" s="221"/>
      <c r="AB1009" s="221"/>
      <c r="AC1009" s="221"/>
      <c r="AD1009" s="221"/>
      <c r="AE1009" s="221"/>
      <c r="AF1009" s="221"/>
      <c r="AG1009" s="221"/>
      <c r="AH1009" s="221"/>
      <c r="AI1009" s="221"/>
      <c r="AJ1009" s="221"/>
      <c r="AK1009" s="221"/>
      <c r="AL1009" s="221"/>
      <c r="AM1009" s="221"/>
      <c r="AN1009" s="221"/>
      <c r="AO1009" s="221"/>
      <c r="AP1009" s="221"/>
      <c r="AQ1009" s="221"/>
      <c r="AR1009" s="221"/>
      <c r="AS1009" s="221"/>
      <c r="AT1009" s="221"/>
      <c r="AU1009" s="221"/>
      <c r="AV1009" s="221"/>
      <c r="AW1009" s="221"/>
      <c r="AX1009" s="221"/>
      <c r="AY1009" s="221"/>
      <c r="AZ1009" s="221"/>
      <c r="BA1009" s="221"/>
      <c r="BB1009" s="221"/>
      <c r="BC1009" s="221"/>
      <c r="BD1009" s="221"/>
      <c r="BE1009" s="222"/>
    </row>
    <row r="1010" spans="1:57" s="219" customFormat="1" ht="14.25" customHeight="1">
      <c r="A1010" s="834"/>
      <c r="B1010" s="932"/>
      <c r="C1010" s="872"/>
      <c r="D1010" s="197">
        <v>2021</v>
      </c>
      <c r="E1010" s="198">
        <f t="shared" si="330"/>
        <v>2.9333</v>
      </c>
      <c r="F1010" s="198">
        <v>1.6875</v>
      </c>
      <c r="G1010" s="198">
        <v>0</v>
      </c>
      <c r="H1010" s="198">
        <v>0</v>
      </c>
      <c r="I1010" s="198">
        <v>0</v>
      </c>
      <c r="J1010" s="198">
        <v>1.2458</v>
      </c>
      <c r="K1010" s="129">
        <f t="shared" si="318"/>
        <v>2.9333</v>
      </c>
      <c r="L1010" s="413"/>
      <c r="M1010" s="220"/>
      <c r="N1010" s="414"/>
      <c r="O1010" s="365"/>
      <c r="P1010" s="221"/>
      <c r="Q1010" s="221"/>
      <c r="R1010" s="221"/>
      <c r="S1010" s="221"/>
      <c r="T1010" s="221"/>
      <c r="U1010" s="221"/>
      <c r="V1010" s="221"/>
      <c r="W1010" s="221"/>
      <c r="X1010" s="221"/>
      <c r="Y1010" s="221"/>
      <c r="Z1010" s="221"/>
      <c r="AA1010" s="221"/>
      <c r="AB1010" s="221"/>
      <c r="AC1010" s="221"/>
      <c r="AD1010" s="221"/>
      <c r="AE1010" s="221"/>
      <c r="AF1010" s="221"/>
      <c r="AG1010" s="221"/>
      <c r="AH1010" s="221"/>
      <c r="AI1010" s="221"/>
      <c r="AJ1010" s="221"/>
      <c r="AK1010" s="221"/>
      <c r="AL1010" s="221"/>
      <c r="AM1010" s="221"/>
      <c r="AN1010" s="221"/>
      <c r="AO1010" s="221"/>
      <c r="AP1010" s="221"/>
      <c r="AQ1010" s="221"/>
      <c r="AR1010" s="221"/>
      <c r="AS1010" s="221"/>
      <c r="AT1010" s="221"/>
      <c r="AU1010" s="221"/>
      <c r="AV1010" s="221"/>
      <c r="AW1010" s="221"/>
      <c r="AX1010" s="221"/>
      <c r="AY1010" s="221"/>
      <c r="AZ1010" s="221"/>
      <c r="BA1010" s="221"/>
      <c r="BB1010" s="221"/>
      <c r="BC1010" s="221"/>
      <c r="BD1010" s="221"/>
      <c r="BE1010" s="222"/>
    </row>
    <row r="1011" spans="1:57" s="219" customFormat="1" ht="14.25" customHeight="1">
      <c r="A1011" s="834"/>
      <c r="B1011" s="932"/>
      <c r="C1011" s="872"/>
      <c r="D1011" s="197">
        <v>2022</v>
      </c>
      <c r="E1011" s="198">
        <f t="shared" si="330"/>
        <v>1.69</v>
      </c>
      <c r="F1011" s="198">
        <v>1.69</v>
      </c>
      <c r="G1011" s="198">
        <v>0</v>
      </c>
      <c r="H1011" s="198">
        <v>0</v>
      </c>
      <c r="I1011" s="198">
        <v>0</v>
      </c>
      <c r="J1011" s="198">
        <v>0</v>
      </c>
      <c r="K1011" s="129">
        <f t="shared" si="318"/>
        <v>1.69</v>
      </c>
      <c r="L1011" s="413"/>
      <c r="M1011" s="220"/>
      <c r="N1011" s="414"/>
      <c r="O1011" s="365"/>
      <c r="P1011" s="221"/>
      <c r="Q1011" s="221"/>
      <c r="R1011" s="221"/>
      <c r="S1011" s="221"/>
      <c r="T1011" s="221"/>
      <c r="U1011" s="221"/>
      <c r="V1011" s="221"/>
      <c r="W1011" s="221"/>
      <c r="X1011" s="221"/>
      <c r="Y1011" s="221"/>
      <c r="Z1011" s="221"/>
      <c r="AA1011" s="221"/>
      <c r="AB1011" s="221"/>
      <c r="AC1011" s="221"/>
      <c r="AD1011" s="221"/>
      <c r="AE1011" s="221"/>
      <c r="AF1011" s="221"/>
      <c r="AG1011" s="221"/>
      <c r="AH1011" s="221"/>
      <c r="AI1011" s="221"/>
      <c r="AJ1011" s="221"/>
      <c r="AK1011" s="221"/>
      <c r="AL1011" s="221"/>
      <c r="AM1011" s="221"/>
      <c r="AN1011" s="221"/>
      <c r="AO1011" s="221"/>
      <c r="AP1011" s="221"/>
      <c r="AQ1011" s="221"/>
      <c r="AR1011" s="221"/>
      <c r="AS1011" s="221"/>
      <c r="AT1011" s="221"/>
      <c r="AU1011" s="221"/>
      <c r="AV1011" s="221"/>
      <c r="AW1011" s="221"/>
      <c r="AX1011" s="221"/>
      <c r="AY1011" s="221"/>
      <c r="AZ1011" s="221"/>
      <c r="BA1011" s="221"/>
      <c r="BB1011" s="221"/>
      <c r="BC1011" s="221"/>
      <c r="BD1011" s="221"/>
      <c r="BE1011" s="222"/>
    </row>
    <row r="1012" spans="1:57" s="51" customFormat="1" ht="14.25" customHeight="1">
      <c r="A1012" s="93"/>
      <c r="B1012" s="932"/>
      <c r="C1012" s="872"/>
      <c r="D1012" s="62">
        <v>2023</v>
      </c>
      <c r="E1012" s="63">
        <f t="shared" si="330"/>
        <v>2.9358</v>
      </c>
      <c r="F1012" s="63">
        <v>1.69</v>
      </c>
      <c r="G1012" s="63">
        <v>0</v>
      </c>
      <c r="H1012" s="63">
        <v>0</v>
      </c>
      <c r="I1012" s="63">
        <v>0</v>
      </c>
      <c r="J1012" s="63">
        <v>1.2458</v>
      </c>
      <c r="K1012" s="86">
        <f t="shared" si="318"/>
        <v>2.9358</v>
      </c>
      <c r="L1012" s="407"/>
      <c r="M1012" s="88"/>
      <c r="N1012" s="408"/>
      <c r="O1012" s="172"/>
      <c r="P1012" s="49"/>
      <c r="Q1012" s="49"/>
      <c r="R1012" s="49"/>
      <c r="S1012" s="49"/>
      <c r="T1012" s="49"/>
      <c r="U1012" s="49"/>
      <c r="V1012" s="49"/>
      <c r="W1012" s="49"/>
      <c r="X1012" s="49"/>
      <c r="Y1012" s="49"/>
      <c r="Z1012" s="49"/>
      <c r="AA1012" s="49"/>
      <c r="AB1012" s="49"/>
      <c r="AC1012" s="49"/>
      <c r="AD1012" s="49"/>
      <c r="AE1012" s="49"/>
      <c r="AF1012" s="49"/>
      <c r="AG1012" s="49"/>
      <c r="AH1012" s="49"/>
      <c r="AI1012" s="49"/>
      <c r="AJ1012" s="49"/>
      <c r="AK1012" s="49"/>
      <c r="AL1012" s="49"/>
      <c r="AM1012" s="49"/>
      <c r="AN1012" s="49"/>
      <c r="AO1012" s="49"/>
      <c r="AP1012" s="49"/>
      <c r="AQ1012" s="49"/>
      <c r="AR1012" s="49"/>
      <c r="AS1012" s="49"/>
      <c r="AT1012" s="49"/>
      <c r="AU1012" s="49"/>
      <c r="AV1012" s="49"/>
      <c r="AW1012" s="49"/>
      <c r="AX1012" s="49"/>
      <c r="AY1012" s="49"/>
      <c r="AZ1012" s="49"/>
      <c r="BA1012" s="49"/>
      <c r="BB1012" s="49"/>
      <c r="BC1012" s="49"/>
      <c r="BD1012" s="49"/>
      <c r="BE1012" s="68"/>
    </row>
    <row r="1013" spans="1:57" s="51" customFormat="1" ht="14.25" customHeight="1">
      <c r="A1013" s="93"/>
      <c r="B1013" s="932"/>
      <c r="C1013" s="872"/>
      <c r="D1013" s="62">
        <v>2024</v>
      </c>
      <c r="E1013" s="63">
        <f t="shared" si="330"/>
        <v>2.9358</v>
      </c>
      <c r="F1013" s="63">
        <v>1.69</v>
      </c>
      <c r="G1013" s="63">
        <v>0</v>
      </c>
      <c r="H1013" s="63">
        <v>0</v>
      </c>
      <c r="I1013" s="63">
        <v>0</v>
      </c>
      <c r="J1013" s="63">
        <v>1.2458</v>
      </c>
      <c r="K1013" s="86">
        <f t="shared" si="318"/>
        <v>2.9358</v>
      </c>
      <c r="L1013" s="407"/>
      <c r="M1013" s="88"/>
      <c r="N1013" s="408"/>
      <c r="O1013" s="172"/>
      <c r="P1013" s="49"/>
      <c r="Q1013" s="49"/>
      <c r="R1013" s="49"/>
      <c r="S1013" s="49"/>
      <c r="T1013" s="49"/>
      <c r="U1013" s="49"/>
      <c r="V1013" s="49"/>
      <c r="W1013" s="49"/>
      <c r="X1013" s="49"/>
      <c r="Y1013" s="49"/>
      <c r="Z1013" s="49"/>
      <c r="AA1013" s="49"/>
      <c r="AB1013" s="49"/>
      <c r="AC1013" s="49"/>
      <c r="AD1013" s="49"/>
      <c r="AE1013" s="49"/>
      <c r="AF1013" s="49"/>
      <c r="AG1013" s="49"/>
      <c r="AH1013" s="49"/>
      <c r="AI1013" s="49"/>
      <c r="AJ1013" s="49"/>
      <c r="AK1013" s="49"/>
      <c r="AL1013" s="49"/>
      <c r="AM1013" s="49"/>
      <c r="AN1013" s="49"/>
      <c r="AO1013" s="49"/>
      <c r="AP1013" s="49"/>
      <c r="AQ1013" s="49"/>
      <c r="AR1013" s="49"/>
      <c r="AS1013" s="49"/>
      <c r="AT1013" s="49"/>
      <c r="AU1013" s="49"/>
      <c r="AV1013" s="49"/>
      <c r="AW1013" s="49"/>
      <c r="AX1013" s="49"/>
      <c r="AY1013" s="49"/>
      <c r="AZ1013" s="49"/>
      <c r="BA1013" s="49"/>
      <c r="BB1013" s="49"/>
      <c r="BC1013" s="49"/>
      <c r="BD1013" s="49"/>
      <c r="BE1013" s="68"/>
    </row>
    <row r="1014" spans="1:57" s="51" customFormat="1" ht="14.25" customHeight="1">
      <c r="A1014" s="93"/>
      <c r="B1014" s="932"/>
      <c r="C1014" s="873"/>
      <c r="D1014" s="62">
        <v>2025</v>
      </c>
      <c r="E1014" s="63">
        <f t="shared" si="330"/>
        <v>2.9358</v>
      </c>
      <c r="F1014" s="63">
        <v>1.69</v>
      </c>
      <c r="G1014" s="63">
        <v>0</v>
      </c>
      <c r="H1014" s="63">
        <v>0</v>
      </c>
      <c r="I1014" s="63">
        <v>0</v>
      </c>
      <c r="J1014" s="63">
        <v>1.2458</v>
      </c>
      <c r="K1014" s="86">
        <f t="shared" si="318"/>
        <v>2.9358</v>
      </c>
      <c r="L1014" s="407"/>
      <c r="M1014" s="88"/>
      <c r="N1014" s="408"/>
      <c r="O1014" s="172"/>
      <c r="P1014" s="49"/>
      <c r="Q1014" s="49"/>
      <c r="R1014" s="49"/>
      <c r="S1014" s="49"/>
      <c r="T1014" s="49"/>
      <c r="U1014" s="49"/>
      <c r="V1014" s="49"/>
      <c r="W1014" s="49"/>
      <c r="X1014" s="49"/>
      <c r="Y1014" s="49"/>
      <c r="Z1014" s="49"/>
      <c r="AA1014" s="49"/>
      <c r="AB1014" s="49"/>
      <c r="AC1014" s="49"/>
      <c r="AD1014" s="49"/>
      <c r="AE1014" s="49"/>
      <c r="AF1014" s="49"/>
      <c r="AG1014" s="49"/>
      <c r="AH1014" s="49"/>
      <c r="AI1014" s="49"/>
      <c r="AJ1014" s="49"/>
      <c r="AK1014" s="49"/>
      <c r="AL1014" s="49"/>
      <c r="AM1014" s="49"/>
      <c r="AN1014" s="49"/>
      <c r="AO1014" s="49"/>
      <c r="AP1014" s="49"/>
      <c r="AQ1014" s="49"/>
      <c r="AR1014" s="49"/>
      <c r="AS1014" s="49"/>
      <c r="AT1014" s="49"/>
      <c r="AU1014" s="49"/>
      <c r="AV1014" s="49"/>
      <c r="AW1014" s="49"/>
      <c r="AX1014" s="49"/>
      <c r="AY1014" s="49"/>
      <c r="AZ1014" s="49"/>
      <c r="BA1014" s="49"/>
      <c r="BB1014" s="49"/>
      <c r="BC1014" s="49"/>
      <c r="BD1014" s="49"/>
      <c r="BE1014" s="68"/>
    </row>
    <row r="1015" spans="1:57" s="51" customFormat="1" ht="14.25" customHeight="1">
      <c r="A1015" s="93"/>
      <c r="B1015" s="932"/>
      <c r="C1015" s="867" t="s">
        <v>985</v>
      </c>
      <c r="D1015" s="62">
        <v>2026</v>
      </c>
      <c r="E1015" s="63">
        <f t="shared" si="330"/>
        <v>2.9358</v>
      </c>
      <c r="F1015" s="63">
        <v>1.69</v>
      </c>
      <c r="G1015" s="63">
        <v>0</v>
      </c>
      <c r="H1015" s="63">
        <v>0</v>
      </c>
      <c r="I1015" s="63">
        <v>0</v>
      </c>
      <c r="J1015" s="63">
        <v>1.2458</v>
      </c>
      <c r="K1015" s="86">
        <f t="shared" si="318"/>
        <v>2.9358</v>
      </c>
      <c r="L1015" s="407"/>
      <c r="M1015" s="88"/>
      <c r="N1015" s="408"/>
      <c r="O1015" s="172"/>
      <c r="P1015" s="49"/>
      <c r="Q1015" s="49"/>
      <c r="R1015" s="49"/>
      <c r="S1015" s="49"/>
      <c r="T1015" s="49"/>
      <c r="U1015" s="49"/>
      <c r="V1015" s="49"/>
      <c r="W1015" s="49"/>
      <c r="X1015" s="49"/>
      <c r="Y1015" s="49"/>
      <c r="Z1015" s="49"/>
      <c r="AA1015" s="49"/>
      <c r="AB1015" s="49"/>
      <c r="AC1015" s="49"/>
      <c r="AD1015" s="49"/>
      <c r="AE1015" s="49"/>
      <c r="AF1015" s="49"/>
      <c r="AG1015" s="49"/>
      <c r="AH1015" s="49"/>
      <c r="AI1015" s="49"/>
      <c r="AJ1015" s="49"/>
      <c r="AK1015" s="49"/>
      <c r="AL1015" s="49"/>
      <c r="AM1015" s="49"/>
      <c r="AN1015" s="49"/>
      <c r="AO1015" s="49"/>
      <c r="AP1015" s="49"/>
      <c r="AQ1015" s="49"/>
      <c r="AR1015" s="49"/>
      <c r="AS1015" s="49"/>
      <c r="AT1015" s="49"/>
      <c r="AU1015" s="49"/>
      <c r="AV1015" s="49"/>
      <c r="AW1015" s="49"/>
      <c r="AX1015" s="49"/>
      <c r="AY1015" s="49"/>
      <c r="AZ1015" s="49"/>
      <c r="BA1015" s="49"/>
      <c r="BB1015" s="49"/>
      <c r="BC1015" s="49"/>
      <c r="BD1015" s="49"/>
      <c r="BE1015" s="68"/>
    </row>
    <row r="1016" spans="1:57" s="51" customFormat="1" ht="14.25" customHeight="1">
      <c r="A1016" s="93"/>
      <c r="B1016" s="932"/>
      <c r="C1016" s="872"/>
      <c r="D1016" s="62">
        <v>2027</v>
      </c>
      <c r="E1016" s="63">
        <f t="shared" si="330"/>
        <v>2.9358</v>
      </c>
      <c r="F1016" s="63">
        <v>1.69</v>
      </c>
      <c r="G1016" s="63">
        <v>0</v>
      </c>
      <c r="H1016" s="63">
        <v>0</v>
      </c>
      <c r="I1016" s="63">
        <v>0</v>
      </c>
      <c r="J1016" s="63">
        <v>1.2458</v>
      </c>
      <c r="K1016" s="86">
        <f t="shared" si="318"/>
        <v>2.9358</v>
      </c>
      <c r="L1016" s="407"/>
      <c r="M1016" s="88"/>
      <c r="N1016" s="408"/>
      <c r="O1016" s="172"/>
      <c r="P1016" s="49"/>
      <c r="Q1016" s="49"/>
      <c r="R1016" s="49"/>
      <c r="S1016" s="49"/>
      <c r="T1016" s="49"/>
      <c r="U1016" s="49"/>
      <c r="V1016" s="49"/>
      <c r="W1016" s="49"/>
      <c r="X1016" s="49"/>
      <c r="Y1016" s="49"/>
      <c r="Z1016" s="49"/>
      <c r="AA1016" s="49"/>
      <c r="AB1016" s="49"/>
      <c r="AC1016" s="49"/>
      <c r="AD1016" s="49"/>
      <c r="AE1016" s="49"/>
      <c r="AF1016" s="49"/>
      <c r="AG1016" s="49"/>
      <c r="AH1016" s="49"/>
      <c r="AI1016" s="49"/>
      <c r="AJ1016" s="49"/>
      <c r="AK1016" s="49"/>
      <c r="AL1016" s="49"/>
      <c r="AM1016" s="49"/>
      <c r="AN1016" s="49"/>
      <c r="AO1016" s="49"/>
      <c r="AP1016" s="49"/>
      <c r="AQ1016" s="49"/>
      <c r="AR1016" s="49"/>
      <c r="AS1016" s="49"/>
      <c r="AT1016" s="49"/>
      <c r="AU1016" s="49"/>
      <c r="AV1016" s="49"/>
      <c r="AW1016" s="49"/>
      <c r="AX1016" s="49"/>
      <c r="AY1016" s="49"/>
      <c r="AZ1016" s="49"/>
      <c r="BA1016" s="49"/>
      <c r="BB1016" s="49"/>
      <c r="BC1016" s="49"/>
      <c r="BD1016" s="49"/>
      <c r="BE1016" s="68"/>
    </row>
    <row r="1017" spans="1:57" s="51" customFormat="1" ht="14.25" customHeight="1">
      <c r="A1017" s="93"/>
      <c r="B1017" s="932"/>
      <c r="C1017" s="872"/>
      <c r="D1017" s="62">
        <v>2028</v>
      </c>
      <c r="E1017" s="63">
        <f t="shared" si="330"/>
        <v>2.9358</v>
      </c>
      <c r="F1017" s="63">
        <v>1.69</v>
      </c>
      <c r="G1017" s="63">
        <v>0</v>
      </c>
      <c r="H1017" s="63">
        <v>0</v>
      </c>
      <c r="I1017" s="63">
        <v>0</v>
      </c>
      <c r="J1017" s="63">
        <v>1.2458</v>
      </c>
      <c r="K1017" s="86">
        <f t="shared" ref="K1017:K1044" si="331">F1017+G1017+H1017+I1017+J1017</f>
        <v>2.9358</v>
      </c>
      <c r="L1017" s="407"/>
      <c r="M1017" s="88"/>
      <c r="N1017" s="408"/>
      <c r="O1017" s="172"/>
      <c r="P1017" s="49"/>
      <c r="Q1017" s="49"/>
      <c r="R1017" s="49"/>
      <c r="S1017" s="49"/>
      <c r="T1017" s="49"/>
      <c r="U1017" s="49"/>
      <c r="V1017" s="49"/>
      <c r="W1017" s="49"/>
      <c r="X1017" s="49"/>
      <c r="Y1017" s="49"/>
      <c r="Z1017" s="49"/>
      <c r="AA1017" s="49"/>
      <c r="AB1017" s="49"/>
      <c r="AC1017" s="49"/>
      <c r="AD1017" s="49"/>
      <c r="AE1017" s="49"/>
      <c r="AF1017" s="49"/>
      <c r="AG1017" s="49"/>
      <c r="AH1017" s="49"/>
      <c r="AI1017" s="49"/>
      <c r="AJ1017" s="49"/>
      <c r="AK1017" s="49"/>
      <c r="AL1017" s="49"/>
      <c r="AM1017" s="49"/>
      <c r="AN1017" s="49"/>
      <c r="AO1017" s="49"/>
      <c r="AP1017" s="49"/>
      <c r="AQ1017" s="49"/>
      <c r="AR1017" s="49"/>
      <c r="AS1017" s="49"/>
      <c r="AT1017" s="49"/>
      <c r="AU1017" s="49"/>
      <c r="AV1017" s="49"/>
      <c r="AW1017" s="49"/>
      <c r="AX1017" s="49"/>
      <c r="AY1017" s="49"/>
      <c r="AZ1017" s="49"/>
      <c r="BA1017" s="49"/>
      <c r="BB1017" s="49"/>
      <c r="BC1017" s="49"/>
      <c r="BD1017" s="49"/>
      <c r="BE1017" s="68"/>
    </row>
    <row r="1018" spans="1:57" s="51" customFormat="1" ht="14.25" customHeight="1">
      <c r="A1018" s="93"/>
      <c r="B1018" s="932"/>
      <c r="C1018" s="872"/>
      <c r="D1018" s="62">
        <v>2029</v>
      </c>
      <c r="E1018" s="63">
        <f t="shared" si="330"/>
        <v>2.9358</v>
      </c>
      <c r="F1018" s="63">
        <v>1.69</v>
      </c>
      <c r="G1018" s="63">
        <v>0</v>
      </c>
      <c r="H1018" s="63">
        <v>0</v>
      </c>
      <c r="I1018" s="63">
        <v>0</v>
      </c>
      <c r="J1018" s="63">
        <v>1.2458</v>
      </c>
      <c r="K1018" s="86">
        <f t="shared" si="331"/>
        <v>2.9358</v>
      </c>
      <c r="L1018" s="407"/>
      <c r="M1018" s="88"/>
      <c r="N1018" s="408"/>
      <c r="O1018" s="172"/>
      <c r="P1018" s="49"/>
      <c r="Q1018" s="49"/>
      <c r="R1018" s="49"/>
      <c r="S1018" s="49"/>
      <c r="T1018" s="49"/>
      <c r="U1018" s="49"/>
      <c r="V1018" s="49"/>
      <c r="W1018" s="49"/>
      <c r="X1018" s="49"/>
      <c r="Y1018" s="49"/>
      <c r="Z1018" s="49"/>
      <c r="AA1018" s="49"/>
      <c r="AB1018" s="49"/>
      <c r="AC1018" s="49"/>
      <c r="AD1018" s="49"/>
      <c r="AE1018" s="49"/>
      <c r="AF1018" s="49"/>
      <c r="AG1018" s="49"/>
      <c r="AH1018" s="49"/>
      <c r="AI1018" s="49"/>
      <c r="AJ1018" s="49"/>
      <c r="AK1018" s="49"/>
      <c r="AL1018" s="49"/>
      <c r="AM1018" s="49"/>
      <c r="AN1018" s="49"/>
      <c r="AO1018" s="49"/>
      <c r="AP1018" s="49"/>
      <c r="AQ1018" s="49"/>
      <c r="AR1018" s="49"/>
      <c r="AS1018" s="49"/>
      <c r="AT1018" s="49"/>
      <c r="AU1018" s="49"/>
      <c r="AV1018" s="49"/>
      <c r="AW1018" s="49"/>
      <c r="AX1018" s="49"/>
      <c r="AY1018" s="49"/>
      <c r="AZ1018" s="49"/>
      <c r="BA1018" s="49"/>
      <c r="BB1018" s="49"/>
      <c r="BC1018" s="49"/>
      <c r="BD1018" s="49"/>
      <c r="BE1018" s="68"/>
    </row>
    <row r="1019" spans="1:57" s="51" customFormat="1" ht="14.25" customHeight="1">
      <c r="A1019" s="93"/>
      <c r="B1019" s="933"/>
      <c r="C1019" s="873"/>
      <c r="D1019" s="62">
        <v>2030</v>
      </c>
      <c r="E1019" s="63">
        <f t="shared" si="330"/>
        <v>2.9358</v>
      </c>
      <c r="F1019" s="63">
        <v>1.69</v>
      </c>
      <c r="G1019" s="63">
        <v>0</v>
      </c>
      <c r="H1019" s="63">
        <v>0</v>
      </c>
      <c r="I1019" s="63">
        <v>0</v>
      </c>
      <c r="J1019" s="63">
        <v>1.2458</v>
      </c>
      <c r="K1019" s="86">
        <f t="shared" si="331"/>
        <v>2.9358</v>
      </c>
      <c r="L1019" s="407"/>
      <c r="M1019" s="88"/>
      <c r="N1019" s="408"/>
      <c r="O1019" s="172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49"/>
      <c r="AU1019" s="49"/>
      <c r="AV1019" s="49"/>
      <c r="AW1019" s="49"/>
      <c r="AX1019" s="49"/>
      <c r="AY1019" s="49"/>
      <c r="AZ1019" s="49"/>
      <c r="BA1019" s="49"/>
      <c r="BB1019" s="49"/>
      <c r="BC1019" s="49"/>
      <c r="BD1019" s="49"/>
      <c r="BE1019" s="68"/>
    </row>
    <row r="1020" spans="1:57" s="51" customFormat="1" ht="23.25" customHeight="1">
      <c r="A1020" s="900" t="s">
        <v>986</v>
      </c>
      <c r="B1020" s="915" t="s">
        <v>987</v>
      </c>
      <c r="C1020" s="60"/>
      <c r="D1020" s="84" t="s">
        <v>16</v>
      </c>
      <c r="E1020" s="85">
        <f t="shared" ref="E1020:J1020" si="332">E1021+E1022+E1023+E1024+E1025+E1026+E1027+E1028+E1029+E1030+E1031+E1032</f>
        <v>1638.9453999999994</v>
      </c>
      <c r="F1020" s="85">
        <f t="shared" si="332"/>
        <v>1638.9453999999994</v>
      </c>
      <c r="G1020" s="85">
        <f t="shared" si="332"/>
        <v>0</v>
      </c>
      <c r="H1020" s="85">
        <f t="shared" si="332"/>
        <v>0</v>
      </c>
      <c r="I1020" s="85">
        <f t="shared" si="332"/>
        <v>0</v>
      </c>
      <c r="J1020" s="85">
        <f t="shared" si="332"/>
        <v>0</v>
      </c>
      <c r="K1020" s="86">
        <f t="shared" si="331"/>
        <v>1638.9453999999994</v>
      </c>
      <c r="L1020" s="407"/>
      <c r="M1020" s="88"/>
      <c r="N1020" s="408"/>
      <c r="O1020" s="858" t="s">
        <v>980</v>
      </c>
      <c r="P1020" s="49"/>
      <c r="Q1020" s="49"/>
      <c r="R1020" s="49"/>
      <c r="S1020" s="49"/>
      <c r="T1020" s="49"/>
      <c r="U1020" s="49"/>
      <c r="V1020" s="49"/>
      <c r="W1020" s="49"/>
      <c r="X1020" s="49"/>
      <c r="Y1020" s="49"/>
      <c r="Z1020" s="49"/>
      <c r="AA1020" s="49"/>
      <c r="AB1020" s="49"/>
      <c r="AC1020" s="49"/>
      <c r="AD1020" s="49"/>
      <c r="AE1020" s="49"/>
      <c r="AF1020" s="49"/>
      <c r="AG1020" s="49"/>
      <c r="AH1020" s="49"/>
      <c r="AI1020" s="49"/>
      <c r="AJ1020" s="49"/>
      <c r="AK1020" s="49"/>
      <c r="AL1020" s="49"/>
      <c r="AM1020" s="49"/>
      <c r="AN1020" s="49"/>
      <c r="AO1020" s="49"/>
      <c r="AP1020" s="49"/>
      <c r="AQ1020" s="49"/>
      <c r="AR1020" s="49"/>
      <c r="AS1020" s="49"/>
      <c r="AT1020" s="49"/>
      <c r="AU1020" s="49"/>
      <c r="AV1020" s="49"/>
      <c r="AW1020" s="49"/>
      <c r="AX1020" s="49"/>
      <c r="AY1020" s="49"/>
      <c r="AZ1020" s="49"/>
      <c r="BA1020" s="49"/>
      <c r="BB1020" s="49"/>
      <c r="BC1020" s="49"/>
      <c r="BD1020" s="49"/>
      <c r="BE1020" s="68"/>
    </row>
    <row r="1021" spans="1:57" s="416" customFormat="1" ht="24.75" customHeight="1">
      <c r="A1021" s="930"/>
      <c r="B1021" s="999"/>
      <c r="C1021" s="881" t="s">
        <v>981</v>
      </c>
      <c r="D1021" s="417">
        <v>2019</v>
      </c>
      <c r="E1021" s="418">
        <f t="shared" ref="E1021:E1032" si="333">F1021</f>
        <v>143.0934</v>
      </c>
      <c r="F1021" s="418">
        <v>143.0934</v>
      </c>
      <c r="G1021" s="418">
        <v>0</v>
      </c>
      <c r="H1021" s="418">
        <v>0</v>
      </c>
      <c r="I1021" s="418">
        <v>0</v>
      </c>
      <c r="J1021" s="418">
        <v>0</v>
      </c>
      <c r="K1021" s="419">
        <f t="shared" si="331"/>
        <v>143.0934</v>
      </c>
      <c r="L1021" s="420"/>
      <c r="M1021" s="421"/>
      <c r="N1021" s="422"/>
      <c r="O1021" s="868"/>
      <c r="P1021" s="423"/>
      <c r="Q1021" s="423"/>
      <c r="R1021" s="423"/>
      <c r="S1021" s="423"/>
      <c r="T1021" s="423"/>
      <c r="U1021" s="423"/>
      <c r="V1021" s="423"/>
      <c r="W1021" s="423"/>
      <c r="X1021" s="423"/>
      <c r="Y1021" s="423"/>
      <c r="Z1021" s="423"/>
      <c r="AA1021" s="423"/>
      <c r="AB1021" s="423"/>
      <c r="AC1021" s="423"/>
      <c r="AD1021" s="423"/>
      <c r="AE1021" s="423"/>
      <c r="AF1021" s="423"/>
      <c r="AG1021" s="423"/>
      <c r="AH1021" s="423"/>
      <c r="AI1021" s="423"/>
      <c r="AJ1021" s="423"/>
      <c r="AK1021" s="423"/>
      <c r="AL1021" s="423"/>
      <c r="AM1021" s="423"/>
      <c r="AN1021" s="423"/>
      <c r="AO1021" s="423"/>
      <c r="AP1021" s="423"/>
      <c r="AQ1021" s="423"/>
      <c r="AR1021" s="423"/>
      <c r="AS1021" s="423"/>
      <c r="AT1021" s="423"/>
      <c r="AU1021" s="423"/>
      <c r="AV1021" s="423"/>
      <c r="AW1021" s="423"/>
      <c r="AX1021" s="423"/>
      <c r="AY1021" s="423"/>
      <c r="AZ1021" s="423"/>
      <c r="BA1021" s="423"/>
      <c r="BB1021" s="423"/>
      <c r="BC1021" s="423"/>
      <c r="BD1021" s="423"/>
      <c r="BE1021" s="424"/>
    </row>
    <row r="1022" spans="1:57" s="219" customFormat="1" ht="15.75" customHeight="1">
      <c r="A1022" s="266"/>
      <c r="B1022" s="838" t="s">
        <v>988</v>
      </c>
      <c r="C1022" s="882"/>
      <c r="D1022" s="197">
        <v>2020</v>
      </c>
      <c r="E1022" s="198">
        <f t="shared" si="333"/>
        <v>145.28030000000001</v>
      </c>
      <c r="F1022" s="198">
        <v>145.28030000000001</v>
      </c>
      <c r="G1022" s="198">
        <v>0</v>
      </c>
      <c r="H1022" s="198">
        <v>0</v>
      </c>
      <c r="I1022" s="198">
        <v>0</v>
      </c>
      <c r="J1022" s="198">
        <v>0</v>
      </c>
      <c r="K1022" s="129">
        <f t="shared" si="331"/>
        <v>145.28030000000001</v>
      </c>
      <c r="L1022" s="413"/>
      <c r="M1022" s="220"/>
      <c r="N1022" s="414"/>
      <c r="O1022" s="868"/>
      <c r="P1022" s="221"/>
      <c r="Q1022" s="221"/>
      <c r="R1022" s="221"/>
      <c r="S1022" s="221"/>
      <c r="T1022" s="221"/>
      <c r="U1022" s="221"/>
      <c r="V1022" s="221"/>
      <c r="W1022" s="221"/>
      <c r="X1022" s="221"/>
      <c r="Y1022" s="221"/>
      <c r="Z1022" s="221"/>
      <c r="AA1022" s="221"/>
      <c r="AB1022" s="221"/>
      <c r="AC1022" s="221"/>
      <c r="AD1022" s="221"/>
      <c r="AE1022" s="221"/>
      <c r="AF1022" s="221"/>
      <c r="AG1022" s="221"/>
      <c r="AH1022" s="221"/>
      <c r="AI1022" s="221"/>
      <c r="AJ1022" s="221"/>
      <c r="AK1022" s="221"/>
      <c r="AL1022" s="221"/>
      <c r="AM1022" s="221"/>
      <c r="AN1022" s="221"/>
      <c r="AO1022" s="221"/>
      <c r="AP1022" s="221"/>
      <c r="AQ1022" s="221"/>
      <c r="AR1022" s="221"/>
      <c r="AS1022" s="221"/>
      <c r="AT1022" s="221"/>
      <c r="AU1022" s="221"/>
      <c r="AV1022" s="221"/>
      <c r="AW1022" s="221"/>
      <c r="AX1022" s="221"/>
      <c r="AY1022" s="221"/>
      <c r="AZ1022" s="221"/>
      <c r="BA1022" s="221"/>
      <c r="BB1022" s="221"/>
      <c r="BC1022" s="221"/>
      <c r="BD1022" s="221"/>
      <c r="BE1022" s="222"/>
    </row>
    <row r="1023" spans="1:57" s="219" customFormat="1" ht="15.75" customHeight="1">
      <c r="A1023" s="266"/>
      <c r="B1023" s="839"/>
      <c r="C1023" s="882"/>
      <c r="D1023" s="197">
        <v>2021</v>
      </c>
      <c r="E1023" s="198">
        <f t="shared" si="333"/>
        <v>130.91239999999999</v>
      </c>
      <c r="F1023" s="198">
        <v>130.91239999999999</v>
      </c>
      <c r="G1023" s="198">
        <v>0</v>
      </c>
      <c r="H1023" s="198">
        <v>0</v>
      </c>
      <c r="I1023" s="198">
        <v>0</v>
      </c>
      <c r="J1023" s="198">
        <v>0</v>
      </c>
      <c r="K1023" s="129">
        <f t="shared" si="331"/>
        <v>130.91239999999999</v>
      </c>
      <c r="L1023" s="413"/>
      <c r="M1023" s="220"/>
      <c r="N1023" s="414"/>
      <c r="O1023" s="868"/>
      <c r="P1023" s="221"/>
      <c r="Q1023" s="221"/>
      <c r="R1023" s="221"/>
      <c r="S1023" s="221"/>
      <c r="T1023" s="221"/>
      <c r="U1023" s="221"/>
      <c r="V1023" s="221"/>
      <c r="W1023" s="221"/>
      <c r="X1023" s="221"/>
      <c r="Y1023" s="221"/>
      <c r="Z1023" s="221"/>
      <c r="AA1023" s="221"/>
      <c r="AB1023" s="221"/>
      <c r="AC1023" s="221"/>
      <c r="AD1023" s="221"/>
      <c r="AE1023" s="221"/>
      <c r="AF1023" s="221"/>
      <c r="AG1023" s="221"/>
      <c r="AH1023" s="221"/>
      <c r="AI1023" s="221"/>
      <c r="AJ1023" s="221"/>
      <c r="AK1023" s="221"/>
      <c r="AL1023" s="221"/>
      <c r="AM1023" s="221"/>
      <c r="AN1023" s="221"/>
      <c r="AO1023" s="221"/>
      <c r="AP1023" s="221"/>
      <c r="AQ1023" s="221"/>
      <c r="AR1023" s="221"/>
      <c r="AS1023" s="221"/>
      <c r="AT1023" s="221"/>
      <c r="AU1023" s="221"/>
      <c r="AV1023" s="221"/>
      <c r="AW1023" s="221"/>
      <c r="AX1023" s="221"/>
      <c r="AY1023" s="221"/>
      <c r="AZ1023" s="221"/>
      <c r="BA1023" s="221"/>
      <c r="BB1023" s="221"/>
      <c r="BC1023" s="221"/>
      <c r="BD1023" s="221"/>
      <c r="BE1023" s="222"/>
    </row>
    <row r="1024" spans="1:57" s="219" customFormat="1" ht="15.75" customHeight="1">
      <c r="A1024" s="266"/>
      <c r="B1024" s="839"/>
      <c r="C1024" s="882"/>
      <c r="D1024" s="197">
        <v>2022</v>
      </c>
      <c r="E1024" s="198">
        <f t="shared" si="333"/>
        <v>134.25129999999999</v>
      </c>
      <c r="F1024" s="198">
        <v>134.25129999999999</v>
      </c>
      <c r="G1024" s="198">
        <v>0</v>
      </c>
      <c r="H1024" s="198">
        <v>0</v>
      </c>
      <c r="I1024" s="198">
        <v>0</v>
      </c>
      <c r="J1024" s="198">
        <v>0</v>
      </c>
      <c r="K1024" s="129">
        <f t="shared" si="331"/>
        <v>134.25129999999999</v>
      </c>
      <c r="L1024" s="413"/>
      <c r="M1024" s="220"/>
      <c r="N1024" s="414"/>
      <c r="O1024" s="868"/>
      <c r="P1024" s="221"/>
      <c r="Q1024" s="221"/>
      <c r="R1024" s="221"/>
      <c r="S1024" s="221"/>
      <c r="T1024" s="221"/>
      <c r="U1024" s="221"/>
      <c r="V1024" s="221"/>
      <c r="W1024" s="221"/>
      <c r="X1024" s="221"/>
      <c r="Y1024" s="221"/>
      <c r="Z1024" s="221"/>
      <c r="AA1024" s="221"/>
      <c r="AB1024" s="221"/>
      <c r="AC1024" s="221"/>
      <c r="AD1024" s="221"/>
      <c r="AE1024" s="221"/>
      <c r="AF1024" s="221"/>
      <c r="AG1024" s="221"/>
      <c r="AH1024" s="221"/>
      <c r="AI1024" s="221"/>
      <c r="AJ1024" s="221"/>
      <c r="AK1024" s="221"/>
      <c r="AL1024" s="221"/>
      <c r="AM1024" s="221"/>
      <c r="AN1024" s="221"/>
      <c r="AO1024" s="221"/>
      <c r="AP1024" s="221"/>
      <c r="AQ1024" s="221"/>
      <c r="AR1024" s="221"/>
      <c r="AS1024" s="221"/>
      <c r="AT1024" s="221"/>
      <c r="AU1024" s="221"/>
      <c r="AV1024" s="221"/>
      <c r="AW1024" s="221"/>
      <c r="AX1024" s="221"/>
      <c r="AY1024" s="221"/>
      <c r="AZ1024" s="221"/>
      <c r="BA1024" s="221"/>
      <c r="BB1024" s="221"/>
      <c r="BC1024" s="221"/>
      <c r="BD1024" s="221"/>
      <c r="BE1024" s="222"/>
    </row>
    <row r="1025" spans="1:57" s="51" customFormat="1" ht="15.75" customHeight="1">
      <c r="A1025" s="69"/>
      <c r="B1025" s="839"/>
      <c r="C1025" s="882"/>
      <c r="D1025" s="62">
        <v>2023</v>
      </c>
      <c r="E1025" s="63">
        <f t="shared" si="333"/>
        <v>135.67599999999999</v>
      </c>
      <c r="F1025" s="63">
        <v>135.67599999999999</v>
      </c>
      <c r="G1025" s="63">
        <v>0</v>
      </c>
      <c r="H1025" s="63">
        <v>0</v>
      </c>
      <c r="I1025" s="63">
        <v>0</v>
      </c>
      <c r="J1025" s="63">
        <v>0</v>
      </c>
      <c r="K1025" s="86">
        <f t="shared" si="331"/>
        <v>135.67599999999999</v>
      </c>
      <c r="L1025" s="407"/>
      <c r="M1025" s="88"/>
      <c r="N1025" s="408"/>
      <c r="O1025" s="868"/>
      <c r="P1025" s="49"/>
      <c r="Q1025" s="49"/>
      <c r="R1025" s="49"/>
      <c r="S1025" s="49"/>
      <c r="T1025" s="49"/>
      <c r="U1025" s="49"/>
      <c r="V1025" s="49"/>
      <c r="W1025" s="49"/>
      <c r="X1025" s="49"/>
      <c r="Y1025" s="49"/>
      <c r="Z1025" s="49"/>
      <c r="AA1025" s="49"/>
      <c r="AB1025" s="49"/>
      <c r="AC1025" s="49"/>
      <c r="AD1025" s="49"/>
      <c r="AE1025" s="49"/>
      <c r="AF1025" s="49"/>
      <c r="AG1025" s="49"/>
      <c r="AH1025" s="49"/>
      <c r="AI1025" s="49"/>
      <c r="AJ1025" s="49"/>
      <c r="AK1025" s="49"/>
      <c r="AL1025" s="49"/>
      <c r="AM1025" s="49"/>
      <c r="AN1025" s="49"/>
      <c r="AO1025" s="49"/>
      <c r="AP1025" s="49"/>
      <c r="AQ1025" s="49"/>
      <c r="AR1025" s="49"/>
      <c r="AS1025" s="49"/>
      <c r="AT1025" s="49"/>
      <c r="AU1025" s="49"/>
      <c r="AV1025" s="49"/>
      <c r="AW1025" s="49"/>
      <c r="AX1025" s="49"/>
      <c r="AY1025" s="49"/>
      <c r="AZ1025" s="49"/>
      <c r="BA1025" s="49"/>
      <c r="BB1025" s="49"/>
      <c r="BC1025" s="49"/>
      <c r="BD1025" s="49"/>
      <c r="BE1025" s="68"/>
    </row>
    <row r="1026" spans="1:57" s="51" customFormat="1" ht="14.25" customHeight="1">
      <c r="A1026" s="69"/>
      <c r="B1026" s="839"/>
      <c r="C1026" s="882"/>
      <c r="D1026" s="62">
        <v>2024</v>
      </c>
      <c r="E1026" s="63">
        <f t="shared" si="333"/>
        <v>135.67599999999999</v>
      </c>
      <c r="F1026" s="63">
        <v>135.67599999999999</v>
      </c>
      <c r="G1026" s="63">
        <v>0</v>
      </c>
      <c r="H1026" s="63">
        <v>0</v>
      </c>
      <c r="I1026" s="63">
        <v>0</v>
      </c>
      <c r="J1026" s="63">
        <v>0</v>
      </c>
      <c r="K1026" s="86">
        <f t="shared" si="331"/>
        <v>135.67599999999999</v>
      </c>
      <c r="L1026" s="407"/>
      <c r="M1026" s="88"/>
      <c r="N1026" s="408"/>
      <c r="O1026" s="868"/>
      <c r="P1026" s="49"/>
      <c r="Q1026" s="49"/>
      <c r="R1026" s="49"/>
      <c r="S1026" s="49"/>
      <c r="T1026" s="49"/>
      <c r="U1026" s="49"/>
      <c r="V1026" s="49"/>
      <c r="W1026" s="49"/>
      <c r="X1026" s="49"/>
      <c r="Y1026" s="49"/>
      <c r="Z1026" s="49"/>
      <c r="AA1026" s="49"/>
      <c r="AB1026" s="49"/>
      <c r="AC1026" s="49"/>
      <c r="AD1026" s="49"/>
      <c r="AE1026" s="49"/>
      <c r="AF1026" s="49"/>
      <c r="AG1026" s="49"/>
      <c r="AH1026" s="49"/>
      <c r="AI1026" s="49"/>
      <c r="AJ1026" s="49"/>
      <c r="AK1026" s="49"/>
      <c r="AL1026" s="49"/>
      <c r="AM1026" s="49"/>
      <c r="AN1026" s="49"/>
      <c r="AO1026" s="49"/>
      <c r="AP1026" s="49"/>
      <c r="AQ1026" s="49"/>
      <c r="AR1026" s="49"/>
      <c r="AS1026" s="49"/>
      <c r="AT1026" s="49"/>
      <c r="AU1026" s="49"/>
      <c r="AV1026" s="49"/>
      <c r="AW1026" s="49"/>
      <c r="AX1026" s="49"/>
      <c r="AY1026" s="49"/>
      <c r="AZ1026" s="49"/>
      <c r="BA1026" s="49"/>
      <c r="BB1026" s="49"/>
      <c r="BC1026" s="49"/>
      <c r="BD1026" s="49"/>
      <c r="BE1026" s="68"/>
    </row>
    <row r="1027" spans="1:57" s="51" customFormat="1" ht="14.25" customHeight="1">
      <c r="A1027" s="69"/>
      <c r="B1027" s="839"/>
      <c r="C1027" s="964"/>
      <c r="D1027" s="62">
        <v>2025</v>
      </c>
      <c r="E1027" s="63">
        <f t="shared" si="333"/>
        <v>135.67599999999999</v>
      </c>
      <c r="F1027" s="63">
        <v>135.67599999999999</v>
      </c>
      <c r="G1027" s="63">
        <v>0</v>
      </c>
      <c r="H1027" s="63">
        <v>0</v>
      </c>
      <c r="I1027" s="63">
        <v>0</v>
      </c>
      <c r="J1027" s="63">
        <v>0</v>
      </c>
      <c r="K1027" s="86">
        <f t="shared" si="331"/>
        <v>135.67599999999999</v>
      </c>
      <c r="L1027" s="407"/>
      <c r="M1027" s="88"/>
      <c r="N1027" s="408"/>
      <c r="O1027" s="868"/>
      <c r="P1027" s="49"/>
      <c r="Q1027" s="49"/>
      <c r="R1027" s="49"/>
      <c r="S1027" s="49"/>
      <c r="T1027" s="49"/>
      <c r="U1027" s="49"/>
      <c r="V1027" s="49"/>
      <c r="W1027" s="49"/>
      <c r="X1027" s="49"/>
      <c r="Y1027" s="49"/>
      <c r="Z1027" s="49"/>
      <c r="AA1027" s="49"/>
      <c r="AB1027" s="49"/>
      <c r="AC1027" s="49"/>
      <c r="AD1027" s="49"/>
      <c r="AE1027" s="49"/>
      <c r="AF1027" s="49"/>
      <c r="AG1027" s="49"/>
      <c r="AH1027" s="49"/>
      <c r="AI1027" s="49"/>
      <c r="AJ1027" s="49"/>
      <c r="AK1027" s="49"/>
      <c r="AL1027" s="49"/>
      <c r="AM1027" s="49"/>
      <c r="AN1027" s="49"/>
      <c r="AO1027" s="49"/>
      <c r="AP1027" s="49"/>
      <c r="AQ1027" s="49"/>
      <c r="AR1027" s="49"/>
      <c r="AS1027" s="49"/>
      <c r="AT1027" s="49"/>
      <c r="AU1027" s="49"/>
      <c r="AV1027" s="49"/>
      <c r="AW1027" s="49"/>
      <c r="AX1027" s="49"/>
      <c r="AY1027" s="49"/>
      <c r="AZ1027" s="49"/>
      <c r="BA1027" s="49"/>
      <c r="BB1027" s="49"/>
      <c r="BC1027" s="49"/>
      <c r="BD1027" s="49"/>
      <c r="BE1027" s="68"/>
    </row>
    <row r="1028" spans="1:57" s="51" customFormat="1" ht="14.25" customHeight="1">
      <c r="A1028" s="69"/>
      <c r="B1028" s="839"/>
      <c r="C1028" s="867" t="s">
        <v>982</v>
      </c>
      <c r="D1028" s="62">
        <v>2026</v>
      </c>
      <c r="E1028" s="63">
        <f t="shared" si="333"/>
        <v>135.67599999999999</v>
      </c>
      <c r="F1028" s="63">
        <v>135.67599999999999</v>
      </c>
      <c r="G1028" s="63">
        <v>0</v>
      </c>
      <c r="H1028" s="63">
        <v>0</v>
      </c>
      <c r="I1028" s="63">
        <v>0</v>
      </c>
      <c r="J1028" s="63">
        <v>0</v>
      </c>
      <c r="K1028" s="86">
        <f t="shared" si="331"/>
        <v>135.67599999999999</v>
      </c>
      <c r="L1028" s="407"/>
      <c r="M1028" s="88"/>
      <c r="N1028" s="408"/>
      <c r="O1028" s="868"/>
      <c r="P1028" s="49"/>
      <c r="Q1028" s="49"/>
      <c r="R1028" s="49"/>
      <c r="S1028" s="49"/>
      <c r="T1028" s="49"/>
      <c r="U1028" s="49"/>
      <c r="V1028" s="49"/>
      <c r="W1028" s="49"/>
      <c r="X1028" s="49"/>
      <c r="Y1028" s="49"/>
      <c r="Z1028" s="49"/>
      <c r="AA1028" s="49"/>
      <c r="AB1028" s="49"/>
      <c r="AC1028" s="49"/>
      <c r="AD1028" s="49"/>
      <c r="AE1028" s="49"/>
      <c r="AF1028" s="49"/>
      <c r="AG1028" s="49"/>
      <c r="AH1028" s="49"/>
      <c r="AI1028" s="49"/>
      <c r="AJ1028" s="49"/>
      <c r="AK1028" s="49"/>
      <c r="AL1028" s="49"/>
      <c r="AM1028" s="49"/>
      <c r="AN1028" s="49"/>
      <c r="AO1028" s="49"/>
      <c r="AP1028" s="49"/>
      <c r="AQ1028" s="49"/>
      <c r="AR1028" s="49"/>
      <c r="AS1028" s="49"/>
      <c r="AT1028" s="49"/>
      <c r="AU1028" s="49"/>
      <c r="AV1028" s="49"/>
      <c r="AW1028" s="49"/>
      <c r="AX1028" s="49"/>
      <c r="AY1028" s="49"/>
      <c r="AZ1028" s="49"/>
      <c r="BA1028" s="49"/>
      <c r="BB1028" s="49"/>
      <c r="BC1028" s="49"/>
      <c r="BD1028" s="49"/>
      <c r="BE1028" s="68"/>
    </row>
    <row r="1029" spans="1:57" s="51" customFormat="1" ht="14.25" customHeight="1">
      <c r="A1029" s="69"/>
      <c r="B1029" s="839"/>
      <c r="C1029" s="872"/>
      <c r="D1029" s="62">
        <v>2027</v>
      </c>
      <c r="E1029" s="63">
        <f t="shared" si="333"/>
        <v>135.67599999999999</v>
      </c>
      <c r="F1029" s="63">
        <v>135.67599999999999</v>
      </c>
      <c r="G1029" s="63">
        <v>0</v>
      </c>
      <c r="H1029" s="63">
        <v>0</v>
      </c>
      <c r="I1029" s="63">
        <v>0</v>
      </c>
      <c r="J1029" s="63">
        <v>0</v>
      </c>
      <c r="K1029" s="86">
        <f t="shared" si="331"/>
        <v>135.67599999999999</v>
      </c>
      <c r="L1029" s="407"/>
      <c r="M1029" s="88"/>
      <c r="N1029" s="408"/>
      <c r="O1029" s="868"/>
      <c r="P1029" s="49"/>
      <c r="Q1029" s="49"/>
      <c r="R1029" s="49"/>
      <c r="S1029" s="49"/>
      <c r="T1029" s="49"/>
      <c r="U1029" s="49"/>
      <c r="V1029" s="49"/>
      <c r="W1029" s="49"/>
      <c r="X1029" s="49"/>
      <c r="Y1029" s="49"/>
      <c r="Z1029" s="49"/>
      <c r="AA1029" s="49"/>
      <c r="AB1029" s="49"/>
      <c r="AC1029" s="49"/>
      <c r="AD1029" s="49"/>
      <c r="AE1029" s="49"/>
      <c r="AF1029" s="49"/>
      <c r="AG1029" s="49"/>
      <c r="AH1029" s="49"/>
      <c r="AI1029" s="49"/>
      <c r="AJ1029" s="49"/>
      <c r="AK1029" s="49"/>
      <c r="AL1029" s="49"/>
      <c r="AM1029" s="49"/>
      <c r="AN1029" s="49"/>
      <c r="AO1029" s="49"/>
      <c r="AP1029" s="49"/>
      <c r="AQ1029" s="49"/>
      <c r="AR1029" s="49"/>
      <c r="AS1029" s="49"/>
      <c r="AT1029" s="49"/>
      <c r="AU1029" s="49"/>
      <c r="AV1029" s="49"/>
      <c r="AW1029" s="49"/>
      <c r="AX1029" s="49"/>
      <c r="AY1029" s="49"/>
      <c r="AZ1029" s="49"/>
      <c r="BA1029" s="49"/>
      <c r="BB1029" s="49"/>
      <c r="BC1029" s="49"/>
      <c r="BD1029" s="49"/>
      <c r="BE1029" s="68"/>
    </row>
    <row r="1030" spans="1:57" s="51" customFormat="1" ht="14.25" customHeight="1">
      <c r="A1030" s="69"/>
      <c r="B1030" s="839"/>
      <c r="C1030" s="872"/>
      <c r="D1030" s="62">
        <v>2028</v>
      </c>
      <c r="E1030" s="63">
        <f t="shared" si="333"/>
        <v>135.67599999999999</v>
      </c>
      <c r="F1030" s="63">
        <v>135.67599999999999</v>
      </c>
      <c r="G1030" s="63">
        <v>0</v>
      </c>
      <c r="H1030" s="63">
        <v>0</v>
      </c>
      <c r="I1030" s="63">
        <v>0</v>
      </c>
      <c r="J1030" s="63">
        <v>0</v>
      </c>
      <c r="K1030" s="86">
        <f t="shared" si="331"/>
        <v>135.67599999999999</v>
      </c>
      <c r="L1030" s="407"/>
      <c r="M1030" s="88"/>
      <c r="N1030" s="408"/>
      <c r="O1030" s="868"/>
      <c r="P1030" s="49"/>
      <c r="Q1030" s="49"/>
      <c r="R1030" s="49"/>
      <c r="S1030" s="49"/>
      <c r="T1030" s="49"/>
      <c r="U1030" s="49"/>
      <c r="V1030" s="49"/>
      <c r="W1030" s="49"/>
      <c r="X1030" s="49"/>
      <c r="Y1030" s="49"/>
      <c r="Z1030" s="49"/>
      <c r="AA1030" s="49"/>
      <c r="AB1030" s="49"/>
      <c r="AC1030" s="49"/>
      <c r="AD1030" s="49"/>
      <c r="AE1030" s="49"/>
      <c r="AF1030" s="49"/>
      <c r="AG1030" s="49"/>
      <c r="AH1030" s="49"/>
      <c r="AI1030" s="49"/>
      <c r="AJ1030" s="49"/>
      <c r="AK1030" s="49"/>
      <c r="AL1030" s="49"/>
      <c r="AM1030" s="49"/>
      <c r="AN1030" s="49"/>
      <c r="AO1030" s="49"/>
      <c r="AP1030" s="49"/>
      <c r="AQ1030" s="49"/>
      <c r="AR1030" s="49"/>
      <c r="AS1030" s="49"/>
      <c r="AT1030" s="49"/>
      <c r="AU1030" s="49"/>
      <c r="AV1030" s="49"/>
      <c r="AW1030" s="49"/>
      <c r="AX1030" s="49"/>
      <c r="AY1030" s="49"/>
      <c r="AZ1030" s="49"/>
      <c r="BA1030" s="49"/>
      <c r="BB1030" s="49"/>
      <c r="BC1030" s="49"/>
      <c r="BD1030" s="49"/>
      <c r="BE1030" s="68"/>
    </row>
    <row r="1031" spans="1:57" s="51" customFormat="1" ht="14.25" customHeight="1">
      <c r="A1031" s="69"/>
      <c r="B1031" s="839"/>
      <c r="C1031" s="872"/>
      <c r="D1031" s="62">
        <v>2029</v>
      </c>
      <c r="E1031" s="63">
        <f t="shared" si="333"/>
        <v>135.67599999999999</v>
      </c>
      <c r="F1031" s="63">
        <v>135.67599999999999</v>
      </c>
      <c r="G1031" s="63">
        <v>0</v>
      </c>
      <c r="H1031" s="63">
        <v>0</v>
      </c>
      <c r="I1031" s="63">
        <v>0</v>
      </c>
      <c r="J1031" s="63">
        <v>0</v>
      </c>
      <c r="K1031" s="86">
        <f t="shared" si="331"/>
        <v>135.67599999999999</v>
      </c>
      <c r="L1031" s="407"/>
      <c r="M1031" s="88"/>
      <c r="N1031" s="408"/>
      <c r="O1031" s="868"/>
      <c r="P1031" s="49"/>
      <c r="Q1031" s="49"/>
      <c r="R1031" s="49"/>
      <c r="S1031" s="49"/>
      <c r="T1031" s="49"/>
      <c r="U1031" s="49"/>
      <c r="V1031" s="49"/>
      <c r="W1031" s="49"/>
      <c r="X1031" s="49"/>
      <c r="Y1031" s="49"/>
      <c r="Z1031" s="49"/>
      <c r="AA1031" s="49"/>
      <c r="AB1031" s="49"/>
      <c r="AC1031" s="49"/>
      <c r="AD1031" s="49"/>
      <c r="AE1031" s="49"/>
      <c r="AF1031" s="49"/>
      <c r="AG1031" s="49"/>
      <c r="AH1031" s="49"/>
      <c r="AI1031" s="49"/>
      <c r="AJ1031" s="49"/>
      <c r="AK1031" s="49"/>
      <c r="AL1031" s="49"/>
      <c r="AM1031" s="49"/>
      <c r="AN1031" s="49"/>
      <c r="AO1031" s="49"/>
      <c r="AP1031" s="49"/>
      <c r="AQ1031" s="49"/>
      <c r="AR1031" s="49"/>
      <c r="AS1031" s="49"/>
      <c r="AT1031" s="49"/>
      <c r="AU1031" s="49"/>
      <c r="AV1031" s="49"/>
      <c r="AW1031" s="49"/>
      <c r="AX1031" s="49"/>
      <c r="AY1031" s="49"/>
      <c r="AZ1031" s="49"/>
      <c r="BA1031" s="49"/>
      <c r="BB1031" s="49"/>
      <c r="BC1031" s="49"/>
      <c r="BD1031" s="49"/>
      <c r="BE1031" s="68"/>
    </row>
    <row r="1032" spans="1:57" s="51" customFormat="1" ht="14.25" customHeight="1">
      <c r="A1032" s="78"/>
      <c r="B1032" s="854"/>
      <c r="C1032" s="873"/>
      <c r="D1032" s="62">
        <v>2030</v>
      </c>
      <c r="E1032" s="63">
        <f t="shared" si="333"/>
        <v>135.67599999999999</v>
      </c>
      <c r="F1032" s="63">
        <v>135.67599999999999</v>
      </c>
      <c r="G1032" s="63">
        <v>0</v>
      </c>
      <c r="H1032" s="63">
        <v>0</v>
      </c>
      <c r="I1032" s="63">
        <v>0</v>
      </c>
      <c r="J1032" s="63">
        <v>0</v>
      </c>
      <c r="K1032" s="86">
        <f t="shared" si="331"/>
        <v>135.67599999999999</v>
      </c>
      <c r="L1032" s="407"/>
      <c r="M1032" s="88"/>
      <c r="N1032" s="408"/>
      <c r="O1032" s="869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49"/>
      <c r="AU1032" s="49"/>
      <c r="AV1032" s="49"/>
      <c r="AW1032" s="49"/>
      <c r="AX1032" s="49"/>
      <c r="AY1032" s="49"/>
      <c r="AZ1032" s="49"/>
      <c r="BA1032" s="49"/>
      <c r="BB1032" s="49"/>
      <c r="BC1032" s="49"/>
      <c r="BD1032" s="49"/>
      <c r="BE1032" s="68"/>
    </row>
    <row r="1033" spans="1:57" s="51" customFormat="1" ht="12.75" customHeight="1">
      <c r="A1033" s="926" t="s">
        <v>989</v>
      </c>
      <c r="B1033" s="929" t="s">
        <v>990</v>
      </c>
      <c r="C1033" s="425"/>
      <c r="D1033" s="84" t="s">
        <v>16</v>
      </c>
      <c r="E1033" s="85">
        <f t="shared" ref="E1033:J1033" si="334">E1034+E1035+E1036+E1037+E1038+E1039+E1040+E1041+E1042+E1043+E1044+E1045</f>
        <v>13.259011641518081</v>
      </c>
      <c r="F1033" s="85">
        <f t="shared" si="334"/>
        <v>13.259011641518081</v>
      </c>
      <c r="G1033" s="85">
        <f t="shared" si="334"/>
        <v>0</v>
      </c>
      <c r="H1033" s="85">
        <f t="shared" si="334"/>
        <v>0</v>
      </c>
      <c r="I1033" s="85">
        <f t="shared" si="334"/>
        <v>0</v>
      </c>
      <c r="J1033" s="85">
        <f t="shared" si="334"/>
        <v>0</v>
      </c>
      <c r="K1033" s="86">
        <f t="shared" si="331"/>
        <v>13.259011641518081</v>
      </c>
      <c r="L1033" s="99"/>
      <c r="M1033" s="88"/>
      <c r="N1033" s="89"/>
      <c r="O1033" s="90"/>
      <c r="P1033" s="49"/>
      <c r="Q1033" s="49"/>
      <c r="R1033" s="49"/>
      <c r="S1033" s="49"/>
      <c r="T1033" s="49"/>
      <c r="U1033" s="49"/>
      <c r="V1033" s="49"/>
      <c r="W1033" s="49"/>
      <c r="X1033" s="49"/>
      <c r="Y1033" s="49"/>
      <c r="Z1033" s="49"/>
      <c r="AA1033" s="49"/>
      <c r="AB1033" s="49"/>
      <c r="AC1033" s="49"/>
      <c r="AD1033" s="49"/>
      <c r="AE1033" s="49"/>
      <c r="AF1033" s="49"/>
      <c r="AG1033" s="49"/>
      <c r="AH1033" s="49"/>
      <c r="AI1033" s="49"/>
      <c r="AJ1033" s="49"/>
      <c r="AK1033" s="49"/>
      <c r="AL1033" s="49"/>
      <c r="AM1033" s="49"/>
      <c r="AN1033" s="49"/>
      <c r="AO1033" s="49"/>
      <c r="AP1033" s="49"/>
      <c r="AQ1033" s="49"/>
      <c r="AR1033" s="49"/>
      <c r="AS1033" s="49"/>
      <c r="AT1033" s="49"/>
      <c r="AU1033" s="49"/>
      <c r="AV1033" s="49"/>
      <c r="AW1033" s="49"/>
      <c r="AX1033" s="49"/>
      <c r="AY1033" s="49"/>
      <c r="AZ1033" s="49"/>
      <c r="BA1033" s="49"/>
      <c r="BB1033" s="49"/>
      <c r="BC1033" s="49"/>
      <c r="BD1033" s="49"/>
      <c r="BE1033" s="68"/>
    </row>
    <row r="1034" spans="1:57" s="51" customFormat="1" ht="12.75" customHeight="1">
      <c r="A1034" s="1003"/>
      <c r="B1034" s="953"/>
      <c r="C1034" s="94"/>
      <c r="D1034" s="84">
        <v>2019</v>
      </c>
      <c r="E1034" s="85">
        <f t="shared" ref="E1034:J1034" si="335">E1054</f>
        <v>0.05</v>
      </c>
      <c r="F1034" s="85">
        <f t="shared" si="335"/>
        <v>0.05</v>
      </c>
      <c r="G1034" s="85">
        <f t="shared" si="335"/>
        <v>0</v>
      </c>
      <c r="H1034" s="85">
        <f t="shared" si="335"/>
        <v>0</v>
      </c>
      <c r="I1034" s="85">
        <f t="shared" si="335"/>
        <v>0</v>
      </c>
      <c r="J1034" s="85">
        <f t="shared" si="335"/>
        <v>0</v>
      </c>
      <c r="K1034" s="86">
        <f t="shared" si="331"/>
        <v>0.05</v>
      </c>
      <c r="L1034" s="99"/>
      <c r="M1034" s="88"/>
      <c r="N1034" s="89"/>
      <c r="O1034" s="90"/>
      <c r="P1034" s="49"/>
      <c r="Q1034" s="49"/>
      <c r="R1034" s="49"/>
      <c r="S1034" s="49"/>
      <c r="T1034" s="49"/>
      <c r="U1034" s="49"/>
      <c r="V1034" s="49"/>
      <c r="W1034" s="49"/>
      <c r="X1034" s="49"/>
      <c r="Y1034" s="49"/>
      <c r="Z1034" s="49"/>
      <c r="AA1034" s="49"/>
      <c r="AB1034" s="49"/>
      <c r="AC1034" s="49"/>
      <c r="AD1034" s="49"/>
      <c r="AE1034" s="49"/>
      <c r="AF1034" s="49"/>
      <c r="AG1034" s="49"/>
      <c r="AH1034" s="49"/>
      <c r="AI1034" s="49"/>
      <c r="AJ1034" s="49"/>
      <c r="AK1034" s="49"/>
      <c r="AL1034" s="49"/>
      <c r="AM1034" s="49"/>
      <c r="AN1034" s="49"/>
      <c r="AO1034" s="49"/>
      <c r="AP1034" s="49"/>
      <c r="AQ1034" s="49"/>
      <c r="AR1034" s="49"/>
      <c r="AS1034" s="49"/>
      <c r="AT1034" s="49"/>
      <c r="AU1034" s="49"/>
      <c r="AV1034" s="49"/>
      <c r="AW1034" s="49"/>
      <c r="AX1034" s="49"/>
      <c r="AY1034" s="49"/>
      <c r="AZ1034" s="49"/>
      <c r="BA1034" s="49"/>
      <c r="BB1034" s="49"/>
      <c r="BC1034" s="49"/>
      <c r="BD1034" s="49"/>
      <c r="BE1034" s="68"/>
    </row>
    <row r="1035" spans="1:57" s="51" customFormat="1" ht="12.75" customHeight="1">
      <c r="A1035" s="1003"/>
      <c r="B1035" s="953"/>
      <c r="C1035" s="94"/>
      <c r="D1035" s="84">
        <v>2020</v>
      </c>
      <c r="E1035" s="85">
        <f t="shared" ref="E1035:J1036" si="336">E1055+E1082</f>
        <v>7.2400000000000006E-2</v>
      </c>
      <c r="F1035" s="85">
        <f t="shared" si="336"/>
        <v>7.2400000000000006E-2</v>
      </c>
      <c r="G1035" s="85">
        <f t="shared" si="336"/>
        <v>0</v>
      </c>
      <c r="H1035" s="85">
        <f t="shared" si="336"/>
        <v>0</v>
      </c>
      <c r="I1035" s="85">
        <f t="shared" si="336"/>
        <v>0</v>
      </c>
      <c r="J1035" s="85">
        <f t="shared" si="336"/>
        <v>0</v>
      </c>
      <c r="K1035" s="86">
        <f t="shared" si="331"/>
        <v>7.2400000000000006E-2</v>
      </c>
      <c r="L1035" s="99"/>
      <c r="M1035" s="88"/>
      <c r="N1035" s="89"/>
      <c r="O1035" s="90"/>
      <c r="P1035" s="49"/>
      <c r="Q1035" s="49"/>
      <c r="R1035" s="49"/>
      <c r="S1035" s="49"/>
      <c r="T1035" s="49"/>
      <c r="U1035" s="49"/>
      <c r="V1035" s="49"/>
      <c r="W1035" s="49"/>
      <c r="X1035" s="49"/>
      <c r="Y1035" s="49"/>
      <c r="Z1035" s="49"/>
      <c r="AA1035" s="49"/>
      <c r="AB1035" s="49"/>
      <c r="AC1035" s="49"/>
      <c r="AD1035" s="49"/>
      <c r="AE1035" s="49"/>
      <c r="AF1035" s="49"/>
      <c r="AG1035" s="49"/>
      <c r="AH1035" s="49"/>
      <c r="AI1035" s="49"/>
      <c r="AJ1035" s="49"/>
      <c r="AK1035" s="49"/>
      <c r="AL1035" s="49"/>
      <c r="AM1035" s="49"/>
      <c r="AN1035" s="49"/>
      <c r="AO1035" s="49"/>
      <c r="AP1035" s="49"/>
      <c r="AQ1035" s="49"/>
      <c r="AR1035" s="49"/>
      <c r="AS1035" s="49"/>
      <c r="AT1035" s="49"/>
      <c r="AU1035" s="49"/>
      <c r="AV1035" s="49"/>
      <c r="AW1035" s="49"/>
      <c r="AX1035" s="49"/>
      <c r="AY1035" s="49"/>
      <c r="AZ1035" s="49"/>
      <c r="BA1035" s="49"/>
      <c r="BB1035" s="49"/>
      <c r="BC1035" s="49"/>
      <c r="BD1035" s="49"/>
      <c r="BE1035" s="68"/>
    </row>
    <row r="1036" spans="1:57" s="51" customFormat="1" ht="12.75" customHeight="1">
      <c r="A1036" s="1003"/>
      <c r="B1036" s="953"/>
      <c r="C1036" s="94"/>
      <c r="D1036" s="84">
        <v>2021</v>
      </c>
      <c r="E1036" s="85">
        <f t="shared" si="336"/>
        <v>0.62400999999999995</v>
      </c>
      <c r="F1036" s="85">
        <f t="shared" si="336"/>
        <v>0.62400999999999995</v>
      </c>
      <c r="G1036" s="85">
        <f t="shared" si="336"/>
        <v>0</v>
      </c>
      <c r="H1036" s="85">
        <f t="shared" si="336"/>
        <v>0</v>
      </c>
      <c r="I1036" s="85">
        <f t="shared" si="336"/>
        <v>0</v>
      </c>
      <c r="J1036" s="85">
        <f t="shared" si="336"/>
        <v>0</v>
      </c>
      <c r="K1036" s="86">
        <f t="shared" si="331"/>
        <v>0.62400999999999995</v>
      </c>
      <c r="L1036" s="99"/>
      <c r="M1036" s="88"/>
      <c r="N1036" s="89"/>
      <c r="O1036" s="90"/>
      <c r="P1036" s="49"/>
      <c r="Q1036" s="49"/>
      <c r="R1036" s="49"/>
      <c r="S1036" s="49"/>
      <c r="T1036" s="49"/>
      <c r="U1036" s="49"/>
      <c r="V1036" s="49"/>
      <c r="W1036" s="49"/>
      <c r="X1036" s="49"/>
      <c r="Y1036" s="49"/>
      <c r="Z1036" s="49"/>
      <c r="AA1036" s="49"/>
      <c r="AB1036" s="49"/>
      <c r="AC1036" s="49"/>
      <c r="AD1036" s="49"/>
      <c r="AE1036" s="49"/>
      <c r="AF1036" s="49"/>
      <c r="AG1036" s="49"/>
      <c r="AH1036" s="49"/>
      <c r="AI1036" s="49"/>
      <c r="AJ1036" s="49"/>
      <c r="AK1036" s="49"/>
      <c r="AL1036" s="49"/>
      <c r="AM1036" s="49"/>
      <c r="AN1036" s="49"/>
      <c r="AO1036" s="49"/>
      <c r="AP1036" s="49"/>
      <c r="AQ1036" s="49"/>
      <c r="AR1036" s="49"/>
      <c r="AS1036" s="49"/>
      <c r="AT1036" s="49"/>
      <c r="AU1036" s="49"/>
      <c r="AV1036" s="49"/>
      <c r="AW1036" s="49"/>
      <c r="AX1036" s="49"/>
      <c r="AY1036" s="49"/>
      <c r="AZ1036" s="49"/>
      <c r="BA1036" s="49"/>
      <c r="BB1036" s="49"/>
      <c r="BC1036" s="49"/>
      <c r="BD1036" s="49"/>
      <c r="BE1036" s="68"/>
    </row>
    <row r="1037" spans="1:57" s="51" customFormat="1" ht="12.75" customHeight="1">
      <c r="A1037" s="1003"/>
      <c r="B1037" s="953"/>
      <c r="C1037" s="94"/>
      <c r="D1037" s="84">
        <v>2022</v>
      </c>
      <c r="E1037" s="85">
        <f>E1084+E1057</f>
        <v>5.2510000000000001E-2</v>
      </c>
      <c r="F1037" s="85">
        <f>F1084</f>
        <v>5.2510000000000001E-2</v>
      </c>
      <c r="G1037" s="85">
        <f>G1084</f>
        <v>0</v>
      </c>
      <c r="H1037" s="85">
        <f>H1084</f>
        <v>0</v>
      </c>
      <c r="I1037" s="85">
        <f>I1084</f>
        <v>0</v>
      </c>
      <c r="J1037" s="85">
        <f>J1084</f>
        <v>0</v>
      </c>
      <c r="K1037" s="86">
        <f t="shared" si="331"/>
        <v>5.2510000000000001E-2</v>
      </c>
      <c r="L1037" s="99"/>
      <c r="M1037" s="88"/>
      <c r="N1037" s="89"/>
      <c r="O1037" s="90"/>
      <c r="P1037" s="49"/>
      <c r="Q1037" s="49"/>
      <c r="R1037" s="49"/>
      <c r="S1037" s="49"/>
      <c r="T1037" s="49"/>
      <c r="U1037" s="49"/>
      <c r="V1037" s="49"/>
      <c r="W1037" s="49"/>
      <c r="X1037" s="49"/>
      <c r="Y1037" s="49"/>
      <c r="Z1037" s="49"/>
      <c r="AA1037" s="49"/>
      <c r="AB1037" s="49"/>
      <c r="AC1037" s="49"/>
      <c r="AD1037" s="49"/>
      <c r="AE1037" s="49"/>
      <c r="AF1037" s="49"/>
      <c r="AG1037" s="49"/>
      <c r="AH1037" s="49"/>
      <c r="AI1037" s="49"/>
      <c r="AJ1037" s="49"/>
      <c r="AK1037" s="49"/>
      <c r="AL1037" s="49"/>
      <c r="AM1037" s="49"/>
      <c r="AN1037" s="49"/>
      <c r="AO1037" s="49"/>
      <c r="AP1037" s="49"/>
      <c r="AQ1037" s="49"/>
      <c r="AR1037" s="49"/>
      <c r="AS1037" s="49"/>
      <c r="AT1037" s="49"/>
      <c r="AU1037" s="49"/>
      <c r="AV1037" s="49"/>
      <c r="AW1037" s="49"/>
      <c r="AX1037" s="49"/>
      <c r="AY1037" s="49"/>
      <c r="AZ1037" s="49"/>
      <c r="BA1037" s="49"/>
      <c r="BB1037" s="49"/>
      <c r="BC1037" s="49"/>
      <c r="BD1037" s="49"/>
      <c r="BE1037" s="68"/>
    </row>
    <row r="1038" spans="1:57" s="51" customFormat="1" ht="12.75" customHeight="1">
      <c r="A1038" s="1003"/>
      <c r="B1038" s="953"/>
      <c r="C1038" s="94"/>
      <c r="D1038" s="84">
        <v>2023</v>
      </c>
      <c r="E1038" s="85">
        <f t="shared" ref="E1038:J1038" si="337">E1080+E1058+E1085+E1106</f>
        <v>1.1184799999999999</v>
      </c>
      <c r="F1038" s="85">
        <f t="shared" si="337"/>
        <v>1.1184799999999999</v>
      </c>
      <c r="G1038" s="85">
        <f t="shared" si="337"/>
        <v>0</v>
      </c>
      <c r="H1038" s="85">
        <f t="shared" si="337"/>
        <v>0</v>
      </c>
      <c r="I1038" s="85">
        <f t="shared" si="337"/>
        <v>0</v>
      </c>
      <c r="J1038" s="85">
        <f t="shared" si="337"/>
        <v>0</v>
      </c>
      <c r="K1038" s="86">
        <f t="shared" si="331"/>
        <v>1.1184799999999999</v>
      </c>
      <c r="L1038" s="99"/>
      <c r="M1038" s="88"/>
      <c r="N1038" s="89"/>
      <c r="O1038" s="90"/>
      <c r="P1038" s="49"/>
      <c r="Q1038" s="49"/>
      <c r="R1038" s="49"/>
      <c r="S1038" s="49"/>
      <c r="T1038" s="49"/>
      <c r="U1038" s="49"/>
      <c r="V1038" s="49"/>
      <c r="W1038" s="49"/>
      <c r="X1038" s="49"/>
      <c r="Y1038" s="49"/>
      <c r="Z1038" s="49"/>
      <c r="AA1038" s="49"/>
      <c r="AB1038" s="49"/>
      <c r="AC1038" s="49"/>
      <c r="AD1038" s="49"/>
      <c r="AE1038" s="49"/>
      <c r="AF1038" s="49"/>
      <c r="AG1038" s="49"/>
      <c r="AH1038" s="49"/>
      <c r="AI1038" s="49"/>
      <c r="AJ1038" s="49"/>
      <c r="AK1038" s="49"/>
      <c r="AL1038" s="49"/>
      <c r="AM1038" s="49"/>
      <c r="AN1038" s="49"/>
      <c r="AO1038" s="49"/>
      <c r="AP1038" s="49"/>
      <c r="AQ1038" s="49"/>
      <c r="AR1038" s="49"/>
      <c r="AS1038" s="49"/>
      <c r="AT1038" s="49"/>
      <c r="AU1038" s="49"/>
      <c r="AV1038" s="49"/>
      <c r="AW1038" s="49"/>
      <c r="AX1038" s="49"/>
      <c r="AY1038" s="49"/>
      <c r="AZ1038" s="49"/>
      <c r="BA1038" s="49"/>
      <c r="BB1038" s="49"/>
      <c r="BC1038" s="49"/>
      <c r="BD1038" s="49"/>
      <c r="BE1038" s="68"/>
    </row>
    <row r="1039" spans="1:57" s="51" customFormat="1" ht="12.75" customHeight="1">
      <c r="A1039" s="1003"/>
      <c r="B1039" s="953"/>
      <c r="C1039" s="94"/>
      <c r="D1039" s="84">
        <v>2024</v>
      </c>
      <c r="E1039" s="85">
        <f t="shared" ref="E1039:J1039" si="338">E1059+E1086+E1107</f>
        <v>1.7029000000000001</v>
      </c>
      <c r="F1039" s="85">
        <f t="shared" si="338"/>
        <v>1.7029000000000001</v>
      </c>
      <c r="G1039" s="85">
        <f t="shared" si="338"/>
        <v>0</v>
      </c>
      <c r="H1039" s="85">
        <f t="shared" si="338"/>
        <v>0</v>
      </c>
      <c r="I1039" s="85">
        <f t="shared" si="338"/>
        <v>0</v>
      </c>
      <c r="J1039" s="85">
        <f t="shared" si="338"/>
        <v>0</v>
      </c>
      <c r="K1039" s="86">
        <f t="shared" si="331"/>
        <v>1.7029000000000001</v>
      </c>
      <c r="L1039" s="99"/>
      <c r="M1039" s="88"/>
      <c r="N1039" s="89"/>
      <c r="O1039" s="90"/>
      <c r="P1039" s="49"/>
      <c r="Q1039" s="49"/>
      <c r="R1039" s="49"/>
      <c r="S1039" s="49"/>
      <c r="T1039" s="49"/>
      <c r="U1039" s="49"/>
      <c r="V1039" s="49"/>
      <c r="W1039" s="49"/>
      <c r="X1039" s="49"/>
      <c r="Y1039" s="49"/>
      <c r="Z1039" s="49"/>
      <c r="AA1039" s="49"/>
      <c r="AB1039" s="49"/>
      <c r="AC1039" s="49"/>
      <c r="AD1039" s="49"/>
      <c r="AE1039" s="49"/>
      <c r="AF1039" s="49"/>
      <c r="AG1039" s="49"/>
      <c r="AH1039" s="49"/>
      <c r="AI1039" s="49"/>
      <c r="AJ1039" s="49"/>
      <c r="AK1039" s="49"/>
      <c r="AL1039" s="49"/>
      <c r="AM1039" s="49"/>
      <c r="AN1039" s="49"/>
      <c r="AO1039" s="49"/>
      <c r="AP1039" s="49"/>
      <c r="AQ1039" s="49"/>
      <c r="AR1039" s="49"/>
      <c r="AS1039" s="49"/>
      <c r="AT1039" s="49"/>
      <c r="AU1039" s="49"/>
      <c r="AV1039" s="49"/>
      <c r="AW1039" s="49"/>
      <c r="AX1039" s="49"/>
      <c r="AY1039" s="49"/>
      <c r="AZ1039" s="49"/>
      <c r="BA1039" s="49"/>
      <c r="BB1039" s="49"/>
      <c r="BC1039" s="49"/>
      <c r="BD1039" s="49"/>
      <c r="BE1039" s="68"/>
    </row>
    <row r="1040" spans="1:57" s="51" customFormat="1" ht="12.75" customHeight="1">
      <c r="A1040" s="1003"/>
      <c r="B1040" s="953"/>
      <c r="C1040" s="94"/>
      <c r="D1040" s="84">
        <v>2025</v>
      </c>
      <c r="E1040" s="85">
        <f t="shared" ref="E1040:J1040" si="339">E1060+E1108</f>
        <v>1.1152</v>
      </c>
      <c r="F1040" s="85">
        <f t="shared" si="339"/>
        <v>1.1152</v>
      </c>
      <c r="G1040" s="85">
        <f t="shared" si="339"/>
        <v>0</v>
      </c>
      <c r="H1040" s="85">
        <f t="shared" si="339"/>
        <v>0</v>
      </c>
      <c r="I1040" s="85">
        <f t="shared" si="339"/>
        <v>0</v>
      </c>
      <c r="J1040" s="85">
        <f t="shared" si="339"/>
        <v>0</v>
      </c>
      <c r="K1040" s="86">
        <f t="shared" si="331"/>
        <v>1.1152</v>
      </c>
      <c r="L1040" s="99"/>
      <c r="M1040" s="88"/>
      <c r="N1040" s="89"/>
      <c r="O1040" s="90"/>
      <c r="P1040" s="49"/>
      <c r="Q1040" s="49"/>
      <c r="R1040" s="49"/>
      <c r="S1040" s="49"/>
      <c r="T1040" s="49"/>
      <c r="U1040" s="49"/>
      <c r="V1040" s="49"/>
      <c r="W1040" s="49"/>
      <c r="X1040" s="49"/>
      <c r="Y1040" s="49"/>
      <c r="Z1040" s="49"/>
      <c r="AA1040" s="49"/>
      <c r="AB1040" s="49"/>
      <c r="AC1040" s="49"/>
      <c r="AD1040" s="49"/>
      <c r="AE1040" s="49"/>
      <c r="AF1040" s="49"/>
      <c r="AG1040" s="49"/>
      <c r="AH1040" s="49"/>
      <c r="AI1040" s="49"/>
      <c r="AJ1040" s="49"/>
      <c r="AK1040" s="49"/>
      <c r="AL1040" s="49"/>
      <c r="AM1040" s="49"/>
      <c r="AN1040" s="49"/>
      <c r="AO1040" s="49"/>
      <c r="AP1040" s="49"/>
      <c r="AQ1040" s="49"/>
      <c r="AR1040" s="49"/>
      <c r="AS1040" s="49"/>
      <c r="AT1040" s="49"/>
      <c r="AU1040" s="49"/>
      <c r="AV1040" s="49"/>
      <c r="AW1040" s="49"/>
      <c r="AX1040" s="49"/>
      <c r="AY1040" s="49"/>
      <c r="AZ1040" s="49"/>
      <c r="BA1040" s="49"/>
      <c r="BB1040" s="49"/>
      <c r="BC1040" s="49"/>
      <c r="BD1040" s="49"/>
      <c r="BE1040" s="68"/>
    </row>
    <row r="1041" spans="1:57" s="51" customFormat="1" ht="12.75" customHeight="1">
      <c r="A1041" s="1003"/>
      <c r="B1041" s="953"/>
      <c r="C1041" s="94"/>
      <c r="D1041" s="84">
        <v>2026</v>
      </c>
      <c r="E1041" s="85">
        <f t="shared" ref="E1041:F1043" si="340">E1047+E1067+E1061</f>
        <v>2.188968</v>
      </c>
      <c r="F1041" s="85">
        <f t="shared" si="340"/>
        <v>2.188968</v>
      </c>
      <c r="G1041" s="85">
        <f>G1047+G1067</f>
        <v>0</v>
      </c>
      <c r="H1041" s="85">
        <f>H1047+H1067</f>
        <v>0</v>
      </c>
      <c r="I1041" s="85">
        <f>I1047+I1067</f>
        <v>0</v>
      </c>
      <c r="J1041" s="85">
        <f>J1047+J1067</f>
        <v>0</v>
      </c>
      <c r="K1041" s="86">
        <f t="shared" si="331"/>
        <v>2.188968</v>
      </c>
      <c r="L1041" s="99"/>
      <c r="M1041" s="88"/>
      <c r="N1041" s="89"/>
      <c r="O1041" s="90"/>
      <c r="P1041" s="49"/>
      <c r="Q1041" s="49"/>
      <c r="R1041" s="49"/>
      <c r="S1041" s="49"/>
      <c r="T1041" s="49"/>
      <c r="U1041" s="49"/>
      <c r="V1041" s="49"/>
      <c r="W1041" s="49"/>
      <c r="X1041" s="49"/>
      <c r="Y1041" s="49"/>
      <c r="Z1041" s="49"/>
      <c r="AA1041" s="49"/>
      <c r="AB1041" s="49"/>
      <c r="AC1041" s="49"/>
      <c r="AD1041" s="49"/>
      <c r="AE1041" s="49"/>
      <c r="AF1041" s="49"/>
      <c r="AG1041" s="49"/>
      <c r="AH1041" s="49"/>
      <c r="AI1041" s="49"/>
      <c r="AJ1041" s="49"/>
      <c r="AK1041" s="49"/>
      <c r="AL1041" s="49"/>
      <c r="AM1041" s="49"/>
      <c r="AN1041" s="49"/>
      <c r="AO1041" s="49"/>
      <c r="AP1041" s="49"/>
      <c r="AQ1041" s="49"/>
      <c r="AR1041" s="49"/>
      <c r="AS1041" s="49"/>
      <c r="AT1041" s="49"/>
      <c r="AU1041" s="49"/>
      <c r="AV1041" s="49"/>
      <c r="AW1041" s="49"/>
      <c r="AX1041" s="49"/>
      <c r="AY1041" s="49"/>
      <c r="AZ1041" s="49"/>
      <c r="BA1041" s="49"/>
      <c r="BB1041" s="49"/>
      <c r="BC1041" s="49"/>
      <c r="BD1041" s="49"/>
      <c r="BE1041" s="68"/>
    </row>
    <row r="1042" spans="1:57" s="51" customFormat="1" ht="12.75" customHeight="1">
      <c r="A1042" s="1003"/>
      <c r="B1042" s="953"/>
      <c r="C1042" s="834"/>
      <c r="D1042" s="84">
        <v>2027</v>
      </c>
      <c r="E1042" s="85">
        <f t="shared" si="340"/>
        <v>2.19652672</v>
      </c>
      <c r="F1042" s="85">
        <f t="shared" si="340"/>
        <v>2.19652672</v>
      </c>
      <c r="G1042" s="85">
        <f>G1048+G1068+G1062</f>
        <v>0</v>
      </c>
      <c r="H1042" s="85">
        <f>H1048+H1068+H1062</f>
        <v>0</v>
      </c>
      <c r="I1042" s="85">
        <f>I1048+I1068+I1062</f>
        <v>0</v>
      </c>
      <c r="J1042" s="85">
        <f>J1048+J1068+J1062</f>
        <v>0</v>
      </c>
      <c r="K1042" s="86">
        <f t="shared" si="331"/>
        <v>2.19652672</v>
      </c>
      <c r="L1042" s="99"/>
      <c r="M1042" s="88"/>
      <c r="N1042" s="89"/>
      <c r="O1042" s="90"/>
      <c r="P1042" s="49"/>
      <c r="Q1042" s="49"/>
      <c r="R1042" s="49"/>
      <c r="S1042" s="49"/>
      <c r="T1042" s="49"/>
      <c r="U1042" s="49"/>
      <c r="V1042" s="49"/>
      <c r="W1042" s="49"/>
      <c r="X1042" s="49"/>
      <c r="Y1042" s="49"/>
      <c r="Z1042" s="49"/>
      <c r="AA1042" s="49"/>
      <c r="AB1042" s="49"/>
      <c r="AC1042" s="49"/>
      <c r="AD1042" s="49"/>
      <c r="AE1042" s="49"/>
      <c r="AF1042" s="49"/>
      <c r="AG1042" s="49"/>
      <c r="AH1042" s="49"/>
      <c r="AI1042" s="49"/>
      <c r="AJ1042" s="49"/>
      <c r="AK1042" s="49"/>
      <c r="AL1042" s="49"/>
      <c r="AM1042" s="49"/>
      <c r="AN1042" s="49"/>
      <c r="AO1042" s="49"/>
      <c r="AP1042" s="49"/>
      <c r="AQ1042" s="49"/>
      <c r="AR1042" s="49"/>
      <c r="AS1042" s="49"/>
      <c r="AT1042" s="49"/>
      <c r="AU1042" s="49"/>
      <c r="AV1042" s="49"/>
      <c r="AW1042" s="49"/>
      <c r="AX1042" s="49"/>
      <c r="AY1042" s="49"/>
      <c r="AZ1042" s="49"/>
      <c r="BA1042" s="49"/>
      <c r="BB1042" s="49"/>
      <c r="BC1042" s="49"/>
      <c r="BD1042" s="49"/>
      <c r="BE1042" s="68"/>
    </row>
    <row r="1043" spans="1:57" s="51" customFormat="1" ht="12.75" customHeight="1">
      <c r="A1043" s="1003"/>
      <c r="B1043" s="953"/>
      <c r="C1043" s="834"/>
      <c r="D1043" s="84">
        <v>2028</v>
      </c>
      <c r="E1043" s="85">
        <f t="shared" si="340"/>
        <v>2.2043877888000001</v>
      </c>
      <c r="F1043" s="85">
        <f t="shared" si="340"/>
        <v>2.2043877888000001</v>
      </c>
      <c r="G1043" s="85">
        <f>G1049+G1069</f>
        <v>0</v>
      </c>
      <c r="H1043" s="85">
        <f>H1049+H1069</f>
        <v>0</v>
      </c>
      <c r="I1043" s="85">
        <f>I1049+I1069</f>
        <v>0</v>
      </c>
      <c r="J1043" s="85">
        <f>J1049+J1069</f>
        <v>0</v>
      </c>
      <c r="K1043" s="86">
        <f t="shared" si="331"/>
        <v>2.2043877888000001</v>
      </c>
      <c r="L1043" s="99"/>
      <c r="M1043" s="88"/>
      <c r="N1043" s="89"/>
      <c r="O1043" s="90"/>
      <c r="P1043" s="49"/>
      <c r="Q1043" s="49"/>
      <c r="R1043" s="49"/>
      <c r="S1043" s="49"/>
      <c r="T1043" s="49"/>
      <c r="U1043" s="49"/>
      <c r="V1043" s="49"/>
      <c r="W1043" s="49"/>
      <c r="X1043" s="49"/>
      <c r="Y1043" s="49"/>
      <c r="Z1043" s="49"/>
      <c r="AA1043" s="49"/>
      <c r="AB1043" s="49"/>
      <c r="AC1043" s="49"/>
      <c r="AD1043" s="49"/>
      <c r="AE1043" s="49"/>
      <c r="AF1043" s="49"/>
      <c r="AG1043" s="49"/>
      <c r="AH1043" s="49"/>
      <c r="AI1043" s="49"/>
      <c r="AJ1043" s="49"/>
      <c r="AK1043" s="49"/>
      <c r="AL1043" s="49"/>
      <c r="AM1043" s="49"/>
      <c r="AN1043" s="49"/>
      <c r="AO1043" s="49"/>
      <c r="AP1043" s="49"/>
      <c r="AQ1043" s="49"/>
      <c r="AR1043" s="49"/>
      <c r="AS1043" s="49"/>
      <c r="AT1043" s="49"/>
      <c r="AU1043" s="49"/>
      <c r="AV1043" s="49"/>
      <c r="AW1043" s="49"/>
      <c r="AX1043" s="49"/>
      <c r="AY1043" s="49"/>
      <c r="AZ1043" s="49"/>
      <c r="BA1043" s="49"/>
      <c r="BB1043" s="49"/>
      <c r="BC1043" s="49"/>
      <c r="BD1043" s="49"/>
      <c r="BE1043" s="68"/>
    </row>
    <row r="1044" spans="1:57" s="51" customFormat="1" ht="12.75" customHeight="1">
      <c r="A1044" s="1003"/>
      <c r="B1044" s="953"/>
      <c r="C1044" s="834"/>
      <c r="D1044" s="84">
        <v>2029</v>
      </c>
      <c r="E1044" s="85">
        <f>E1070+E1064</f>
        <v>1.712563300352</v>
      </c>
      <c r="F1044" s="85">
        <f>F1070+F1064</f>
        <v>1.712563300352</v>
      </c>
      <c r="G1044" s="85">
        <f>G1070</f>
        <v>0</v>
      </c>
      <c r="H1044" s="85">
        <f>H1070</f>
        <v>0</v>
      </c>
      <c r="I1044" s="85">
        <f>I1070</f>
        <v>0</v>
      </c>
      <c r="J1044" s="85">
        <f>J1070</f>
        <v>0</v>
      </c>
      <c r="K1044" s="86">
        <f t="shared" si="331"/>
        <v>1.712563300352</v>
      </c>
      <c r="L1044" s="99"/>
      <c r="M1044" s="88"/>
      <c r="N1044" s="89"/>
      <c r="O1044" s="90"/>
      <c r="P1044" s="49"/>
      <c r="Q1044" s="49"/>
      <c r="R1044" s="49"/>
      <c r="S1044" s="49"/>
      <c r="T1044" s="49"/>
      <c r="U1044" s="49"/>
      <c r="V1044" s="49"/>
      <c r="W1044" s="49"/>
      <c r="X1044" s="49"/>
      <c r="Y1044" s="49"/>
      <c r="Z1044" s="49"/>
      <c r="AA1044" s="49"/>
      <c r="AB1044" s="49"/>
      <c r="AC1044" s="49"/>
      <c r="AD1044" s="49"/>
      <c r="AE1044" s="49"/>
      <c r="AF1044" s="49"/>
      <c r="AG1044" s="49"/>
      <c r="AH1044" s="49"/>
      <c r="AI1044" s="49"/>
      <c r="AJ1044" s="49"/>
      <c r="AK1044" s="49"/>
      <c r="AL1044" s="49"/>
      <c r="AM1044" s="49"/>
      <c r="AN1044" s="49"/>
      <c r="AO1044" s="49"/>
      <c r="AP1044" s="49"/>
      <c r="AQ1044" s="49"/>
      <c r="AR1044" s="49"/>
      <c r="AS1044" s="49"/>
      <c r="AT1044" s="49"/>
      <c r="AU1044" s="49"/>
      <c r="AV1044" s="49"/>
      <c r="AW1044" s="49"/>
      <c r="AX1044" s="49"/>
      <c r="AY1044" s="49"/>
      <c r="AZ1044" s="49"/>
      <c r="BA1044" s="49"/>
      <c r="BB1044" s="49"/>
      <c r="BC1044" s="49"/>
      <c r="BD1044" s="49"/>
      <c r="BE1044" s="68"/>
    </row>
    <row r="1045" spans="1:57" s="51" customFormat="1" ht="15.75" customHeight="1">
      <c r="A1045" s="1004"/>
      <c r="B1045" s="954"/>
      <c r="C1045" s="835"/>
      <c r="D1045" s="84">
        <v>2030</v>
      </c>
      <c r="E1045" s="85">
        <f>F1045</f>
        <v>0.22106583236608005</v>
      </c>
      <c r="F1045" s="85">
        <f>F1065</f>
        <v>0.22106583236608005</v>
      </c>
      <c r="G1045" s="85">
        <f>H1045</f>
        <v>0</v>
      </c>
      <c r="H1045" s="85">
        <f>I1045</f>
        <v>0</v>
      </c>
      <c r="I1045" s="85">
        <f>J1045</f>
        <v>0</v>
      </c>
      <c r="J1045" s="85">
        <f>K1045</f>
        <v>0</v>
      </c>
      <c r="K1045" s="86"/>
      <c r="L1045" s="99"/>
      <c r="M1045" s="88"/>
      <c r="N1045" s="89"/>
      <c r="O1045" s="349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49"/>
      <c r="AU1045" s="49"/>
      <c r="AV1045" s="49"/>
      <c r="AW1045" s="49"/>
      <c r="AX1045" s="49"/>
      <c r="AY1045" s="49"/>
      <c r="AZ1045" s="49"/>
      <c r="BA1045" s="49"/>
      <c r="BB1045" s="49"/>
      <c r="BC1045" s="49"/>
      <c r="BD1045" s="49"/>
      <c r="BE1045" s="68"/>
    </row>
    <row r="1046" spans="1:57" s="51" customFormat="1" ht="14.25" customHeight="1">
      <c r="A1046" s="794" t="s">
        <v>991</v>
      </c>
      <c r="B1046" s="838" t="s">
        <v>992</v>
      </c>
      <c r="C1046" s="867" t="s">
        <v>993</v>
      </c>
      <c r="D1046" s="84" t="s">
        <v>16</v>
      </c>
      <c r="E1046" s="85">
        <f t="shared" ref="E1046:J1046" si="341">E1047+E1049+E1048</f>
        <v>1.5</v>
      </c>
      <c r="F1046" s="85">
        <f t="shared" si="341"/>
        <v>1.5</v>
      </c>
      <c r="G1046" s="85">
        <f t="shared" si="341"/>
        <v>0</v>
      </c>
      <c r="H1046" s="85">
        <f t="shared" si="341"/>
        <v>0</v>
      </c>
      <c r="I1046" s="85">
        <f t="shared" si="341"/>
        <v>0</v>
      </c>
      <c r="J1046" s="85">
        <f t="shared" si="341"/>
        <v>0</v>
      </c>
      <c r="K1046" s="86">
        <f t="shared" ref="K1046:K1077" si="342">F1046+G1046+H1046+I1046+J1046</f>
        <v>1.5</v>
      </c>
      <c r="L1046" s="99"/>
      <c r="M1046" s="88"/>
      <c r="N1046" s="89"/>
      <c r="O1046" s="995" t="s">
        <v>369</v>
      </c>
      <c r="P1046" s="49"/>
      <c r="Q1046" s="49"/>
      <c r="R1046" s="49"/>
      <c r="S1046" s="49"/>
      <c r="T1046" s="49"/>
      <c r="U1046" s="49"/>
      <c r="V1046" s="49"/>
      <c r="W1046" s="49"/>
      <c r="X1046" s="49"/>
      <c r="Y1046" s="49"/>
      <c r="Z1046" s="49"/>
      <c r="AA1046" s="49"/>
      <c r="AB1046" s="49"/>
      <c r="AC1046" s="49"/>
      <c r="AD1046" s="49"/>
      <c r="AE1046" s="49"/>
      <c r="AF1046" s="49"/>
      <c r="AG1046" s="49"/>
      <c r="AH1046" s="49"/>
      <c r="AI1046" s="49"/>
      <c r="AJ1046" s="49"/>
      <c r="AK1046" s="49"/>
      <c r="AL1046" s="49"/>
      <c r="AM1046" s="49"/>
      <c r="AN1046" s="49"/>
      <c r="AO1046" s="49"/>
      <c r="AP1046" s="49"/>
      <c r="AQ1046" s="49"/>
      <c r="AR1046" s="49"/>
      <c r="AS1046" s="49"/>
      <c r="AT1046" s="49"/>
      <c r="AU1046" s="49"/>
      <c r="AV1046" s="49"/>
      <c r="AW1046" s="49"/>
      <c r="AX1046" s="49"/>
      <c r="AY1046" s="49"/>
      <c r="AZ1046" s="49"/>
      <c r="BA1046" s="49"/>
      <c r="BB1046" s="49"/>
      <c r="BC1046" s="49"/>
      <c r="BD1046" s="49"/>
      <c r="BE1046" s="68"/>
    </row>
    <row r="1047" spans="1:57" s="51" customFormat="1">
      <c r="A1047" s="795"/>
      <c r="B1047" s="889"/>
      <c r="C1047" s="872"/>
      <c r="D1047" s="84">
        <v>2026</v>
      </c>
      <c r="E1047" s="63">
        <f t="shared" ref="E1047:F1049" si="343">E1050</f>
        <v>0.5</v>
      </c>
      <c r="F1047" s="63">
        <f t="shared" si="343"/>
        <v>0.5</v>
      </c>
      <c r="G1047" s="63">
        <v>0</v>
      </c>
      <c r="H1047" s="63">
        <v>0</v>
      </c>
      <c r="I1047" s="63">
        <v>0</v>
      </c>
      <c r="J1047" s="63">
        <v>0</v>
      </c>
      <c r="K1047" s="86">
        <f t="shared" si="342"/>
        <v>0.5</v>
      </c>
      <c r="L1047" s="185"/>
      <c r="M1047" s="88"/>
      <c r="N1047" s="89"/>
      <c r="O1047" s="1030"/>
      <c r="P1047" s="49"/>
      <c r="Q1047" s="49"/>
      <c r="R1047" s="49"/>
      <c r="S1047" s="49"/>
      <c r="T1047" s="49"/>
      <c r="U1047" s="49"/>
      <c r="V1047" s="49"/>
      <c r="W1047" s="49"/>
      <c r="X1047" s="49"/>
      <c r="Y1047" s="49"/>
      <c r="Z1047" s="49"/>
      <c r="AA1047" s="49"/>
      <c r="AB1047" s="49"/>
      <c r="AC1047" s="49"/>
      <c r="AD1047" s="49"/>
      <c r="AE1047" s="49"/>
      <c r="AF1047" s="49"/>
      <c r="AG1047" s="49"/>
      <c r="AH1047" s="49"/>
      <c r="AI1047" s="49"/>
      <c r="AJ1047" s="49"/>
      <c r="AK1047" s="49"/>
      <c r="AL1047" s="49"/>
      <c r="AM1047" s="49"/>
      <c r="AN1047" s="49"/>
      <c r="AO1047" s="49"/>
      <c r="AP1047" s="49"/>
      <c r="AQ1047" s="49"/>
      <c r="AR1047" s="49"/>
      <c r="AS1047" s="49"/>
      <c r="AT1047" s="49"/>
      <c r="AU1047" s="49"/>
      <c r="AV1047" s="49"/>
      <c r="AW1047" s="49"/>
      <c r="AX1047" s="49"/>
      <c r="AY1047" s="49"/>
      <c r="AZ1047" s="49"/>
      <c r="BA1047" s="49"/>
      <c r="BB1047" s="49"/>
      <c r="BC1047" s="49"/>
      <c r="BD1047" s="49"/>
      <c r="BE1047" s="68"/>
    </row>
    <row r="1048" spans="1:57" s="51" customFormat="1">
      <c r="A1048" s="795"/>
      <c r="B1048" s="889"/>
      <c r="C1048" s="872"/>
      <c r="D1048" s="84">
        <v>2027</v>
      </c>
      <c r="E1048" s="63">
        <f t="shared" si="343"/>
        <v>0.5</v>
      </c>
      <c r="F1048" s="63">
        <f t="shared" si="343"/>
        <v>0.5</v>
      </c>
      <c r="G1048" s="63">
        <f t="shared" ref="G1048:J1049" si="344">G1051</f>
        <v>0</v>
      </c>
      <c r="H1048" s="63">
        <f t="shared" si="344"/>
        <v>0</v>
      </c>
      <c r="I1048" s="63">
        <f t="shared" si="344"/>
        <v>0</v>
      </c>
      <c r="J1048" s="63">
        <f t="shared" si="344"/>
        <v>0</v>
      </c>
      <c r="K1048" s="86">
        <f t="shared" si="342"/>
        <v>0.5</v>
      </c>
      <c r="L1048" s="185"/>
      <c r="M1048" s="88"/>
      <c r="N1048" s="89"/>
      <c r="O1048" s="1030"/>
      <c r="P1048" s="49"/>
      <c r="Q1048" s="49"/>
      <c r="R1048" s="49"/>
      <c r="S1048" s="49"/>
      <c r="T1048" s="49"/>
      <c r="U1048" s="49"/>
      <c r="V1048" s="49"/>
      <c r="W1048" s="49"/>
      <c r="X1048" s="49"/>
      <c r="Y1048" s="49"/>
      <c r="Z1048" s="49"/>
      <c r="AA1048" s="49"/>
      <c r="AB1048" s="49"/>
      <c r="AC1048" s="49"/>
      <c r="AD1048" s="49"/>
      <c r="AE1048" s="49"/>
      <c r="AF1048" s="49"/>
      <c r="AG1048" s="49"/>
      <c r="AH1048" s="49"/>
      <c r="AI1048" s="49"/>
      <c r="AJ1048" s="49"/>
      <c r="AK1048" s="49"/>
      <c r="AL1048" s="49"/>
      <c r="AM1048" s="49"/>
      <c r="AN1048" s="49"/>
      <c r="AO1048" s="49"/>
      <c r="AP1048" s="49"/>
      <c r="AQ1048" s="49"/>
      <c r="AR1048" s="49"/>
      <c r="AS1048" s="49"/>
      <c r="AT1048" s="49"/>
      <c r="AU1048" s="49"/>
      <c r="AV1048" s="49"/>
      <c r="AW1048" s="49"/>
      <c r="AX1048" s="49"/>
      <c r="AY1048" s="49"/>
      <c r="AZ1048" s="49"/>
      <c r="BA1048" s="49"/>
      <c r="BB1048" s="49"/>
      <c r="BC1048" s="49"/>
      <c r="BD1048" s="49"/>
      <c r="BE1048" s="68"/>
    </row>
    <row r="1049" spans="1:57" s="51" customFormat="1" ht="29.25" customHeight="1">
      <c r="A1049" s="795"/>
      <c r="B1049" s="889"/>
      <c r="C1049" s="872"/>
      <c r="D1049" s="84">
        <v>2028</v>
      </c>
      <c r="E1049" s="63">
        <f t="shared" si="343"/>
        <v>0.5</v>
      </c>
      <c r="F1049" s="63">
        <f t="shared" si="343"/>
        <v>0.5</v>
      </c>
      <c r="G1049" s="63">
        <f t="shared" si="344"/>
        <v>0</v>
      </c>
      <c r="H1049" s="63">
        <f t="shared" si="344"/>
        <v>0</v>
      </c>
      <c r="I1049" s="63">
        <f t="shared" si="344"/>
        <v>0</v>
      </c>
      <c r="J1049" s="63">
        <f t="shared" si="344"/>
        <v>0</v>
      </c>
      <c r="K1049" s="86">
        <f t="shared" si="342"/>
        <v>0.5</v>
      </c>
      <c r="L1049" s="185"/>
      <c r="M1049" s="88"/>
      <c r="N1049" s="89"/>
      <c r="O1049" s="1030"/>
      <c r="P1049" s="49"/>
      <c r="Q1049" s="49"/>
      <c r="R1049" s="49"/>
      <c r="S1049" s="49"/>
      <c r="T1049" s="49"/>
      <c r="U1049" s="49"/>
      <c r="V1049" s="49"/>
      <c r="W1049" s="49"/>
      <c r="X1049" s="49"/>
      <c r="Y1049" s="49"/>
      <c r="Z1049" s="49"/>
      <c r="AA1049" s="49"/>
      <c r="AB1049" s="49"/>
      <c r="AC1049" s="49"/>
      <c r="AD1049" s="49"/>
      <c r="AE1049" s="49"/>
      <c r="AF1049" s="49"/>
      <c r="AG1049" s="49"/>
      <c r="AH1049" s="49"/>
      <c r="AI1049" s="49"/>
      <c r="AJ1049" s="49"/>
      <c r="AK1049" s="49"/>
      <c r="AL1049" s="49"/>
      <c r="AM1049" s="49"/>
      <c r="AN1049" s="49"/>
      <c r="AO1049" s="49"/>
      <c r="AP1049" s="49"/>
      <c r="AQ1049" s="49"/>
      <c r="AR1049" s="49"/>
      <c r="AS1049" s="49"/>
      <c r="AT1049" s="49"/>
      <c r="AU1049" s="49"/>
      <c r="AV1049" s="49"/>
      <c r="AW1049" s="49"/>
      <c r="AX1049" s="49"/>
      <c r="AY1049" s="49"/>
      <c r="AZ1049" s="49"/>
      <c r="BA1049" s="49"/>
      <c r="BB1049" s="49"/>
      <c r="BC1049" s="49"/>
      <c r="BD1049" s="49"/>
      <c r="BE1049" s="68"/>
    </row>
    <row r="1050" spans="1:57" s="51" customFormat="1" ht="23.25" customHeight="1">
      <c r="A1050" s="59" t="s">
        <v>994</v>
      </c>
      <c r="B1050" s="182" t="s">
        <v>995</v>
      </c>
      <c r="C1050" s="872"/>
      <c r="D1050" s="62">
        <v>2026</v>
      </c>
      <c r="E1050" s="63">
        <f>F1050+G1050+H1050+I1050+J1050</f>
        <v>0.5</v>
      </c>
      <c r="F1050" s="63">
        <v>0.5</v>
      </c>
      <c r="G1050" s="63">
        <v>0</v>
      </c>
      <c r="H1050" s="63">
        <v>0</v>
      </c>
      <c r="I1050" s="63">
        <v>0</v>
      </c>
      <c r="J1050" s="63">
        <v>0</v>
      </c>
      <c r="K1050" s="86">
        <f t="shared" si="342"/>
        <v>0.5</v>
      </c>
      <c r="L1050" s="185"/>
      <c r="M1050" s="88"/>
      <c r="N1050" s="89"/>
      <c r="O1050" s="868"/>
      <c r="P1050" s="49"/>
      <c r="Q1050" s="49"/>
      <c r="R1050" s="49"/>
      <c r="S1050" s="49"/>
      <c r="T1050" s="49"/>
      <c r="U1050" s="49"/>
      <c r="V1050" s="49"/>
      <c r="W1050" s="49"/>
      <c r="X1050" s="49"/>
      <c r="Y1050" s="49"/>
      <c r="Z1050" s="49"/>
      <c r="AA1050" s="49"/>
      <c r="AB1050" s="49"/>
      <c r="AC1050" s="49"/>
      <c r="AD1050" s="49"/>
      <c r="AE1050" s="49"/>
      <c r="AF1050" s="49"/>
      <c r="AG1050" s="49"/>
      <c r="AH1050" s="49"/>
      <c r="AI1050" s="49"/>
      <c r="AJ1050" s="49"/>
      <c r="AK1050" s="49"/>
      <c r="AL1050" s="49"/>
      <c r="AM1050" s="49"/>
      <c r="AN1050" s="49"/>
      <c r="AO1050" s="49"/>
      <c r="AP1050" s="49"/>
      <c r="AQ1050" s="49"/>
      <c r="AR1050" s="49"/>
      <c r="AS1050" s="49"/>
      <c r="AT1050" s="49"/>
      <c r="AU1050" s="49"/>
      <c r="AV1050" s="49"/>
      <c r="AW1050" s="49"/>
      <c r="AX1050" s="49"/>
      <c r="AY1050" s="49"/>
      <c r="AZ1050" s="49"/>
      <c r="BA1050" s="49"/>
      <c r="BB1050" s="49"/>
      <c r="BC1050" s="49"/>
      <c r="BD1050" s="49"/>
      <c r="BE1050" s="68"/>
    </row>
    <row r="1051" spans="1:57" s="51" customFormat="1" ht="23.25" customHeight="1">
      <c r="A1051" s="59" t="s">
        <v>996</v>
      </c>
      <c r="B1051" s="182" t="s">
        <v>997</v>
      </c>
      <c r="C1051" s="872"/>
      <c r="D1051" s="62">
        <v>2027</v>
      </c>
      <c r="E1051" s="63">
        <f>F1051+G1051+H1051+I1051+J1051</f>
        <v>0.5</v>
      </c>
      <c r="F1051" s="63">
        <v>0.5</v>
      </c>
      <c r="G1051" s="63">
        <v>0</v>
      </c>
      <c r="H1051" s="63">
        <v>0</v>
      </c>
      <c r="I1051" s="63">
        <v>0</v>
      </c>
      <c r="J1051" s="63">
        <v>0</v>
      </c>
      <c r="K1051" s="86">
        <f t="shared" si="342"/>
        <v>0.5</v>
      </c>
      <c r="L1051" s="185"/>
      <c r="M1051" s="88"/>
      <c r="N1051" s="89"/>
      <c r="O1051" s="868"/>
      <c r="P1051" s="49"/>
      <c r="Q1051" s="49"/>
      <c r="R1051" s="49"/>
      <c r="S1051" s="49"/>
      <c r="T1051" s="49"/>
      <c r="U1051" s="49"/>
      <c r="V1051" s="49"/>
      <c r="W1051" s="49"/>
      <c r="X1051" s="49"/>
      <c r="Y1051" s="49"/>
      <c r="Z1051" s="49"/>
      <c r="AA1051" s="49"/>
      <c r="AB1051" s="49"/>
      <c r="AC1051" s="49"/>
      <c r="AD1051" s="49"/>
      <c r="AE1051" s="49"/>
      <c r="AF1051" s="49"/>
      <c r="AG1051" s="49"/>
      <c r="AH1051" s="49"/>
      <c r="AI1051" s="49"/>
      <c r="AJ1051" s="49"/>
      <c r="AK1051" s="49"/>
      <c r="AL1051" s="49"/>
      <c r="AM1051" s="49"/>
      <c r="AN1051" s="49"/>
      <c r="AO1051" s="49"/>
      <c r="AP1051" s="49"/>
      <c r="AQ1051" s="49"/>
      <c r="AR1051" s="49"/>
      <c r="AS1051" s="49"/>
      <c r="AT1051" s="49"/>
      <c r="AU1051" s="49"/>
      <c r="AV1051" s="49"/>
      <c r="AW1051" s="49"/>
      <c r="AX1051" s="49"/>
      <c r="AY1051" s="49"/>
      <c r="AZ1051" s="49"/>
      <c r="BA1051" s="49"/>
      <c r="BB1051" s="49"/>
      <c r="BC1051" s="49"/>
      <c r="BD1051" s="49"/>
      <c r="BE1051" s="68"/>
    </row>
    <row r="1052" spans="1:57" s="51" customFormat="1" ht="23.25" customHeight="1">
      <c r="A1052" s="59" t="s">
        <v>998</v>
      </c>
      <c r="B1052" s="182" t="s">
        <v>999</v>
      </c>
      <c r="C1052" s="873"/>
      <c r="D1052" s="62">
        <v>2028</v>
      </c>
      <c r="E1052" s="63">
        <f>F1052+G1052+H1052+I1052+J1052</f>
        <v>0.5</v>
      </c>
      <c r="F1052" s="63">
        <v>0.5</v>
      </c>
      <c r="G1052" s="63">
        <v>0</v>
      </c>
      <c r="H1052" s="63">
        <v>0</v>
      </c>
      <c r="I1052" s="63">
        <v>0</v>
      </c>
      <c r="J1052" s="63">
        <v>0</v>
      </c>
      <c r="K1052" s="86">
        <f t="shared" si="342"/>
        <v>0.5</v>
      </c>
      <c r="L1052" s="185"/>
      <c r="M1052" s="88"/>
      <c r="N1052" s="89"/>
      <c r="O1052" s="868"/>
      <c r="P1052" s="49"/>
      <c r="Q1052" s="49"/>
      <c r="R1052" s="49"/>
      <c r="S1052" s="49"/>
      <c r="T1052" s="49"/>
      <c r="U1052" s="49"/>
      <c r="V1052" s="49"/>
      <c r="W1052" s="49"/>
      <c r="X1052" s="49"/>
      <c r="Y1052" s="49"/>
      <c r="Z1052" s="49"/>
      <c r="AA1052" s="49"/>
      <c r="AB1052" s="49"/>
      <c r="AC1052" s="49"/>
      <c r="AD1052" s="49"/>
      <c r="AE1052" s="49"/>
      <c r="AF1052" s="49"/>
      <c r="AG1052" s="49"/>
      <c r="AH1052" s="49"/>
      <c r="AI1052" s="49"/>
      <c r="AJ1052" s="49"/>
      <c r="AK1052" s="49"/>
      <c r="AL1052" s="49"/>
      <c r="AM1052" s="49"/>
      <c r="AN1052" s="49"/>
      <c r="AO1052" s="49"/>
      <c r="AP1052" s="49"/>
      <c r="AQ1052" s="49"/>
      <c r="AR1052" s="49"/>
      <c r="AS1052" s="49"/>
      <c r="AT1052" s="49"/>
      <c r="AU1052" s="49"/>
      <c r="AV1052" s="49"/>
      <c r="AW1052" s="49"/>
      <c r="AX1052" s="49"/>
      <c r="AY1052" s="49"/>
      <c r="AZ1052" s="49"/>
      <c r="BA1052" s="49"/>
      <c r="BB1052" s="49"/>
      <c r="BC1052" s="49"/>
      <c r="BD1052" s="49"/>
      <c r="BE1052" s="68"/>
    </row>
    <row r="1053" spans="1:57" s="51" customFormat="1" ht="21" customHeight="1">
      <c r="A1053" s="972" t="s">
        <v>1000</v>
      </c>
      <c r="B1053" s="838" t="s">
        <v>1001</v>
      </c>
      <c r="C1053" s="867" t="s">
        <v>993</v>
      </c>
      <c r="D1053" s="84" t="s">
        <v>429</v>
      </c>
      <c r="E1053" s="85">
        <f t="shared" ref="E1053:J1053" si="345">E1054+E1055+E1056+E1057+E1058+E1059+E1060+E1061+E1062+E1063+E1064+E1065</f>
        <v>1.5979116415180803</v>
      </c>
      <c r="F1053" s="85">
        <f t="shared" si="345"/>
        <v>1.5979116415180803</v>
      </c>
      <c r="G1053" s="85">
        <f t="shared" si="345"/>
        <v>0</v>
      </c>
      <c r="H1053" s="85">
        <f t="shared" si="345"/>
        <v>0</v>
      </c>
      <c r="I1053" s="85">
        <f t="shared" si="345"/>
        <v>0</v>
      </c>
      <c r="J1053" s="85">
        <f t="shared" si="345"/>
        <v>0</v>
      </c>
      <c r="K1053" s="86">
        <f t="shared" si="342"/>
        <v>1.5979116415180803</v>
      </c>
      <c r="L1053" s="185"/>
      <c r="M1053" s="88"/>
      <c r="N1053" s="89"/>
      <c r="O1053" s="868"/>
      <c r="P1053" s="49"/>
      <c r="Q1053" s="49"/>
      <c r="R1053" s="49"/>
      <c r="S1053" s="49"/>
      <c r="T1053" s="49"/>
      <c r="U1053" s="49"/>
      <c r="V1053" s="49"/>
      <c r="W1053" s="49"/>
      <c r="X1053" s="49"/>
      <c r="Y1053" s="49"/>
      <c r="Z1053" s="49"/>
      <c r="AA1053" s="49"/>
      <c r="AB1053" s="49"/>
      <c r="AC1053" s="49"/>
      <c r="AD1053" s="49"/>
      <c r="AE1053" s="49"/>
      <c r="AF1053" s="49"/>
      <c r="AG1053" s="49"/>
      <c r="AH1053" s="49"/>
      <c r="AI1053" s="49"/>
      <c r="AJ1053" s="49"/>
      <c r="AK1053" s="49"/>
      <c r="AL1053" s="49"/>
      <c r="AM1053" s="49"/>
      <c r="AN1053" s="49"/>
      <c r="AO1053" s="49"/>
      <c r="AP1053" s="49"/>
      <c r="AQ1053" s="49"/>
      <c r="AR1053" s="49"/>
      <c r="AS1053" s="49"/>
      <c r="AT1053" s="49"/>
      <c r="AU1053" s="49"/>
      <c r="AV1053" s="49"/>
      <c r="AW1053" s="49"/>
      <c r="AX1053" s="49"/>
      <c r="AY1053" s="49"/>
      <c r="AZ1053" s="49"/>
      <c r="BA1053" s="49"/>
      <c r="BB1053" s="49"/>
      <c r="BC1053" s="49"/>
      <c r="BD1053" s="49"/>
      <c r="BE1053" s="68"/>
    </row>
    <row r="1054" spans="1:57" s="202" customFormat="1">
      <c r="A1054" s="973"/>
      <c r="B1054" s="839"/>
      <c r="C1054" s="872"/>
      <c r="D1054" s="211">
        <v>2019</v>
      </c>
      <c r="E1054" s="212">
        <f t="shared" ref="E1054:E1065" si="346">F1054+G1054+H1054+I1054+J1054</f>
        <v>0.05</v>
      </c>
      <c r="F1054" s="212">
        <v>0.05</v>
      </c>
      <c r="G1054" s="212">
        <v>0</v>
      </c>
      <c r="H1054" s="212">
        <v>0</v>
      </c>
      <c r="I1054" s="212">
        <v>0</v>
      </c>
      <c r="J1054" s="212">
        <v>0</v>
      </c>
      <c r="K1054" s="120">
        <f t="shared" si="342"/>
        <v>0.05</v>
      </c>
      <c r="L1054" s="340"/>
      <c r="M1054" s="206"/>
      <c r="N1054" s="263"/>
      <c r="O1054" s="868"/>
      <c r="P1054" s="207"/>
      <c r="Q1054" s="207"/>
      <c r="R1054" s="207"/>
      <c r="S1054" s="207"/>
      <c r="T1054" s="207"/>
      <c r="U1054" s="207"/>
      <c r="V1054" s="207"/>
      <c r="W1054" s="207"/>
      <c r="X1054" s="207"/>
      <c r="Y1054" s="207"/>
      <c r="Z1054" s="207"/>
      <c r="AA1054" s="207"/>
      <c r="AB1054" s="207"/>
      <c r="AC1054" s="207"/>
      <c r="AD1054" s="207"/>
      <c r="AE1054" s="207"/>
      <c r="AF1054" s="207"/>
      <c r="AG1054" s="207"/>
      <c r="AH1054" s="207"/>
      <c r="AI1054" s="207"/>
      <c r="AJ1054" s="207"/>
      <c r="AK1054" s="207"/>
      <c r="AL1054" s="207"/>
      <c r="AM1054" s="207"/>
      <c r="AN1054" s="207"/>
      <c r="AO1054" s="207"/>
      <c r="AP1054" s="207"/>
      <c r="AQ1054" s="207"/>
      <c r="AR1054" s="207"/>
      <c r="AS1054" s="207"/>
      <c r="AT1054" s="207"/>
      <c r="AU1054" s="207"/>
      <c r="AV1054" s="207"/>
      <c r="AW1054" s="207"/>
      <c r="AX1054" s="207"/>
      <c r="AY1054" s="207"/>
      <c r="AZ1054" s="207"/>
      <c r="BA1054" s="207"/>
      <c r="BB1054" s="207"/>
      <c r="BC1054" s="207"/>
      <c r="BD1054" s="207"/>
      <c r="BE1054" s="208"/>
    </row>
    <row r="1055" spans="1:57" s="51" customFormat="1">
      <c r="A1055" s="973"/>
      <c r="B1055" s="839"/>
      <c r="C1055" s="872"/>
      <c r="D1055" s="62">
        <v>2020</v>
      </c>
      <c r="E1055" s="63">
        <f t="shared" si="346"/>
        <v>0</v>
      </c>
      <c r="F1055" s="63">
        <v>0</v>
      </c>
      <c r="G1055" s="63">
        <v>0</v>
      </c>
      <c r="H1055" s="63">
        <v>0</v>
      </c>
      <c r="I1055" s="63">
        <v>0</v>
      </c>
      <c r="J1055" s="63">
        <v>0</v>
      </c>
      <c r="K1055" s="86">
        <f t="shared" si="342"/>
        <v>0</v>
      </c>
      <c r="L1055" s="185"/>
      <c r="M1055" s="88"/>
      <c r="N1055" s="89"/>
      <c r="O1055" s="868"/>
      <c r="P1055" s="49"/>
      <c r="Q1055" s="49"/>
      <c r="R1055" s="49"/>
      <c r="S1055" s="49"/>
      <c r="T1055" s="49"/>
      <c r="U1055" s="49"/>
      <c r="V1055" s="49"/>
      <c r="W1055" s="49"/>
      <c r="X1055" s="49"/>
      <c r="Y1055" s="49"/>
      <c r="Z1055" s="49"/>
      <c r="AA1055" s="49"/>
      <c r="AB1055" s="49"/>
      <c r="AC1055" s="49"/>
      <c r="AD1055" s="49"/>
      <c r="AE1055" s="49"/>
      <c r="AF1055" s="49"/>
      <c r="AG1055" s="49"/>
      <c r="AH1055" s="49"/>
      <c r="AI1055" s="49"/>
      <c r="AJ1055" s="49"/>
      <c r="AK1055" s="49"/>
      <c r="AL1055" s="49"/>
      <c r="AM1055" s="49"/>
      <c r="AN1055" s="49"/>
      <c r="AO1055" s="49"/>
      <c r="AP1055" s="49"/>
      <c r="AQ1055" s="49"/>
      <c r="AR1055" s="49"/>
      <c r="AS1055" s="49"/>
      <c r="AT1055" s="49"/>
      <c r="AU1055" s="49"/>
      <c r="AV1055" s="49"/>
      <c r="AW1055" s="49"/>
      <c r="AX1055" s="49"/>
      <c r="AY1055" s="49"/>
      <c r="AZ1055" s="49"/>
      <c r="BA1055" s="49"/>
      <c r="BB1055" s="49"/>
      <c r="BC1055" s="49"/>
      <c r="BD1055" s="49"/>
      <c r="BE1055" s="68"/>
    </row>
    <row r="1056" spans="1:57" s="51" customFormat="1">
      <c r="A1056" s="973"/>
      <c r="B1056" s="839"/>
      <c r="C1056" s="872"/>
      <c r="D1056" s="62">
        <v>2021</v>
      </c>
      <c r="E1056" s="63">
        <f t="shared" si="346"/>
        <v>0</v>
      </c>
      <c r="F1056" s="63">
        <v>0</v>
      </c>
      <c r="G1056" s="63">
        <v>0</v>
      </c>
      <c r="H1056" s="63">
        <v>0</v>
      </c>
      <c r="I1056" s="63">
        <v>0</v>
      </c>
      <c r="J1056" s="63">
        <v>0</v>
      </c>
      <c r="K1056" s="86">
        <f t="shared" si="342"/>
        <v>0</v>
      </c>
      <c r="L1056" s="185"/>
      <c r="M1056" s="88"/>
      <c r="N1056" s="89"/>
      <c r="O1056" s="868"/>
      <c r="P1056" s="49"/>
      <c r="Q1056" s="49"/>
      <c r="R1056" s="49"/>
      <c r="S1056" s="49"/>
      <c r="T1056" s="49"/>
      <c r="U1056" s="49"/>
      <c r="V1056" s="49"/>
      <c r="W1056" s="49"/>
      <c r="X1056" s="49"/>
      <c r="Y1056" s="49"/>
      <c r="Z1056" s="49"/>
      <c r="AA1056" s="49"/>
      <c r="AB1056" s="49"/>
      <c r="AC1056" s="49"/>
      <c r="AD1056" s="49"/>
      <c r="AE1056" s="49"/>
      <c r="AF1056" s="49"/>
      <c r="AG1056" s="49"/>
      <c r="AH1056" s="49"/>
      <c r="AI1056" s="49"/>
      <c r="AJ1056" s="49"/>
      <c r="AK1056" s="49"/>
      <c r="AL1056" s="49"/>
      <c r="AM1056" s="49"/>
      <c r="AN1056" s="49"/>
      <c r="AO1056" s="49"/>
      <c r="AP1056" s="49"/>
      <c r="AQ1056" s="49"/>
      <c r="AR1056" s="49"/>
      <c r="AS1056" s="49"/>
      <c r="AT1056" s="49"/>
      <c r="AU1056" s="49"/>
      <c r="AV1056" s="49"/>
      <c r="AW1056" s="49"/>
      <c r="AX1056" s="49"/>
      <c r="AY1056" s="49"/>
      <c r="AZ1056" s="49"/>
      <c r="BA1056" s="49"/>
      <c r="BB1056" s="49"/>
      <c r="BC1056" s="49"/>
      <c r="BD1056" s="49"/>
      <c r="BE1056" s="68"/>
    </row>
    <row r="1057" spans="1:57" s="51" customFormat="1">
      <c r="A1057" s="973"/>
      <c r="B1057" s="839"/>
      <c r="C1057" s="872"/>
      <c r="D1057" s="62">
        <v>2022</v>
      </c>
      <c r="E1057" s="63">
        <f t="shared" si="346"/>
        <v>0</v>
      </c>
      <c r="F1057" s="63">
        <v>0</v>
      </c>
      <c r="G1057" s="63">
        <v>0</v>
      </c>
      <c r="H1057" s="63">
        <v>0</v>
      </c>
      <c r="I1057" s="63">
        <v>0</v>
      </c>
      <c r="J1057" s="63">
        <v>0</v>
      </c>
      <c r="K1057" s="86">
        <f t="shared" si="342"/>
        <v>0</v>
      </c>
      <c r="L1057" s="185"/>
      <c r="M1057" s="88"/>
      <c r="N1057" s="89"/>
      <c r="O1057" s="868"/>
      <c r="P1057" s="49"/>
      <c r="Q1057" s="49"/>
      <c r="R1057" s="49"/>
      <c r="S1057" s="49"/>
      <c r="T1057" s="49"/>
      <c r="U1057" s="49"/>
      <c r="V1057" s="49"/>
      <c r="W1057" s="49"/>
      <c r="X1057" s="49"/>
      <c r="Y1057" s="49"/>
      <c r="Z1057" s="49"/>
      <c r="AA1057" s="49"/>
      <c r="AB1057" s="49"/>
      <c r="AC1057" s="49"/>
      <c r="AD1057" s="49"/>
      <c r="AE1057" s="49"/>
      <c r="AF1057" s="49"/>
      <c r="AG1057" s="49"/>
      <c r="AH1057" s="49"/>
      <c r="AI1057" s="49"/>
      <c r="AJ1057" s="49"/>
      <c r="AK1057" s="49"/>
      <c r="AL1057" s="49"/>
      <c r="AM1057" s="49"/>
      <c r="AN1057" s="49"/>
      <c r="AO1057" s="49"/>
      <c r="AP1057" s="49"/>
      <c r="AQ1057" s="49"/>
      <c r="AR1057" s="49"/>
      <c r="AS1057" s="49"/>
      <c r="AT1057" s="49"/>
      <c r="AU1057" s="49"/>
      <c r="AV1057" s="49"/>
      <c r="AW1057" s="49"/>
      <c r="AX1057" s="49"/>
      <c r="AY1057" s="49"/>
      <c r="AZ1057" s="49"/>
      <c r="BA1057" s="49"/>
      <c r="BB1057" s="49"/>
      <c r="BC1057" s="49"/>
      <c r="BD1057" s="49"/>
      <c r="BE1057" s="68"/>
    </row>
    <row r="1058" spans="1:57" s="51" customFormat="1">
      <c r="A1058" s="973"/>
      <c r="B1058" s="839"/>
      <c r="C1058" s="872"/>
      <c r="D1058" s="62">
        <v>2023</v>
      </c>
      <c r="E1058" s="63">
        <f t="shared" si="346"/>
        <v>0.16800000000000001</v>
      </c>
      <c r="F1058" s="63">
        <v>0.16800000000000001</v>
      </c>
      <c r="G1058" s="63">
        <v>0</v>
      </c>
      <c r="H1058" s="63">
        <v>0</v>
      </c>
      <c r="I1058" s="63">
        <v>0</v>
      </c>
      <c r="J1058" s="63">
        <v>0</v>
      </c>
      <c r="K1058" s="86">
        <f t="shared" si="342"/>
        <v>0.16800000000000001</v>
      </c>
      <c r="L1058" s="185"/>
      <c r="M1058" s="88"/>
      <c r="N1058" s="89"/>
      <c r="O1058" s="86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49"/>
      <c r="AU1058" s="49"/>
      <c r="AV1058" s="49"/>
      <c r="AW1058" s="49"/>
      <c r="AX1058" s="49"/>
      <c r="AY1058" s="49"/>
      <c r="AZ1058" s="49"/>
      <c r="BA1058" s="49"/>
      <c r="BB1058" s="49"/>
      <c r="BC1058" s="49"/>
      <c r="BD1058" s="49"/>
      <c r="BE1058" s="68"/>
    </row>
    <row r="1059" spans="1:57" s="51" customFormat="1">
      <c r="A1059" s="973"/>
      <c r="B1059" s="839"/>
      <c r="C1059" s="872"/>
      <c r="D1059" s="62">
        <v>2024</v>
      </c>
      <c r="E1059" s="63">
        <f t="shared" si="346"/>
        <v>0.17469999999999999</v>
      </c>
      <c r="F1059" s="63">
        <v>0.17469999999999999</v>
      </c>
      <c r="G1059" s="63">
        <v>0</v>
      </c>
      <c r="H1059" s="63">
        <v>0</v>
      </c>
      <c r="I1059" s="63">
        <v>0</v>
      </c>
      <c r="J1059" s="63">
        <v>0</v>
      </c>
      <c r="K1059" s="86">
        <f t="shared" si="342"/>
        <v>0.17469999999999999</v>
      </c>
      <c r="L1059" s="185"/>
      <c r="M1059" s="88"/>
      <c r="N1059" s="89"/>
      <c r="O1059" s="868"/>
      <c r="P1059" s="49"/>
      <c r="Q1059" s="49"/>
      <c r="R1059" s="49"/>
      <c r="S1059" s="49"/>
      <c r="T1059" s="49"/>
      <c r="U1059" s="49"/>
      <c r="V1059" s="49"/>
      <c r="W1059" s="49"/>
      <c r="X1059" s="49"/>
      <c r="Y1059" s="49"/>
      <c r="Z1059" s="49"/>
      <c r="AA1059" s="49"/>
      <c r="AB1059" s="49"/>
      <c r="AC1059" s="49"/>
      <c r="AD1059" s="49"/>
      <c r="AE1059" s="49"/>
      <c r="AF1059" s="49"/>
      <c r="AG1059" s="49"/>
      <c r="AH1059" s="49"/>
      <c r="AI1059" s="49"/>
      <c r="AJ1059" s="49"/>
      <c r="AK1059" s="49"/>
      <c r="AL1059" s="49"/>
      <c r="AM1059" s="49"/>
      <c r="AN1059" s="49"/>
      <c r="AO1059" s="49"/>
      <c r="AP1059" s="49"/>
      <c r="AQ1059" s="49"/>
      <c r="AR1059" s="49"/>
      <c r="AS1059" s="49"/>
      <c r="AT1059" s="49"/>
      <c r="AU1059" s="49"/>
      <c r="AV1059" s="49"/>
      <c r="AW1059" s="49"/>
      <c r="AX1059" s="49"/>
      <c r="AY1059" s="49"/>
      <c r="AZ1059" s="49"/>
      <c r="BA1059" s="49"/>
      <c r="BB1059" s="49"/>
      <c r="BC1059" s="49"/>
      <c r="BD1059" s="49"/>
      <c r="BE1059" s="68"/>
    </row>
    <row r="1060" spans="1:57" s="51" customFormat="1">
      <c r="A1060" s="973"/>
      <c r="B1060" s="839"/>
      <c r="C1060" s="873"/>
      <c r="D1060" s="62">
        <v>2025</v>
      </c>
      <c r="E1060" s="63">
        <f t="shared" si="346"/>
        <v>0.1817</v>
      </c>
      <c r="F1060" s="63">
        <v>0.1817</v>
      </c>
      <c r="G1060" s="63">
        <v>0</v>
      </c>
      <c r="H1060" s="63">
        <v>0</v>
      </c>
      <c r="I1060" s="63">
        <v>0</v>
      </c>
      <c r="J1060" s="63">
        <v>0</v>
      </c>
      <c r="K1060" s="86">
        <f t="shared" si="342"/>
        <v>0.1817</v>
      </c>
      <c r="L1060" s="185"/>
      <c r="M1060" s="88"/>
      <c r="N1060" s="89"/>
      <c r="O1060" s="868"/>
      <c r="P1060" s="49"/>
      <c r="Q1060" s="49"/>
      <c r="R1060" s="49"/>
      <c r="S1060" s="49"/>
      <c r="T1060" s="49"/>
      <c r="U1060" s="49"/>
      <c r="V1060" s="49"/>
      <c r="W1060" s="49"/>
      <c r="X1060" s="49"/>
      <c r="Y1060" s="49"/>
      <c r="Z1060" s="49"/>
      <c r="AA1060" s="49"/>
      <c r="AB1060" s="49"/>
      <c r="AC1060" s="49"/>
      <c r="AD1060" s="49"/>
      <c r="AE1060" s="49"/>
      <c r="AF1060" s="49"/>
      <c r="AG1060" s="49"/>
      <c r="AH1060" s="49"/>
      <c r="AI1060" s="49"/>
      <c r="AJ1060" s="49"/>
      <c r="AK1060" s="49"/>
      <c r="AL1060" s="49"/>
      <c r="AM1060" s="49"/>
      <c r="AN1060" s="49"/>
      <c r="AO1060" s="49"/>
      <c r="AP1060" s="49"/>
      <c r="AQ1060" s="49"/>
      <c r="AR1060" s="49"/>
      <c r="AS1060" s="49"/>
      <c r="AT1060" s="49"/>
      <c r="AU1060" s="49"/>
      <c r="AV1060" s="49"/>
      <c r="AW1060" s="49"/>
      <c r="AX1060" s="49"/>
      <c r="AY1060" s="49"/>
      <c r="AZ1060" s="49"/>
      <c r="BA1060" s="49"/>
      <c r="BB1060" s="49"/>
      <c r="BC1060" s="49"/>
      <c r="BD1060" s="49"/>
      <c r="BE1060" s="68"/>
    </row>
    <row r="1061" spans="1:57" s="51" customFormat="1" ht="12.75" customHeight="1">
      <c r="A1061" s="302"/>
      <c r="B1061" s="168"/>
      <c r="C1061" s="867" t="s">
        <v>1002</v>
      </c>
      <c r="D1061" s="62">
        <v>2026</v>
      </c>
      <c r="E1061" s="63">
        <f t="shared" si="346"/>
        <v>0.188968</v>
      </c>
      <c r="F1061" s="63">
        <f t="shared" ref="F1061:J1065" si="347">F1060*1.04</f>
        <v>0.188968</v>
      </c>
      <c r="G1061" s="63">
        <f t="shared" si="347"/>
        <v>0</v>
      </c>
      <c r="H1061" s="63">
        <f t="shared" si="347"/>
        <v>0</v>
      </c>
      <c r="I1061" s="63">
        <f t="shared" si="347"/>
        <v>0</v>
      </c>
      <c r="J1061" s="63">
        <f t="shared" si="347"/>
        <v>0</v>
      </c>
      <c r="K1061" s="86">
        <f t="shared" si="342"/>
        <v>0.188968</v>
      </c>
      <c r="L1061" s="185"/>
      <c r="M1061" s="88"/>
      <c r="N1061" s="89"/>
      <c r="O1061" s="868"/>
      <c r="P1061" s="49"/>
      <c r="Q1061" s="49"/>
      <c r="R1061" s="49"/>
      <c r="S1061" s="49"/>
      <c r="T1061" s="49"/>
      <c r="U1061" s="49"/>
      <c r="V1061" s="49"/>
      <c r="W1061" s="49"/>
      <c r="X1061" s="49"/>
      <c r="Y1061" s="49"/>
      <c r="Z1061" s="49"/>
      <c r="AA1061" s="49"/>
      <c r="AB1061" s="49"/>
      <c r="AC1061" s="49"/>
      <c r="AD1061" s="49"/>
      <c r="AE1061" s="49"/>
      <c r="AF1061" s="49"/>
      <c r="AG1061" s="49"/>
      <c r="AH1061" s="49"/>
      <c r="AI1061" s="49"/>
      <c r="AJ1061" s="49"/>
      <c r="AK1061" s="49"/>
      <c r="AL1061" s="49"/>
      <c r="AM1061" s="49"/>
      <c r="AN1061" s="49"/>
      <c r="AO1061" s="49"/>
      <c r="AP1061" s="49"/>
      <c r="AQ1061" s="49"/>
      <c r="AR1061" s="49"/>
      <c r="AS1061" s="49"/>
      <c r="AT1061" s="49"/>
      <c r="AU1061" s="49"/>
      <c r="AV1061" s="49"/>
      <c r="AW1061" s="49"/>
      <c r="AX1061" s="49"/>
      <c r="AY1061" s="49"/>
      <c r="AZ1061" s="49"/>
      <c r="BA1061" s="49"/>
      <c r="BB1061" s="49"/>
      <c r="BC1061" s="49"/>
      <c r="BD1061" s="49"/>
      <c r="BE1061" s="68"/>
    </row>
    <row r="1062" spans="1:57" s="51" customFormat="1">
      <c r="A1062" s="302"/>
      <c r="B1062" s="168"/>
      <c r="C1062" s="872"/>
      <c r="D1062" s="62">
        <v>2027</v>
      </c>
      <c r="E1062" s="63">
        <f t="shared" si="346"/>
        <v>0.19652672000000002</v>
      </c>
      <c r="F1062" s="63">
        <f t="shared" si="347"/>
        <v>0.19652672000000002</v>
      </c>
      <c r="G1062" s="63">
        <f t="shared" si="347"/>
        <v>0</v>
      </c>
      <c r="H1062" s="63">
        <f t="shared" si="347"/>
        <v>0</v>
      </c>
      <c r="I1062" s="63">
        <f t="shared" si="347"/>
        <v>0</v>
      </c>
      <c r="J1062" s="63">
        <f t="shared" si="347"/>
        <v>0</v>
      </c>
      <c r="K1062" s="86">
        <f t="shared" si="342"/>
        <v>0.19652672000000002</v>
      </c>
      <c r="L1062" s="185"/>
      <c r="M1062" s="88"/>
      <c r="N1062" s="89"/>
      <c r="O1062" s="868"/>
      <c r="P1062" s="49"/>
      <c r="Q1062" s="49"/>
      <c r="R1062" s="49"/>
      <c r="S1062" s="49"/>
      <c r="T1062" s="49"/>
      <c r="U1062" s="49"/>
      <c r="V1062" s="49"/>
      <c r="W1062" s="49"/>
      <c r="X1062" s="49"/>
      <c r="Y1062" s="49"/>
      <c r="Z1062" s="49"/>
      <c r="AA1062" s="49"/>
      <c r="AB1062" s="49"/>
      <c r="AC1062" s="49"/>
      <c r="AD1062" s="49"/>
      <c r="AE1062" s="49"/>
      <c r="AF1062" s="49"/>
      <c r="AG1062" s="49"/>
      <c r="AH1062" s="49"/>
      <c r="AI1062" s="49"/>
      <c r="AJ1062" s="49"/>
      <c r="AK1062" s="49"/>
      <c r="AL1062" s="49"/>
      <c r="AM1062" s="49"/>
      <c r="AN1062" s="49"/>
      <c r="AO1062" s="49"/>
      <c r="AP1062" s="49"/>
      <c r="AQ1062" s="49"/>
      <c r="AR1062" s="49"/>
      <c r="AS1062" s="49"/>
      <c r="AT1062" s="49"/>
      <c r="AU1062" s="49"/>
      <c r="AV1062" s="49"/>
      <c r="AW1062" s="49"/>
      <c r="AX1062" s="49"/>
      <c r="AY1062" s="49"/>
      <c r="AZ1062" s="49"/>
      <c r="BA1062" s="49"/>
      <c r="BB1062" s="49"/>
      <c r="BC1062" s="49"/>
      <c r="BD1062" s="49"/>
      <c r="BE1062" s="68"/>
    </row>
    <row r="1063" spans="1:57" s="51" customFormat="1">
      <c r="A1063" s="302"/>
      <c r="B1063" s="168"/>
      <c r="C1063" s="872"/>
      <c r="D1063" s="62">
        <v>2028</v>
      </c>
      <c r="E1063" s="63">
        <f t="shared" si="346"/>
        <v>0.20438778880000003</v>
      </c>
      <c r="F1063" s="63">
        <f t="shared" si="347"/>
        <v>0.20438778880000003</v>
      </c>
      <c r="G1063" s="63">
        <f t="shared" si="347"/>
        <v>0</v>
      </c>
      <c r="H1063" s="63">
        <f t="shared" si="347"/>
        <v>0</v>
      </c>
      <c r="I1063" s="63">
        <f t="shared" si="347"/>
        <v>0</v>
      </c>
      <c r="J1063" s="63">
        <f t="shared" si="347"/>
        <v>0</v>
      </c>
      <c r="K1063" s="86">
        <f t="shared" si="342"/>
        <v>0.20438778880000003</v>
      </c>
      <c r="L1063" s="185"/>
      <c r="M1063" s="88"/>
      <c r="N1063" s="89"/>
      <c r="O1063" s="868"/>
      <c r="P1063" s="49"/>
      <c r="Q1063" s="49"/>
      <c r="R1063" s="49"/>
      <c r="S1063" s="49"/>
      <c r="T1063" s="49"/>
      <c r="U1063" s="49"/>
      <c r="V1063" s="49"/>
      <c r="W1063" s="49"/>
      <c r="X1063" s="49"/>
      <c r="Y1063" s="49"/>
      <c r="Z1063" s="49"/>
      <c r="AA1063" s="49"/>
      <c r="AB1063" s="49"/>
      <c r="AC1063" s="49"/>
      <c r="AD1063" s="49"/>
      <c r="AE1063" s="49"/>
      <c r="AF1063" s="49"/>
      <c r="AG1063" s="49"/>
      <c r="AH1063" s="49"/>
      <c r="AI1063" s="49"/>
      <c r="AJ1063" s="49"/>
      <c r="AK1063" s="49"/>
      <c r="AL1063" s="49"/>
      <c r="AM1063" s="49"/>
      <c r="AN1063" s="49"/>
      <c r="AO1063" s="49"/>
      <c r="AP1063" s="49"/>
      <c r="AQ1063" s="49"/>
      <c r="AR1063" s="49"/>
      <c r="AS1063" s="49"/>
      <c r="AT1063" s="49"/>
      <c r="AU1063" s="49"/>
      <c r="AV1063" s="49"/>
      <c r="AW1063" s="49"/>
      <c r="AX1063" s="49"/>
      <c r="AY1063" s="49"/>
      <c r="AZ1063" s="49"/>
      <c r="BA1063" s="49"/>
      <c r="BB1063" s="49"/>
      <c r="BC1063" s="49"/>
      <c r="BD1063" s="49"/>
      <c r="BE1063" s="68"/>
    </row>
    <row r="1064" spans="1:57" s="51" customFormat="1">
      <c r="A1064" s="302"/>
      <c r="B1064" s="168"/>
      <c r="C1064" s="872"/>
      <c r="D1064" s="62">
        <v>2029</v>
      </c>
      <c r="E1064" s="63">
        <f t="shared" si="346"/>
        <v>0.21256330035200002</v>
      </c>
      <c r="F1064" s="63">
        <f t="shared" si="347"/>
        <v>0.21256330035200002</v>
      </c>
      <c r="G1064" s="63">
        <f t="shared" si="347"/>
        <v>0</v>
      </c>
      <c r="H1064" s="63">
        <f t="shared" si="347"/>
        <v>0</v>
      </c>
      <c r="I1064" s="63">
        <f t="shared" si="347"/>
        <v>0</v>
      </c>
      <c r="J1064" s="63">
        <f t="shared" si="347"/>
        <v>0</v>
      </c>
      <c r="K1064" s="86">
        <f t="shared" si="342"/>
        <v>0.21256330035200002</v>
      </c>
      <c r="L1064" s="185"/>
      <c r="M1064" s="88"/>
      <c r="N1064" s="89"/>
      <c r="O1064" s="868"/>
      <c r="P1064" s="49"/>
      <c r="Q1064" s="49"/>
      <c r="R1064" s="49"/>
      <c r="S1064" s="49"/>
      <c r="T1064" s="49"/>
      <c r="U1064" s="49"/>
      <c r="V1064" s="49"/>
      <c r="W1064" s="49"/>
      <c r="X1064" s="49"/>
      <c r="Y1064" s="49"/>
      <c r="Z1064" s="49"/>
      <c r="AA1064" s="49"/>
      <c r="AB1064" s="49"/>
      <c r="AC1064" s="49"/>
      <c r="AD1064" s="49"/>
      <c r="AE1064" s="49"/>
      <c r="AF1064" s="49"/>
      <c r="AG1064" s="49"/>
      <c r="AH1064" s="49"/>
      <c r="AI1064" s="49"/>
      <c r="AJ1064" s="49"/>
      <c r="AK1064" s="49"/>
      <c r="AL1064" s="49"/>
      <c r="AM1064" s="49"/>
      <c r="AN1064" s="49"/>
      <c r="AO1064" s="49"/>
      <c r="AP1064" s="49"/>
      <c r="AQ1064" s="49"/>
      <c r="AR1064" s="49"/>
      <c r="AS1064" s="49"/>
      <c r="AT1064" s="49"/>
      <c r="AU1064" s="49"/>
      <c r="AV1064" s="49"/>
      <c r="AW1064" s="49"/>
      <c r="AX1064" s="49"/>
      <c r="AY1064" s="49"/>
      <c r="AZ1064" s="49"/>
      <c r="BA1064" s="49"/>
      <c r="BB1064" s="49"/>
      <c r="BC1064" s="49"/>
      <c r="BD1064" s="49"/>
      <c r="BE1064" s="68"/>
    </row>
    <row r="1065" spans="1:57" s="51" customFormat="1">
      <c r="A1065" s="302"/>
      <c r="B1065" s="168"/>
      <c r="C1065" s="872"/>
      <c r="D1065" s="62">
        <v>2030</v>
      </c>
      <c r="E1065" s="63">
        <f t="shared" si="346"/>
        <v>0.22106583236608005</v>
      </c>
      <c r="F1065" s="63">
        <f t="shared" si="347"/>
        <v>0.22106583236608005</v>
      </c>
      <c r="G1065" s="63">
        <f t="shared" si="347"/>
        <v>0</v>
      </c>
      <c r="H1065" s="63">
        <f t="shared" si="347"/>
        <v>0</v>
      </c>
      <c r="I1065" s="63">
        <f t="shared" si="347"/>
        <v>0</v>
      </c>
      <c r="J1065" s="63">
        <f t="shared" si="347"/>
        <v>0</v>
      </c>
      <c r="K1065" s="86">
        <f t="shared" si="342"/>
        <v>0.22106583236608005</v>
      </c>
      <c r="L1065" s="185"/>
      <c r="M1065" s="88"/>
      <c r="N1065" s="89"/>
      <c r="O1065" s="868"/>
      <c r="P1065" s="49"/>
      <c r="Q1065" s="49"/>
      <c r="R1065" s="49"/>
      <c r="S1065" s="49"/>
      <c r="T1065" s="49"/>
      <c r="U1065" s="49"/>
      <c r="V1065" s="49"/>
      <c r="W1065" s="49"/>
      <c r="X1065" s="49"/>
      <c r="Y1065" s="49"/>
      <c r="Z1065" s="49"/>
      <c r="AA1065" s="49"/>
      <c r="AB1065" s="49"/>
      <c r="AC1065" s="49"/>
      <c r="AD1065" s="49"/>
      <c r="AE1065" s="49"/>
      <c r="AF1065" s="49"/>
      <c r="AG1065" s="49"/>
      <c r="AH1065" s="49"/>
      <c r="AI1065" s="49"/>
      <c r="AJ1065" s="49"/>
      <c r="AK1065" s="49"/>
      <c r="AL1065" s="49"/>
      <c r="AM1065" s="49"/>
      <c r="AN1065" s="49"/>
      <c r="AO1065" s="49"/>
      <c r="AP1065" s="49"/>
      <c r="AQ1065" s="49"/>
      <c r="AR1065" s="49"/>
      <c r="AS1065" s="49"/>
      <c r="AT1065" s="49"/>
      <c r="AU1065" s="49"/>
      <c r="AV1065" s="49"/>
      <c r="AW1065" s="49"/>
      <c r="AX1065" s="49"/>
      <c r="AY1065" s="49"/>
      <c r="AZ1065" s="49"/>
      <c r="BA1065" s="49"/>
      <c r="BB1065" s="49"/>
      <c r="BC1065" s="49"/>
      <c r="BD1065" s="49"/>
      <c r="BE1065" s="68"/>
    </row>
    <row r="1066" spans="1:57" s="51" customFormat="1" ht="12.75" customHeight="1">
      <c r="A1066" s="1048" t="s">
        <v>1003</v>
      </c>
      <c r="B1066" s="838" t="s">
        <v>1004</v>
      </c>
      <c r="C1066" s="867" t="s">
        <v>1002</v>
      </c>
      <c r="D1066" s="84" t="s">
        <v>16</v>
      </c>
      <c r="E1066" s="63">
        <f t="shared" ref="E1066:J1066" si="348">E1067+E1068+E1069+E1070</f>
        <v>6</v>
      </c>
      <c r="F1066" s="63">
        <f t="shared" si="348"/>
        <v>6</v>
      </c>
      <c r="G1066" s="63">
        <f t="shared" si="348"/>
        <v>0</v>
      </c>
      <c r="H1066" s="63">
        <f t="shared" si="348"/>
        <v>0</v>
      </c>
      <c r="I1066" s="63">
        <f t="shared" si="348"/>
        <v>0</v>
      </c>
      <c r="J1066" s="63">
        <f t="shared" si="348"/>
        <v>0</v>
      </c>
      <c r="K1066" s="86">
        <f t="shared" si="342"/>
        <v>6</v>
      </c>
      <c r="L1066" s="185"/>
      <c r="M1066" s="88"/>
      <c r="N1066" s="89"/>
      <c r="O1066" s="868"/>
      <c r="P1066" s="49"/>
      <c r="Q1066" s="49"/>
      <c r="R1066" s="49"/>
      <c r="S1066" s="49"/>
      <c r="T1066" s="49"/>
      <c r="U1066" s="49"/>
      <c r="V1066" s="49"/>
      <c r="W1066" s="49"/>
      <c r="X1066" s="49"/>
      <c r="Y1066" s="49"/>
      <c r="Z1066" s="49"/>
      <c r="AA1066" s="49"/>
      <c r="AB1066" s="49"/>
      <c r="AC1066" s="49"/>
      <c r="AD1066" s="49"/>
      <c r="AE1066" s="49"/>
      <c r="AF1066" s="49"/>
      <c r="AG1066" s="49"/>
      <c r="AH1066" s="49"/>
      <c r="AI1066" s="49"/>
      <c r="AJ1066" s="49"/>
      <c r="AK1066" s="49"/>
      <c r="AL1066" s="49"/>
      <c r="AM1066" s="49"/>
      <c r="AN1066" s="49"/>
      <c r="AO1066" s="49"/>
      <c r="AP1066" s="49"/>
      <c r="AQ1066" s="49"/>
      <c r="AR1066" s="49"/>
      <c r="AS1066" s="49"/>
      <c r="AT1066" s="49"/>
      <c r="AU1066" s="49"/>
      <c r="AV1066" s="49"/>
      <c r="AW1066" s="49"/>
      <c r="AX1066" s="49"/>
      <c r="AY1066" s="49"/>
      <c r="AZ1066" s="49"/>
      <c r="BA1066" s="49"/>
      <c r="BB1066" s="49"/>
      <c r="BC1066" s="49"/>
      <c r="BD1066" s="49"/>
      <c r="BE1066" s="68"/>
    </row>
    <row r="1067" spans="1:57" s="51" customFormat="1">
      <c r="A1067" s="1049"/>
      <c r="B1067" s="839"/>
      <c r="C1067" s="872"/>
      <c r="D1067" s="62">
        <v>2026</v>
      </c>
      <c r="E1067" s="63">
        <f t="shared" ref="E1067:J1067" si="349">E1072</f>
        <v>1.5</v>
      </c>
      <c r="F1067" s="63">
        <f t="shared" si="349"/>
        <v>1.5</v>
      </c>
      <c r="G1067" s="63">
        <f t="shared" si="349"/>
        <v>0</v>
      </c>
      <c r="H1067" s="63">
        <f t="shared" si="349"/>
        <v>0</v>
      </c>
      <c r="I1067" s="63">
        <f t="shared" si="349"/>
        <v>0</v>
      </c>
      <c r="J1067" s="63">
        <f t="shared" si="349"/>
        <v>0</v>
      </c>
      <c r="K1067" s="86">
        <f t="shared" si="342"/>
        <v>1.5</v>
      </c>
      <c r="L1067" s="185"/>
      <c r="M1067" s="88"/>
      <c r="N1067" s="89"/>
      <c r="O1067" s="868"/>
      <c r="P1067" s="49"/>
      <c r="Q1067" s="49"/>
      <c r="R1067" s="49"/>
      <c r="S1067" s="49"/>
      <c r="T1067" s="49"/>
      <c r="U1067" s="49"/>
      <c r="V1067" s="49"/>
      <c r="W1067" s="49"/>
      <c r="X1067" s="49"/>
      <c r="Y1067" s="49"/>
      <c r="Z1067" s="49"/>
      <c r="AA1067" s="49"/>
      <c r="AB1067" s="49"/>
      <c r="AC1067" s="49"/>
      <c r="AD1067" s="49"/>
      <c r="AE1067" s="49"/>
      <c r="AF1067" s="49"/>
      <c r="AG1067" s="49"/>
      <c r="AH1067" s="49"/>
      <c r="AI1067" s="49"/>
      <c r="AJ1067" s="49"/>
      <c r="AK1067" s="49"/>
      <c r="AL1067" s="49"/>
      <c r="AM1067" s="49"/>
      <c r="AN1067" s="49"/>
      <c r="AO1067" s="49"/>
      <c r="AP1067" s="49"/>
      <c r="AQ1067" s="49"/>
      <c r="AR1067" s="49"/>
      <c r="AS1067" s="49"/>
      <c r="AT1067" s="49"/>
      <c r="AU1067" s="49"/>
      <c r="AV1067" s="49"/>
      <c r="AW1067" s="49"/>
      <c r="AX1067" s="49"/>
      <c r="AY1067" s="49"/>
      <c r="AZ1067" s="49"/>
      <c r="BA1067" s="49"/>
      <c r="BB1067" s="49"/>
      <c r="BC1067" s="49"/>
      <c r="BD1067" s="49"/>
      <c r="BE1067" s="68"/>
    </row>
    <row r="1068" spans="1:57" s="51" customFormat="1">
      <c r="A1068" s="1049"/>
      <c r="B1068" s="839"/>
      <c r="C1068" s="872"/>
      <c r="D1068" s="320">
        <v>2027</v>
      </c>
      <c r="E1068" s="63">
        <f t="shared" ref="E1068:J1068" si="350">E1078</f>
        <v>1.5</v>
      </c>
      <c r="F1068" s="63">
        <f t="shared" si="350"/>
        <v>1.5</v>
      </c>
      <c r="G1068" s="63">
        <f t="shared" si="350"/>
        <v>0</v>
      </c>
      <c r="H1068" s="63">
        <f t="shared" si="350"/>
        <v>0</v>
      </c>
      <c r="I1068" s="63">
        <f t="shared" si="350"/>
        <v>0</v>
      </c>
      <c r="J1068" s="63">
        <f t="shared" si="350"/>
        <v>0</v>
      </c>
      <c r="K1068" s="86">
        <f t="shared" si="342"/>
        <v>1.5</v>
      </c>
      <c r="L1068" s="185"/>
      <c r="M1068" s="88"/>
      <c r="N1068" s="89"/>
      <c r="O1068" s="868"/>
      <c r="P1068" s="49"/>
      <c r="Q1068" s="49"/>
      <c r="R1068" s="49"/>
      <c r="S1068" s="49"/>
      <c r="T1068" s="49"/>
      <c r="U1068" s="49"/>
      <c r="V1068" s="49"/>
      <c r="W1068" s="49"/>
      <c r="X1068" s="49"/>
      <c r="Y1068" s="49"/>
      <c r="Z1068" s="49"/>
      <c r="AA1068" s="49"/>
      <c r="AB1068" s="49"/>
      <c r="AC1068" s="49"/>
      <c r="AD1068" s="49"/>
      <c r="AE1068" s="49"/>
      <c r="AF1068" s="49"/>
      <c r="AG1068" s="49"/>
      <c r="AH1068" s="49"/>
      <c r="AI1068" s="49"/>
      <c r="AJ1068" s="49"/>
      <c r="AK1068" s="49"/>
      <c r="AL1068" s="49"/>
      <c r="AM1068" s="49"/>
      <c r="AN1068" s="49"/>
      <c r="AO1068" s="49"/>
      <c r="AP1068" s="49"/>
      <c r="AQ1068" s="49"/>
      <c r="AR1068" s="49"/>
      <c r="AS1068" s="49"/>
      <c r="AT1068" s="49"/>
      <c r="AU1068" s="49"/>
      <c r="AV1068" s="49"/>
      <c r="AW1068" s="49"/>
      <c r="AX1068" s="49"/>
      <c r="AY1068" s="49"/>
      <c r="AZ1068" s="49"/>
      <c r="BA1068" s="49"/>
      <c r="BB1068" s="49"/>
      <c r="BC1068" s="49"/>
      <c r="BD1068" s="49"/>
      <c r="BE1068" s="68"/>
    </row>
    <row r="1069" spans="1:57" s="51" customFormat="1">
      <c r="A1069" s="1049"/>
      <c r="B1069" s="839"/>
      <c r="C1069" s="872"/>
      <c r="D1069" s="62">
        <v>2028</v>
      </c>
      <c r="E1069" s="63">
        <f t="shared" ref="E1069:J1069" si="351">E1076</f>
        <v>1.5</v>
      </c>
      <c r="F1069" s="63">
        <f t="shared" si="351"/>
        <v>1.5</v>
      </c>
      <c r="G1069" s="63">
        <f t="shared" si="351"/>
        <v>0</v>
      </c>
      <c r="H1069" s="63">
        <f t="shared" si="351"/>
        <v>0</v>
      </c>
      <c r="I1069" s="63">
        <f t="shared" si="351"/>
        <v>0</v>
      </c>
      <c r="J1069" s="63">
        <f t="shared" si="351"/>
        <v>0</v>
      </c>
      <c r="K1069" s="86">
        <f t="shared" si="342"/>
        <v>1.5</v>
      </c>
      <c r="L1069" s="185"/>
      <c r="M1069" s="88"/>
      <c r="N1069" s="89"/>
      <c r="O1069" s="868"/>
      <c r="P1069" s="49"/>
      <c r="Q1069" s="49"/>
      <c r="R1069" s="49"/>
      <c r="S1069" s="49"/>
      <c r="T1069" s="49"/>
      <c r="U1069" s="49"/>
      <c r="V1069" s="49"/>
      <c r="W1069" s="49"/>
      <c r="X1069" s="49"/>
      <c r="Y1069" s="49"/>
      <c r="Z1069" s="49"/>
      <c r="AA1069" s="49"/>
      <c r="AB1069" s="49"/>
      <c r="AC1069" s="49"/>
      <c r="AD1069" s="49"/>
      <c r="AE1069" s="49"/>
      <c r="AF1069" s="49"/>
      <c r="AG1069" s="49"/>
      <c r="AH1069" s="49"/>
      <c r="AI1069" s="49"/>
      <c r="AJ1069" s="49"/>
      <c r="AK1069" s="49"/>
      <c r="AL1069" s="49"/>
      <c r="AM1069" s="49"/>
      <c r="AN1069" s="49"/>
      <c r="AO1069" s="49"/>
      <c r="AP1069" s="49"/>
      <c r="AQ1069" s="49"/>
      <c r="AR1069" s="49"/>
      <c r="AS1069" s="49"/>
      <c r="AT1069" s="49"/>
      <c r="AU1069" s="49"/>
      <c r="AV1069" s="49"/>
      <c r="AW1069" s="49"/>
      <c r="AX1069" s="49"/>
      <c r="AY1069" s="49"/>
      <c r="AZ1069" s="49"/>
      <c r="BA1069" s="49"/>
      <c r="BB1069" s="49"/>
      <c r="BC1069" s="49"/>
      <c r="BD1069" s="49"/>
      <c r="BE1069" s="68"/>
    </row>
    <row r="1070" spans="1:57" s="51" customFormat="1">
      <c r="A1070" s="1050"/>
      <c r="B1070" s="854"/>
      <c r="C1070" s="872"/>
      <c r="D1070" s="62">
        <v>2029</v>
      </c>
      <c r="E1070" s="63">
        <f t="shared" ref="E1070:J1070" si="352">E1074</f>
        <v>1.5</v>
      </c>
      <c r="F1070" s="63">
        <f t="shared" si="352"/>
        <v>1.5</v>
      </c>
      <c r="G1070" s="63">
        <f t="shared" si="352"/>
        <v>0</v>
      </c>
      <c r="H1070" s="63">
        <f t="shared" si="352"/>
        <v>0</v>
      </c>
      <c r="I1070" s="63">
        <f t="shared" si="352"/>
        <v>0</v>
      </c>
      <c r="J1070" s="63">
        <f t="shared" si="352"/>
        <v>0</v>
      </c>
      <c r="K1070" s="86">
        <f t="shared" si="342"/>
        <v>1.5</v>
      </c>
      <c r="L1070" s="185"/>
      <c r="M1070" s="88"/>
      <c r="N1070" s="89"/>
      <c r="O1070" s="868"/>
      <c r="P1070" s="49"/>
      <c r="Q1070" s="49"/>
      <c r="R1070" s="49"/>
      <c r="S1070" s="49"/>
      <c r="T1070" s="49"/>
      <c r="U1070" s="49"/>
      <c r="V1070" s="49"/>
      <c r="W1070" s="49"/>
      <c r="X1070" s="49"/>
      <c r="Y1070" s="49"/>
      <c r="Z1070" s="49"/>
      <c r="AA1070" s="49"/>
      <c r="AB1070" s="49"/>
      <c r="AC1070" s="49"/>
      <c r="AD1070" s="49"/>
      <c r="AE1070" s="49"/>
      <c r="AF1070" s="49"/>
      <c r="AG1070" s="49"/>
      <c r="AH1070" s="49"/>
      <c r="AI1070" s="49"/>
      <c r="AJ1070" s="49"/>
      <c r="AK1070" s="49"/>
      <c r="AL1070" s="49"/>
      <c r="AM1070" s="49"/>
      <c r="AN1070" s="49"/>
      <c r="AO1070" s="49"/>
      <c r="AP1070" s="49"/>
      <c r="AQ1070" s="49"/>
      <c r="AR1070" s="49"/>
      <c r="AS1070" s="49"/>
      <c r="AT1070" s="49"/>
      <c r="AU1070" s="49"/>
      <c r="AV1070" s="49"/>
      <c r="AW1070" s="49"/>
      <c r="AX1070" s="49"/>
      <c r="AY1070" s="49"/>
      <c r="AZ1070" s="49"/>
      <c r="BA1070" s="49"/>
      <c r="BB1070" s="49"/>
      <c r="BC1070" s="49"/>
      <c r="BD1070" s="49"/>
      <c r="BE1070" s="68"/>
    </row>
    <row r="1071" spans="1:57" s="51" customFormat="1">
      <c r="A1071" s="1048" t="s">
        <v>1005</v>
      </c>
      <c r="B1071" s="838" t="s">
        <v>1006</v>
      </c>
      <c r="C1071" s="872"/>
      <c r="D1071" s="84" t="s">
        <v>16</v>
      </c>
      <c r="E1071" s="63">
        <f t="shared" ref="E1071:J1071" si="353">E1072</f>
        <v>1.5</v>
      </c>
      <c r="F1071" s="63">
        <f t="shared" si="353"/>
        <v>1.5</v>
      </c>
      <c r="G1071" s="63">
        <f t="shared" si="353"/>
        <v>0</v>
      </c>
      <c r="H1071" s="63">
        <f t="shared" si="353"/>
        <v>0</v>
      </c>
      <c r="I1071" s="63">
        <f t="shared" si="353"/>
        <v>0</v>
      </c>
      <c r="J1071" s="63">
        <f t="shared" si="353"/>
        <v>0</v>
      </c>
      <c r="K1071" s="86">
        <f t="shared" si="342"/>
        <v>1.5</v>
      </c>
      <c r="L1071" s="185"/>
      <c r="M1071" s="88"/>
      <c r="N1071" s="89"/>
      <c r="O1071" s="86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49"/>
      <c r="AU1071" s="49"/>
      <c r="AV1071" s="49"/>
      <c r="AW1071" s="49"/>
      <c r="AX1071" s="49"/>
      <c r="AY1071" s="49"/>
      <c r="AZ1071" s="49"/>
      <c r="BA1071" s="49"/>
      <c r="BB1071" s="49"/>
      <c r="BC1071" s="49"/>
      <c r="BD1071" s="49"/>
      <c r="BE1071" s="68"/>
    </row>
    <row r="1072" spans="1:57" s="51" customFormat="1">
      <c r="A1072" s="1050"/>
      <c r="B1072" s="854"/>
      <c r="C1072" s="872"/>
      <c r="D1072" s="62">
        <v>2026</v>
      </c>
      <c r="E1072" s="63">
        <f>F1072</f>
        <v>1.5</v>
      </c>
      <c r="F1072" s="63">
        <v>1.5</v>
      </c>
      <c r="G1072" s="63">
        <v>0</v>
      </c>
      <c r="H1072" s="63">
        <v>0</v>
      </c>
      <c r="I1072" s="63">
        <v>0</v>
      </c>
      <c r="J1072" s="63">
        <v>0</v>
      </c>
      <c r="K1072" s="86">
        <f t="shared" si="342"/>
        <v>1.5</v>
      </c>
      <c r="L1072" s="185"/>
      <c r="M1072" s="88"/>
      <c r="N1072" s="89"/>
      <c r="O1072" s="868"/>
      <c r="P1072" s="49"/>
      <c r="Q1072" s="49"/>
      <c r="R1072" s="49"/>
      <c r="S1072" s="49"/>
      <c r="T1072" s="49"/>
      <c r="U1072" s="49"/>
      <c r="V1072" s="49"/>
      <c r="W1072" s="49"/>
      <c r="X1072" s="49"/>
      <c r="Y1072" s="49"/>
      <c r="Z1072" s="49"/>
      <c r="AA1072" s="49"/>
      <c r="AB1072" s="49"/>
      <c r="AC1072" s="49"/>
      <c r="AD1072" s="49"/>
      <c r="AE1072" s="49"/>
      <c r="AF1072" s="49"/>
      <c r="AG1072" s="49"/>
      <c r="AH1072" s="49"/>
      <c r="AI1072" s="49"/>
      <c r="AJ1072" s="49"/>
      <c r="AK1072" s="49"/>
      <c r="AL1072" s="49"/>
      <c r="AM1072" s="49"/>
      <c r="AN1072" s="49"/>
      <c r="AO1072" s="49"/>
      <c r="AP1072" s="49"/>
      <c r="AQ1072" s="49"/>
      <c r="AR1072" s="49"/>
      <c r="AS1072" s="49"/>
      <c r="AT1072" s="49"/>
      <c r="AU1072" s="49"/>
      <c r="AV1072" s="49"/>
      <c r="AW1072" s="49"/>
      <c r="AX1072" s="49"/>
      <c r="AY1072" s="49"/>
      <c r="AZ1072" s="49"/>
      <c r="BA1072" s="49"/>
      <c r="BB1072" s="49"/>
      <c r="BC1072" s="49"/>
      <c r="BD1072" s="49"/>
      <c r="BE1072" s="68"/>
    </row>
    <row r="1073" spans="1:57" s="51" customFormat="1">
      <c r="A1073" s="1048" t="s">
        <v>1007</v>
      </c>
      <c r="B1073" s="838" t="s">
        <v>1008</v>
      </c>
      <c r="C1073" s="872"/>
      <c r="D1073" s="84" t="s">
        <v>16</v>
      </c>
      <c r="E1073" s="63">
        <f t="shared" ref="E1073:J1073" si="354">E1074</f>
        <v>1.5</v>
      </c>
      <c r="F1073" s="63">
        <f t="shared" si="354"/>
        <v>1.5</v>
      </c>
      <c r="G1073" s="63">
        <f t="shared" si="354"/>
        <v>0</v>
      </c>
      <c r="H1073" s="63">
        <f t="shared" si="354"/>
        <v>0</v>
      </c>
      <c r="I1073" s="63">
        <f t="shared" si="354"/>
        <v>0</v>
      </c>
      <c r="J1073" s="63">
        <f t="shared" si="354"/>
        <v>0</v>
      </c>
      <c r="K1073" s="86">
        <f t="shared" si="342"/>
        <v>1.5</v>
      </c>
      <c r="L1073" s="185"/>
      <c r="M1073" s="88"/>
      <c r="N1073" s="89"/>
      <c r="O1073" s="868"/>
      <c r="P1073" s="49"/>
      <c r="Q1073" s="49"/>
      <c r="R1073" s="49"/>
      <c r="S1073" s="49"/>
      <c r="T1073" s="49"/>
      <c r="U1073" s="49"/>
      <c r="V1073" s="49"/>
      <c r="W1073" s="49"/>
      <c r="X1073" s="49"/>
      <c r="Y1073" s="49"/>
      <c r="Z1073" s="49"/>
      <c r="AA1073" s="49"/>
      <c r="AB1073" s="49"/>
      <c r="AC1073" s="49"/>
      <c r="AD1073" s="49"/>
      <c r="AE1073" s="49"/>
      <c r="AF1073" s="49"/>
      <c r="AG1073" s="49"/>
      <c r="AH1073" s="49"/>
      <c r="AI1073" s="49"/>
      <c r="AJ1073" s="49"/>
      <c r="AK1073" s="49"/>
      <c r="AL1073" s="49"/>
      <c r="AM1073" s="49"/>
      <c r="AN1073" s="49"/>
      <c r="AO1073" s="49"/>
      <c r="AP1073" s="49"/>
      <c r="AQ1073" s="49"/>
      <c r="AR1073" s="49"/>
      <c r="AS1073" s="49"/>
      <c r="AT1073" s="49"/>
      <c r="AU1073" s="49"/>
      <c r="AV1073" s="49"/>
      <c r="AW1073" s="49"/>
      <c r="AX1073" s="49"/>
      <c r="AY1073" s="49"/>
      <c r="AZ1073" s="49"/>
      <c r="BA1073" s="49"/>
      <c r="BB1073" s="49"/>
      <c r="BC1073" s="49"/>
      <c r="BD1073" s="49"/>
      <c r="BE1073" s="68"/>
    </row>
    <row r="1074" spans="1:57" s="51" customFormat="1">
      <c r="A1074" s="1050"/>
      <c r="B1074" s="854"/>
      <c r="C1074" s="872"/>
      <c r="D1074" s="62">
        <v>2029</v>
      </c>
      <c r="E1074" s="63">
        <f>F1074</f>
        <v>1.5</v>
      </c>
      <c r="F1074" s="63">
        <v>1.5</v>
      </c>
      <c r="G1074" s="63">
        <v>0</v>
      </c>
      <c r="H1074" s="63">
        <v>0</v>
      </c>
      <c r="I1074" s="63">
        <v>0</v>
      </c>
      <c r="J1074" s="63">
        <v>0</v>
      </c>
      <c r="K1074" s="86">
        <f t="shared" si="342"/>
        <v>1.5</v>
      </c>
      <c r="L1074" s="185"/>
      <c r="M1074" s="88"/>
      <c r="N1074" s="89"/>
      <c r="O1074" s="868"/>
      <c r="P1074" s="49"/>
      <c r="Q1074" s="49"/>
      <c r="R1074" s="49"/>
      <c r="S1074" s="49"/>
      <c r="T1074" s="49"/>
      <c r="U1074" s="49"/>
      <c r="V1074" s="49"/>
      <c r="W1074" s="49"/>
      <c r="X1074" s="49"/>
      <c r="Y1074" s="49"/>
      <c r="Z1074" s="49"/>
      <c r="AA1074" s="49"/>
      <c r="AB1074" s="49"/>
      <c r="AC1074" s="49"/>
      <c r="AD1074" s="49"/>
      <c r="AE1074" s="49"/>
      <c r="AF1074" s="49"/>
      <c r="AG1074" s="49"/>
      <c r="AH1074" s="49"/>
      <c r="AI1074" s="49"/>
      <c r="AJ1074" s="49"/>
      <c r="AK1074" s="49"/>
      <c r="AL1074" s="49"/>
      <c r="AM1074" s="49"/>
      <c r="AN1074" s="49"/>
      <c r="AO1074" s="49"/>
      <c r="AP1074" s="49"/>
      <c r="AQ1074" s="49"/>
      <c r="AR1074" s="49"/>
      <c r="AS1074" s="49"/>
      <c r="AT1074" s="49"/>
      <c r="AU1074" s="49"/>
      <c r="AV1074" s="49"/>
      <c r="AW1074" s="49"/>
      <c r="AX1074" s="49"/>
      <c r="AY1074" s="49"/>
      <c r="AZ1074" s="49"/>
      <c r="BA1074" s="49"/>
      <c r="BB1074" s="49"/>
      <c r="BC1074" s="49"/>
      <c r="BD1074" s="49"/>
      <c r="BE1074" s="68"/>
    </row>
    <row r="1075" spans="1:57" s="51" customFormat="1">
      <c r="A1075" s="1048" t="s">
        <v>1009</v>
      </c>
      <c r="B1075" s="838" t="s">
        <v>1010</v>
      </c>
      <c r="C1075" s="872"/>
      <c r="D1075" s="84" t="s">
        <v>16</v>
      </c>
      <c r="E1075" s="63">
        <f t="shared" ref="E1075:J1075" si="355">E1076</f>
        <v>1.5</v>
      </c>
      <c r="F1075" s="63">
        <f t="shared" si="355"/>
        <v>1.5</v>
      </c>
      <c r="G1075" s="63">
        <f t="shared" si="355"/>
        <v>0</v>
      </c>
      <c r="H1075" s="63">
        <f t="shared" si="355"/>
        <v>0</v>
      </c>
      <c r="I1075" s="63">
        <f t="shared" si="355"/>
        <v>0</v>
      </c>
      <c r="J1075" s="63">
        <f t="shared" si="355"/>
        <v>0</v>
      </c>
      <c r="K1075" s="86">
        <f t="shared" si="342"/>
        <v>1.5</v>
      </c>
      <c r="L1075" s="185"/>
      <c r="M1075" s="88"/>
      <c r="N1075" s="89"/>
      <c r="O1075" s="868"/>
      <c r="P1075" s="49"/>
      <c r="Q1075" s="49"/>
      <c r="R1075" s="49"/>
      <c r="S1075" s="49"/>
      <c r="T1075" s="49"/>
      <c r="U1075" s="49"/>
      <c r="V1075" s="49"/>
      <c r="W1075" s="49"/>
      <c r="X1075" s="49"/>
      <c r="Y1075" s="49"/>
      <c r="Z1075" s="49"/>
      <c r="AA1075" s="49"/>
      <c r="AB1075" s="49"/>
      <c r="AC1075" s="49"/>
      <c r="AD1075" s="49"/>
      <c r="AE1075" s="49"/>
      <c r="AF1075" s="49"/>
      <c r="AG1075" s="49"/>
      <c r="AH1075" s="49"/>
      <c r="AI1075" s="49"/>
      <c r="AJ1075" s="49"/>
      <c r="AK1075" s="49"/>
      <c r="AL1075" s="49"/>
      <c r="AM1075" s="49"/>
      <c r="AN1075" s="49"/>
      <c r="AO1075" s="49"/>
      <c r="AP1075" s="49"/>
      <c r="AQ1075" s="49"/>
      <c r="AR1075" s="49"/>
      <c r="AS1075" s="49"/>
      <c r="AT1075" s="49"/>
      <c r="AU1075" s="49"/>
      <c r="AV1075" s="49"/>
      <c r="AW1075" s="49"/>
      <c r="AX1075" s="49"/>
      <c r="AY1075" s="49"/>
      <c r="AZ1075" s="49"/>
      <c r="BA1075" s="49"/>
      <c r="BB1075" s="49"/>
      <c r="BC1075" s="49"/>
      <c r="BD1075" s="49"/>
      <c r="BE1075" s="68"/>
    </row>
    <row r="1076" spans="1:57" s="51" customFormat="1">
      <c r="A1076" s="1050"/>
      <c r="B1076" s="854"/>
      <c r="C1076" s="872"/>
      <c r="D1076" s="62">
        <v>2028</v>
      </c>
      <c r="E1076" s="63">
        <f>F1076</f>
        <v>1.5</v>
      </c>
      <c r="F1076" s="63">
        <v>1.5</v>
      </c>
      <c r="G1076" s="63">
        <v>0</v>
      </c>
      <c r="H1076" s="63">
        <v>0</v>
      </c>
      <c r="I1076" s="63">
        <v>0</v>
      </c>
      <c r="J1076" s="63">
        <v>0</v>
      </c>
      <c r="K1076" s="86">
        <f t="shared" si="342"/>
        <v>1.5</v>
      </c>
      <c r="L1076" s="185"/>
      <c r="M1076" s="88"/>
      <c r="N1076" s="89"/>
      <c r="O1076" s="868"/>
      <c r="P1076" s="49"/>
      <c r="Q1076" s="49"/>
      <c r="R1076" s="49"/>
      <c r="S1076" s="49"/>
      <c r="T1076" s="49"/>
      <c r="U1076" s="49"/>
      <c r="V1076" s="49"/>
      <c r="W1076" s="49"/>
      <c r="X1076" s="49"/>
      <c r="Y1076" s="49"/>
      <c r="Z1076" s="49"/>
      <c r="AA1076" s="49"/>
      <c r="AB1076" s="49"/>
      <c r="AC1076" s="49"/>
      <c r="AD1076" s="49"/>
      <c r="AE1076" s="49"/>
      <c r="AF1076" s="49"/>
      <c r="AG1076" s="49"/>
      <c r="AH1076" s="49"/>
      <c r="AI1076" s="49"/>
      <c r="AJ1076" s="49"/>
      <c r="AK1076" s="49"/>
      <c r="AL1076" s="49"/>
      <c r="AM1076" s="49"/>
      <c r="AN1076" s="49"/>
      <c r="AO1076" s="49"/>
      <c r="AP1076" s="49"/>
      <c r="AQ1076" s="49"/>
      <c r="AR1076" s="49"/>
      <c r="AS1076" s="49"/>
      <c r="AT1076" s="49"/>
      <c r="AU1076" s="49"/>
      <c r="AV1076" s="49"/>
      <c r="AW1076" s="49"/>
      <c r="AX1076" s="49"/>
      <c r="AY1076" s="49"/>
      <c r="AZ1076" s="49"/>
      <c r="BA1076" s="49"/>
      <c r="BB1076" s="49"/>
      <c r="BC1076" s="49"/>
      <c r="BD1076" s="49"/>
      <c r="BE1076" s="68"/>
    </row>
    <row r="1077" spans="1:57" s="51" customFormat="1">
      <c r="A1077" s="1048" t="s">
        <v>1011</v>
      </c>
      <c r="B1077" s="838" t="s">
        <v>997</v>
      </c>
      <c r="C1077" s="872"/>
      <c r="D1077" s="84" t="s">
        <v>16</v>
      </c>
      <c r="E1077" s="63">
        <f t="shared" ref="E1077:J1077" si="356">E1078</f>
        <v>1.5</v>
      </c>
      <c r="F1077" s="63">
        <f t="shared" si="356"/>
        <v>1.5</v>
      </c>
      <c r="G1077" s="63">
        <f t="shared" si="356"/>
        <v>0</v>
      </c>
      <c r="H1077" s="63">
        <f t="shared" si="356"/>
        <v>0</v>
      </c>
      <c r="I1077" s="63">
        <f t="shared" si="356"/>
        <v>0</v>
      </c>
      <c r="J1077" s="63">
        <f t="shared" si="356"/>
        <v>0</v>
      </c>
      <c r="K1077" s="86">
        <f t="shared" si="342"/>
        <v>1.5</v>
      </c>
      <c r="L1077" s="185"/>
      <c r="M1077" s="88"/>
      <c r="N1077" s="89"/>
      <c r="O1077" s="868"/>
      <c r="P1077" s="49"/>
      <c r="Q1077" s="49"/>
      <c r="R1077" s="49"/>
      <c r="S1077" s="49"/>
      <c r="T1077" s="49"/>
      <c r="U1077" s="49"/>
      <c r="V1077" s="49"/>
      <c r="W1077" s="49"/>
      <c r="X1077" s="49"/>
      <c r="Y1077" s="49"/>
      <c r="Z1077" s="49"/>
      <c r="AA1077" s="49"/>
      <c r="AB1077" s="49"/>
      <c r="AC1077" s="49"/>
      <c r="AD1077" s="49"/>
      <c r="AE1077" s="49"/>
      <c r="AF1077" s="49"/>
      <c r="AG1077" s="49"/>
      <c r="AH1077" s="49"/>
      <c r="AI1077" s="49"/>
      <c r="AJ1077" s="49"/>
      <c r="AK1077" s="49"/>
      <c r="AL1077" s="49"/>
      <c r="AM1077" s="49"/>
      <c r="AN1077" s="49"/>
      <c r="AO1077" s="49"/>
      <c r="AP1077" s="49"/>
      <c r="AQ1077" s="49"/>
      <c r="AR1077" s="49"/>
      <c r="AS1077" s="49"/>
      <c r="AT1077" s="49"/>
      <c r="AU1077" s="49"/>
      <c r="AV1077" s="49"/>
      <c r="AW1077" s="49"/>
      <c r="AX1077" s="49"/>
      <c r="AY1077" s="49"/>
      <c r="AZ1077" s="49"/>
      <c r="BA1077" s="49"/>
      <c r="BB1077" s="49"/>
      <c r="BC1077" s="49"/>
      <c r="BD1077" s="49"/>
      <c r="BE1077" s="68"/>
    </row>
    <row r="1078" spans="1:57" s="51" customFormat="1">
      <c r="A1078" s="1049"/>
      <c r="B1078" s="839"/>
      <c r="C1078" s="873"/>
      <c r="D1078" s="62">
        <v>2027</v>
      </c>
      <c r="E1078" s="63">
        <f>F1078</f>
        <v>1.5</v>
      </c>
      <c r="F1078" s="63">
        <v>1.5</v>
      </c>
      <c r="G1078" s="63">
        <v>0</v>
      </c>
      <c r="H1078" s="63">
        <v>0</v>
      </c>
      <c r="I1078" s="63">
        <v>0</v>
      </c>
      <c r="J1078" s="63">
        <v>0</v>
      </c>
      <c r="K1078" s="86">
        <f t="shared" ref="K1078:K1109" si="357">F1078+G1078+H1078+I1078+J1078</f>
        <v>1.5</v>
      </c>
      <c r="L1078" s="185"/>
      <c r="M1078" s="88"/>
      <c r="N1078" s="89"/>
      <c r="O1078" s="869"/>
      <c r="P1078" s="49"/>
      <c r="Q1078" s="49"/>
      <c r="R1078" s="49"/>
      <c r="S1078" s="49"/>
      <c r="T1078" s="49"/>
      <c r="U1078" s="49"/>
      <c r="V1078" s="49"/>
      <c r="W1078" s="49"/>
      <c r="X1078" s="49"/>
      <c r="Y1078" s="49"/>
      <c r="Z1078" s="49"/>
      <c r="AA1078" s="49"/>
      <c r="AB1078" s="49"/>
      <c r="AC1078" s="49"/>
      <c r="AD1078" s="49"/>
      <c r="AE1078" s="49"/>
      <c r="AF1078" s="49"/>
      <c r="AG1078" s="49"/>
      <c r="AH1078" s="49"/>
      <c r="AI1078" s="49"/>
      <c r="AJ1078" s="49"/>
      <c r="AK1078" s="49"/>
      <c r="AL1078" s="49"/>
      <c r="AM1078" s="49"/>
      <c r="AN1078" s="49"/>
      <c r="AO1078" s="49"/>
      <c r="AP1078" s="49"/>
      <c r="AQ1078" s="49"/>
      <c r="AR1078" s="49"/>
      <c r="AS1078" s="49"/>
      <c r="AT1078" s="49"/>
      <c r="AU1078" s="49"/>
      <c r="AV1078" s="49"/>
      <c r="AW1078" s="49"/>
      <c r="AX1078" s="49"/>
      <c r="AY1078" s="49"/>
      <c r="AZ1078" s="49"/>
      <c r="BA1078" s="49"/>
      <c r="BB1078" s="49"/>
      <c r="BC1078" s="49"/>
      <c r="BD1078" s="49"/>
      <c r="BE1078" s="68"/>
    </row>
    <row r="1079" spans="1:57" s="51" customFormat="1" ht="12.75" customHeight="1">
      <c r="A1079" s="1048" t="s">
        <v>1012</v>
      </c>
      <c r="B1079" s="838" t="s">
        <v>1013</v>
      </c>
      <c r="C1079" s="867" t="s">
        <v>993</v>
      </c>
      <c r="D1079" s="84" t="s">
        <v>16</v>
      </c>
      <c r="E1079" s="63">
        <f t="shared" ref="E1079:J1079" si="358">E1080</f>
        <v>7.2900000000000006E-2</v>
      </c>
      <c r="F1079" s="63">
        <f t="shared" si="358"/>
        <v>7.2900000000000006E-2</v>
      </c>
      <c r="G1079" s="63">
        <f t="shared" si="358"/>
        <v>0</v>
      </c>
      <c r="H1079" s="63">
        <f t="shared" si="358"/>
        <v>0</v>
      </c>
      <c r="I1079" s="63">
        <f t="shared" si="358"/>
        <v>0</v>
      </c>
      <c r="J1079" s="63">
        <f t="shared" si="358"/>
        <v>0</v>
      </c>
      <c r="K1079" s="86">
        <f t="shared" si="357"/>
        <v>7.2900000000000006E-2</v>
      </c>
      <c r="L1079" s="185"/>
      <c r="M1079" s="88"/>
      <c r="N1079" s="89"/>
      <c r="O1079" s="1072" t="s">
        <v>1014</v>
      </c>
      <c r="P1079" s="49"/>
      <c r="Q1079" s="49"/>
      <c r="R1079" s="49"/>
      <c r="S1079" s="49"/>
      <c r="T1079" s="49"/>
      <c r="U1079" s="49"/>
      <c r="V1079" s="49"/>
      <c r="W1079" s="49"/>
      <c r="X1079" s="49"/>
      <c r="Y1079" s="49"/>
      <c r="Z1079" s="49"/>
      <c r="AA1079" s="49"/>
      <c r="AB1079" s="49"/>
      <c r="AC1079" s="49"/>
      <c r="AD1079" s="49"/>
      <c r="AE1079" s="49"/>
      <c r="AF1079" s="49"/>
      <c r="AG1079" s="49"/>
      <c r="AH1079" s="49"/>
      <c r="AI1079" s="49"/>
      <c r="AJ1079" s="49"/>
      <c r="AK1079" s="49"/>
      <c r="AL1079" s="49"/>
      <c r="AM1079" s="49"/>
      <c r="AN1079" s="49"/>
      <c r="AO1079" s="49"/>
      <c r="AP1079" s="49"/>
      <c r="AQ1079" s="49"/>
      <c r="AR1079" s="49"/>
      <c r="AS1079" s="49"/>
      <c r="AT1079" s="49"/>
      <c r="AU1079" s="49"/>
      <c r="AV1079" s="49"/>
      <c r="AW1079" s="49"/>
      <c r="AX1079" s="49"/>
      <c r="AY1079" s="49"/>
      <c r="AZ1079" s="49"/>
      <c r="BA1079" s="49"/>
      <c r="BB1079" s="49"/>
      <c r="BC1079" s="49"/>
      <c r="BD1079" s="49"/>
      <c r="BE1079" s="68"/>
    </row>
    <row r="1080" spans="1:57" s="51" customFormat="1" ht="57.75" customHeight="1">
      <c r="A1080" s="1050"/>
      <c r="B1080" s="854"/>
      <c r="C1080" s="872"/>
      <c r="D1080" s="62">
        <v>2023</v>
      </c>
      <c r="E1080" s="63">
        <f>F1080+G1080+H1080+I1080+J1080</f>
        <v>7.2900000000000006E-2</v>
      </c>
      <c r="F1080" s="63">
        <v>7.2900000000000006E-2</v>
      </c>
      <c r="G1080" s="63">
        <v>0</v>
      </c>
      <c r="H1080" s="63">
        <v>0</v>
      </c>
      <c r="I1080" s="63">
        <v>0</v>
      </c>
      <c r="J1080" s="63">
        <v>0</v>
      </c>
      <c r="K1080" s="86">
        <f t="shared" si="357"/>
        <v>7.2900000000000006E-2</v>
      </c>
      <c r="L1080" s="185"/>
      <c r="M1080" s="88"/>
      <c r="N1080" s="89"/>
      <c r="O1080" s="1073"/>
      <c r="P1080" s="49"/>
      <c r="Q1080" s="49"/>
      <c r="R1080" s="49"/>
      <c r="S1080" s="49"/>
      <c r="T1080" s="49"/>
      <c r="U1080" s="49"/>
      <c r="V1080" s="49"/>
      <c r="W1080" s="49"/>
      <c r="X1080" s="49"/>
      <c r="Y1080" s="49"/>
      <c r="Z1080" s="49"/>
      <c r="AA1080" s="49"/>
      <c r="AB1080" s="49"/>
      <c r="AC1080" s="49"/>
      <c r="AD1080" s="49"/>
      <c r="AE1080" s="49"/>
      <c r="AF1080" s="49"/>
      <c r="AG1080" s="49"/>
      <c r="AH1080" s="49"/>
      <c r="AI1080" s="49"/>
      <c r="AJ1080" s="49"/>
      <c r="AK1080" s="49"/>
      <c r="AL1080" s="49"/>
      <c r="AM1080" s="49"/>
      <c r="AN1080" s="49"/>
      <c r="AO1080" s="49"/>
      <c r="AP1080" s="49"/>
      <c r="AQ1080" s="49"/>
      <c r="AR1080" s="49"/>
      <c r="AS1080" s="49"/>
      <c r="AT1080" s="49"/>
      <c r="AU1080" s="49"/>
      <c r="AV1080" s="49"/>
      <c r="AW1080" s="49"/>
      <c r="AX1080" s="49"/>
      <c r="AY1080" s="49"/>
      <c r="AZ1080" s="49"/>
      <c r="BA1080" s="49"/>
      <c r="BB1080" s="49"/>
      <c r="BC1080" s="49"/>
      <c r="BD1080" s="49"/>
      <c r="BE1080" s="68"/>
    </row>
    <row r="1081" spans="1:57" s="202" customFormat="1" ht="18" customHeight="1">
      <c r="A1081" s="1070" t="s">
        <v>1015</v>
      </c>
      <c r="B1081" s="830" t="s">
        <v>1016</v>
      </c>
      <c r="C1081" s="872"/>
      <c r="D1081" s="204" t="s">
        <v>16</v>
      </c>
      <c r="E1081" s="205">
        <f>E1082+E1083+E1084+E1085+E1086</f>
        <v>1.4171</v>
      </c>
      <c r="F1081" s="205">
        <f>F1082+F1083+F1084+F1085+F1086</f>
        <v>1.4171</v>
      </c>
      <c r="G1081" s="205">
        <f>G1082+G1083+G1084+G1085+G1086</f>
        <v>0</v>
      </c>
      <c r="H1081" s="205">
        <f>H1082+H1083+H1084+H1085+H1086</f>
        <v>0</v>
      </c>
      <c r="I1081" s="205">
        <f>I1082</f>
        <v>0</v>
      </c>
      <c r="J1081" s="205">
        <f>J1082</f>
        <v>0</v>
      </c>
      <c r="K1081" s="120">
        <f t="shared" si="357"/>
        <v>1.4171</v>
      </c>
      <c r="L1081" s="340"/>
      <c r="M1081" s="206"/>
      <c r="N1081" s="263"/>
      <c r="O1081" s="1073"/>
      <c r="P1081" s="207"/>
      <c r="Q1081" s="207"/>
      <c r="R1081" s="207"/>
      <c r="S1081" s="207"/>
      <c r="T1081" s="207"/>
      <c r="U1081" s="207"/>
      <c r="V1081" s="207"/>
      <c r="W1081" s="207"/>
      <c r="X1081" s="207"/>
      <c r="Y1081" s="207"/>
      <c r="Z1081" s="207"/>
      <c r="AA1081" s="207"/>
      <c r="AB1081" s="207"/>
      <c r="AC1081" s="207"/>
      <c r="AD1081" s="207"/>
      <c r="AE1081" s="207"/>
      <c r="AF1081" s="207"/>
      <c r="AG1081" s="207"/>
      <c r="AH1081" s="207"/>
      <c r="AI1081" s="207"/>
      <c r="AJ1081" s="207"/>
      <c r="AK1081" s="207"/>
      <c r="AL1081" s="207"/>
      <c r="AM1081" s="207"/>
      <c r="AN1081" s="207"/>
      <c r="AO1081" s="207"/>
      <c r="AP1081" s="207"/>
      <c r="AQ1081" s="207"/>
      <c r="AR1081" s="207"/>
      <c r="AS1081" s="207"/>
      <c r="AT1081" s="207"/>
      <c r="AU1081" s="207"/>
      <c r="AV1081" s="207"/>
      <c r="AW1081" s="207"/>
      <c r="AX1081" s="207"/>
      <c r="AY1081" s="207"/>
      <c r="AZ1081" s="207"/>
      <c r="BA1081" s="207"/>
      <c r="BB1081" s="207"/>
      <c r="BC1081" s="207"/>
      <c r="BD1081" s="207"/>
      <c r="BE1081" s="208"/>
    </row>
    <row r="1082" spans="1:57" s="202" customFormat="1" ht="17.25" customHeight="1">
      <c r="A1082" s="1075"/>
      <c r="B1082" s="831"/>
      <c r="C1082" s="872"/>
      <c r="D1082" s="211">
        <v>2020</v>
      </c>
      <c r="E1082" s="212">
        <f t="shared" ref="E1082:J1082" si="359">E1090</f>
        <v>7.2400000000000006E-2</v>
      </c>
      <c r="F1082" s="212">
        <f t="shared" si="359"/>
        <v>7.2400000000000006E-2</v>
      </c>
      <c r="G1082" s="212">
        <f t="shared" si="359"/>
        <v>0</v>
      </c>
      <c r="H1082" s="212">
        <f t="shared" si="359"/>
        <v>0</v>
      </c>
      <c r="I1082" s="212">
        <f t="shared" si="359"/>
        <v>0</v>
      </c>
      <c r="J1082" s="212">
        <f t="shared" si="359"/>
        <v>0</v>
      </c>
      <c r="K1082" s="120">
        <f t="shared" si="357"/>
        <v>7.2400000000000006E-2</v>
      </c>
      <c r="L1082" s="340"/>
      <c r="M1082" s="206"/>
      <c r="N1082" s="263"/>
      <c r="O1082" s="1073"/>
      <c r="P1082" s="207"/>
      <c r="Q1082" s="207"/>
      <c r="R1082" s="207"/>
      <c r="S1082" s="207"/>
      <c r="T1082" s="207"/>
      <c r="U1082" s="207"/>
      <c r="V1082" s="207"/>
      <c r="W1082" s="207"/>
      <c r="X1082" s="207"/>
      <c r="Y1082" s="207"/>
      <c r="Z1082" s="207"/>
      <c r="AA1082" s="207"/>
      <c r="AB1082" s="207"/>
      <c r="AC1082" s="207"/>
      <c r="AD1082" s="207"/>
      <c r="AE1082" s="207"/>
      <c r="AF1082" s="207"/>
      <c r="AG1082" s="207"/>
      <c r="AH1082" s="207"/>
      <c r="AI1082" s="207"/>
      <c r="AJ1082" s="207"/>
      <c r="AK1082" s="207"/>
      <c r="AL1082" s="207"/>
      <c r="AM1082" s="207"/>
      <c r="AN1082" s="207"/>
      <c r="AO1082" s="207"/>
      <c r="AP1082" s="207"/>
      <c r="AQ1082" s="207"/>
      <c r="AR1082" s="207"/>
      <c r="AS1082" s="207"/>
      <c r="AT1082" s="207"/>
      <c r="AU1082" s="207"/>
      <c r="AV1082" s="207"/>
      <c r="AW1082" s="207"/>
      <c r="AX1082" s="207"/>
      <c r="AY1082" s="207"/>
      <c r="AZ1082" s="207"/>
      <c r="BA1082" s="207"/>
      <c r="BB1082" s="207"/>
      <c r="BC1082" s="207"/>
      <c r="BD1082" s="207"/>
      <c r="BE1082" s="208"/>
    </row>
    <row r="1083" spans="1:57" s="202" customFormat="1" ht="17.25" customHeight="1">
      <c r="A1083" s="1075"/>
      <c r="B1083" s="831"/>
      <c r="C1083" s="872"/>
      <c r="D1083" s="211">
        <v>2021</v>
      </c>
      <c r="E1083" s="212">
        <f>F1083</f>
        <v>0.62400999999999995</v>
      </c>
      <c r="F1083" s="212">
        <f>F1088+F1092+F1094</f>
        <v>0.62400999999999995</v>
      </c>
      <c r="G1083" s="212">
        <f>G1088+G1092+G1094</f>
        <v>0</v>
      </c>
      <c r="H1083" s="212">
        <f>H1088+H1092+H1094</f>
        <v>0</v>
      </c>
      <c r="I1083" s="212">
        <f>I1088+I1092+I1094</f>
        <v>0</v>
      </c>
      <c r="J1083" s="212">
        <f>J1088+J1092+J1094</f>
        <v>0</v>
      </c>
      <c r="K1083" s="120">
        <f t="shared" si="357"/>
        <v>0.62400999999999995</v>
      </c>
      <c r="L1083" s="340"/>
      <c r="M1083" s="206"/>
      <c r="N1083" s="263"/>
      <c r="O1083" s="1073"/>
      <c r="P1083" s="207"/>
      <c r="Q1083" s="207"/>
      <c r="R1083" s="207"/>
      <c r="S1083" s="207"/>
      <c r="T1083" s="207"/>
      <c r="U1083" s="207"/>
      <c r="V1083" s="207"/>
      <c r="W1083" s="207"/>
      <c r="X1083" s="207"/>
      <c r="Y1083" s="207"/>
      <c r="Z1083" s="207"/>
      <c r="AA1083" s="207"/>
      <c r="AB1083" s="207"/>
      <c r="AC1083" s="207"/>
      <c r="AD1083" s="207"/>
      <c r="AE1083" s="207"/>
      <c r="AF1083" s="207"/>
      <c r="AG1083" s="207"/>
      <c r="AH1083" s="207"/>
      <c r="AI1083" s="207"/>
      <c r="AJ1083" s="207"/>
      <c r="AK1083" s="207"/>
      <c r="AL1083" s="207"/>
      <c r="AM1083" s="207"/>
      <c r="AN1083" s="207"/>
      <c r="AO1083" s="207"/>
      <c r="AP1083" s="207"/>
      <c r="AQ1083" s="207"/>
      <c r="AR1083" s="207"/>
      <c r="AS1083" s="207"/>
      <c r="AT1083" s="207"/>
      <c r="AU1083" s="207"/>
      <c r="AV1083" s="207"/>
      <c r="AW1083" s="207"/>
      <c r="AX1083" s="207"/>
      <c r="AY1083" s="207"/>
      <c r="AZ1083" s="207"/>
      <c r="BA1083" s="207"/>
      <c r="BB1083" s="207"/>
      <c r="BC1083" s="207"/>
      <c r="BD1083" s="207"/>
      <c r="BE1083" s="208"/>
    </row>
    <row r="1084" spans="1:57" s="202" customFormat="1" ht="17.25" customHeight="1">
      <c r="A1084" s="1075"/>
      <c r="B1084" s="831"/>
      <c r="C1084" s="872"/>
      <c r="D1084" s="427">
        <v>2022</v>
      </c>
      <c r="E1084" s="212">
        <f>F1084</f>
        <v>5.2510000000000001E-2</v>
      </c>
      <c r="F1084" s="212">
        <f>F1096+F1098</f>
        <v>5.2510000000000001E-2</v>
      </c>
      <c r="G1084" s="212">
        <f>G1096+G1098</f>
        <v>0</v>
      </c>
      <c r="H1084" s="212">
        <f>H1096+H1098</f>
        <v>0</v>
      </c>
      <c r="I1084" s="212">
        <f>I1096+I1098</f>
        <v>0</v>
      </c>
      <c r="J1084" s="212">
        <f>J1096+J1098</f>
        <v>0</v>
      </c>
      <c r="K1084" s="120">
        <f t="shared" si="357"/>
        <v>5.2510000000000001E-2</v>
      </c>
      <c r="L1084" s="340"/>
      <c r="M1084" s="206"/>
      <c r="N1084" s="263"/>
      <c r="O1084" s="1073"/>
      <c r="P1084" s="207"/>
      <c r="Q1084" s="207"/>
      <c r="R1084" s="207"/>
      <c r="S1084" s="207"/>
      <c r="T1084" s="207"/>
      <c r="U1084" s="207"/>
      <c r="V1084" s="207"/>
      <c r="W1084" s="207"/>
      <c r="X1084" s="207"/>
      <c r="Y1084" s="207"/>
      <c r="Z1084" s="207"/>
      <c r="AA1084" s="207"/>
      <c r="AB1084" s="207"/>
      <c r="AC1084" s="207"/>
      <c r="AD1084" s="207"/>
      <c r="AE1084" s="207"/>
      <c r="AF1084" s="207"/>
      <c r="AG1084" s="207"/>
      <c r="AH1084" s="207"/>
      <c r="AI1084" s="207"/>
      <c r="AJ1084" s="207"/>
      <c r="AK1084" s="207"/>
      <c r="AL1084" s="207"/>
      <c r="AM1084" s="207"/>
      <c r="AN1084" s="207"/>
      <c r="AO1084" s="207"/>
      <c r="AP1084" s="207"/>
      <c r="AQ1084" s="207"/>
      <c r="AR1084" s="207"/>
      <c r="AS1084" s="207"/>
      <c r="AT1084" s="207"/>
      <c r="AU1084" s="207"/>
      <c r="AV1084" s="207"/>
      <c r="AW1084" s="207"/>
      <c r="AX1084" s="207"/>
      <c r="AY1084" s="207"/>
      <c r="AZ1084" s="207"/>
      <c r="BA1084" s="207"/>
      <c r="BB1084" s="207"/>
      <c r="BC1084" s="207"/>
      <c r="BD1084" s="207"/>
      <c r="BE1084" s="208"/>
    </row>
    <row r="1085" spans="1:57" s="202" customFormat="1" ht="17.25" customHeight="1">
      <c r="A1085" s="1075"/>
      <c r="B1085" s="831"/>
      <c r="C1085" s="872"/>
      <c r="D1085" s="427">
        <v>2023</v>
      </c>
      <c r="E1085" s="212">
        <f>F1085</f>
        <v>3.7679999999999998E-2</v>
      </c>
      <c r="F1085" s="212">
        <f>F1104</f>
        <v>3.7679999999999998E-2</v>
      </c>
      <c r="G1085" s="212">
        <f>G1104</f>
        <v>0</v>
      </c>
      <c r="H1085" s="212">
        <f>H1104</f>
        <v>0</v>
      </c>
      <c r="I1085" s="212">
        <f>I1104</f>
        <v>0</v>
      </c>
      <c r="J1085" s="212">
        <f>J1104</f>
        <v>0</v>
      </c>
      <c r="K1085" s="120">
        <f t="shared" si="357"/>
        <v>3.7679999999999998E-2</v>
      </c>
      <c r="L1085" s="340"/>
      <c r="M1085" s="206"/>
      <c r="N1085" s="263"/>
      <c r="O1085" s="1073"/>
      <c r="P1085" s="207"/>
      <c r="Q1085" s="207"/>
      <c r="R1085" s="207"/>
      <c r="S1085" s="207"/>
      <c r="T1085" s="207"/>
      <c r="U1085" s="207"/>
      <c r="V1085" s="207"/>
      <c r="W1085" s="207"/>
      <c r="X1085" s="207"/>
      <c r="Y1085" s="207"/>
      <c r="Z1085" s="207"/>
      <c r="AA1085" s="207"/>
      <c r="AB1085" s="207"/>
      <c r="AC1085" s="207"/>
      <c r="AD1085" s="207"/>
      <c r="AE1085" s="207"/>
      <c r="AF1085" s="207"/>
      <c r="AG1085" s="207"/>
      <c r="AH1085" s="207"/>
      <c r="AI1085" s="207"/>
      <c r="AJ1085" s="207"/>
      <c r="AK1085" s="207"/>
      <c r="AL1085" s="207"/>
      <c r="AM1085" s="207"/>
      <c r="AN1085" s="207"/>
      <c r="AO1085" s="207"/>
      <c r="AP1085" s="207"/>
      <c r="AQ1085" s="207"/>
      <c r="AR1085" s="207"/>
      <c r="AS1085" s="207"/>
      <c r="AT1085" s="207"/>
      <c r="AU1085" s="207"/>
      <c r="AV1085" s="207"/>
      <c r="AW1085" s="207"/>
      <c r="AX1085" s="207"/>
      <c r="AY1085" s="207"/>
      <c r="AZ1085" s="207"/>
      <c r="BA1085" s="207"/>
      <c r="BB1085" s="207"/>
      <c r="BC1085" s="207"/>
      <c r="BD1085" s="207"/>
      <c r="BE1085" s="208"/>
    </row>
    <row r="1086" spans="1:57" s="202" customFormat="1" ht="17.25" customHeight="1">
      <c r="A1086" s="1071"/>
      <c r="B1086" s="969"/>
      <c r="C1086" s="872"/>
      <c r="D1086" s="427">
        <v>2024</v>
      </c>
      <c r="E1086" s="212">
        <f>F1086</f>
        <v>0.63049999999999995</v>
      </c>
      <c r="F1086" s="212">
        <f>F1100+F1102</f>
        <v>0.63049999999999995</v>
      </c>
      <c r="G1086" s="212">
        <v>0</v>
      </c>
      <c r="H1086" s="212">
        <v>0</v>
      </c>
      <c r="I1086" s="212">
        <v>0</v>
      </c>
      <c r="J1086" s="212">
        <v>0</v>
      </c>
      <c r="K1086" s="120">
        <f t="shared" si="357"/>
        <v>0.63049999999999995</v>
      </c>
      <c r="L1086" s="340"/>
      <c r="M1086" s="206"/>
      <c r="N1086" s="263"/>
      <c r="O1086" s="1073"/>
      <c r="P1086" s="207"/>
      <c r="Q1086" s="207"/>
      <c r="R1086" s="207"/>
      <c r="S1086" s="207"/>
      <c r="T1086" s="207"/>
      <c r="U1086" s="207"/>
      <c r="V1086" s="207"/>
      <c r="W1086" s="207"/>
      <c r="X1086" s="207"/>
      <c r="Y1086" s="207"/>
      <c r="Z1086" s="207"/>
      <c r="AA1086" s="207"/>
      <c r="AB1086" s="207"/>
      <c r="AC1086" s="207"/>
      <c r="AD1086" s="207"/>
      <c r="AE1086" s="207"/>
      <c r="AF1086" s="207"/>
      <c r="AG1086" s="207"/>
      <c r="AH1086" s="207"/>
      <c r="AI1086" s="207"/>
      <c r="AJ1086" s="207"/>
      <c r="AK1086" s="207"/>
      <c r="AL1086" s="207"/>
      <c r="AM1086" s="207"/>
      <c r="AN1086" s="207"/>
      <c r="AO1086" s="207"/>
      <c r="AP1086" s="207"/>
      <c r="AQ1086" s="207"/>
      <c r="AR1086" s="207"/>
      <c r="AS1086" s="207"/>
      <c r="AT1086" s="207"/>
      <c r="AU1086" s="207"/>
      <c r="AV1086" s="207"/>
      <c r="AW1086" s="207"/>
      <c r="AX1086" s="207"/>
      <c r="AY1086" s="207"/>
      <c r="AZ1086" s="207"/>
      <c r="BA1086" s="207"/>
      <c r="BB1086" s="207"/>
      <c r="BC1086" s="207"/>
      <c r="BD1086" s="207"/>
      <c r="BE1086" s="208"/>
    </row>
    <row r="1087" spans="1:57" s="202" customFormat="1" ht="17.25" customHeight="1">
      <c r="A1087" s="1076" t="s">
        <v>1017</v>
      </c>
      <c r="B1087" s="830" t="s">
        <v>1018</v>
      </c>
      <c r="C1087" s="872"/>
      <c r="D1087" s="204" t="s">
        <v>16</v>
      </c>
      <c r="E1087" s="205">
        <f t="shared" ref="E1087:J1087" si="360">E1088</f>
        <v>0.52349999999999997</v>
      </c>
      <c r="F1087" s="205">
        <f t="shared" si="360"/>
        <v>0.52349999999999997</v>
      </c>
      <c r="G1087" s="205">
        <f t="shared" si="360"/>
        <v>0</v>
      </c>
      <c r="H1087" s="205">
        <f t="shared" si="360"/>
        <v>0</v>
      </c>
      <c r="I1087" s="205">
        <f t="shared" si="360"/>
        <v>0</v>
      </c>
      <c r="J1087" s="205">
        <f t="shared" si="360"/>
        <v>0</v>
      </c>
      <c r="K1087" s="120">
        <f t="shared" si="357"/>
        <v>0.52349999999999997</v>
      </c>
      <c r="L1087" s="340"/>
      <c r="M1087" s="206"/>
      <c r="N1087" s="263"/>
      <c r="O1087" s="1073"/>
      <c r="P1087" s="207"/>
      <c r="Q1087" s="207"/>
      <c r="R1087" s="207"/>
      <c r="S1087" s="207"/>
      <c r="T1087" s="207"/>
      <c r="U1087" s="207"/>
      <c r="V1087" s="207"/>
      <c r="W1087" s="207"/>
      <c r="X1087" s="207"/>
      <c r="Y1087" s="207"/>
      <c r="Z1087" s="207"/>
      <c r="AA1087" s="207"/>
      <c r="AB1087" s="207"/>
      <c r="AC1087" s="207"/>
      <c r="AD1087" s="207"/>
      <c r="AE1087" s="207"/>
      <c r="AF1087" s="207"/>
      <c r="AG1087" s="207"/>
      <c r="AH1087" s="207"/>
      <c r="AI1087" s="207"/>
      <c r="AJ1087" s="207"/>
      <c r="AK1087" s="207"/>
      <c r="AL1087" s="207"/>
      <c r="AM1087" s="207"/>
      <c r="AN1087" s="207"/>
      <c r="AO1087" s="207"/>
      <c r="AP1087" s="207"/>
      <c r="AQ1087" s="207"/>
      <c r="AR1087" s="207"/>
      <c r="AS1087" s="207"/>
      <c r="AT1087" s="207"/>
      <c r="AU1087" s="207"/>
      <c r="AV1087" s="207"/>
      <c r="AW1087" s="207"/>
      <c r="AX1087" s="207"/>
      <c r="AY1087" s="207"/>
      <c r="AZ1087" s="207"/>
      <c r="BA1087" s="207"/>
      <c r="BB1087" s="207"/>
      <c r="BC1087" s="207"/>
      <c r="BD1087" s="207"/>
      <c r="BE1087" s="208"/>
    </row>
    <row r="1088" spans="1:57" s="202" customFormat="1" ht="27" customHeight="1">
      <c r="A1088" s="1076"/>
      <c r="B1088" s="969"/>
      <c r="C1088" s="872"/>
      <c r="D1088" s="211">
        <v>2021</v>
      </c>
      <c r="E1088" s="212">
        <f>F1088+G1088+H1088+I1088+J1088</f>
        <v>0.52349999999999997</v>
      </c>
      <c r="F1088" s="212">
        <v>0.52349999999999997</v>
      </c>
      <c r="G1088" s="212">
        <v>0</v>
      </c>
      <c r="H1088" s="212">
        <v>0</v>
      </c>
      <c r="I1088" s="212">
        <v>0</v>
      </c>
      <c r="J1088" s="212">
        <v>0</v>
      </c>
      <c r="K1088" s="120">
        <f t="shared" si="357"/>
        <v>0.52349999999999997</v>
      </c>
      <c r="L1088" s="340"/>
      <c r="M1088" s="206"/>
      <c r="N1088" s="263"/>
      <c r="O1088" s="1073"/>
      <c r="P1088" s="207"/>
      <c r="Q1088" s="207"/>
      <c r="R1088" s="207"/>
      <c r="S1088" s="207"/>
      <c r="T1088" s="207"/>
      <c r="U1088" s="207"/>
      <c r="V1088" s="207"/>
      <c r="W1088" s="207"/>
      <c r="X1088" s="207"/>
      <c r="Y1088" s="207"/>
      <c r="Z1088" s="207"/>
      <c r="AA1088" s="207"/>
      <c r="AB1088" s="207"/>
      <c r="AC1088" s="207"/>
      <c r="AD1088" s="207"/>
      <c r="AE1088" s="207"/>
      <c r="AF1088" s="207"/>
      <c r="AG1088" s="207"/>
      <c r="AH1088" s="207"/>
      <c r="AI1088" s="207"/>
      <c r="AJ1088" s="207"/>
      <c r="AK1088" s="207"/>
      <c r="AL1088" s="207"/>
      <c r="AM1088" s="207"/>
      <c r="AN1088" s="207"/>
      <c r="AO1088" s="207"/>
      <c r="AP1088" s="207"/>
      <c r="AQ1088" s="207"/>
      <c r="AR1088" s="207"/>
      <c r="AS1088" s="207"/>
      <c r="AT1088" s="207"/>
      <c r="AU1088" s="207"/>
      <c r="AV1088" s="207"/>
      <c r="AW1088" s="207"/>
      <c r="AX1088" s="207"/>
      <c r="AY1088" s="207"/>
      <c r="AZ1088" s="207"/>
      <c r="BA1088" s="207"/>
      <c r="BB1088" s="207"/>
      <c r="BC1088" s="207"/>
      <c r="BD1088" s="207"/>
      <c r="BE1088" s="208"/>
    </row>
    <row r="1089" spans="1:57" s="51" customFormat="1" ht="12.75" customHeight="1">
      <c r="A1089" s="1048" t="s">
        <v>1019</v>
      </c>
      <c r="B1089" s="830" t="s">
        <v>1020</v>
      </c>
      <c r="C1089" s="872"/>
      <c r="D1089" s="84" t="s">
        <v>16</v>
      </c>
      <c r="E1089" s="85">
        <f t="shared" ref="E1089:J1089" si="361">E1090</f>
        <v>7.2400000000000006E-2</v>
      </c>
      <c r="F1089" s="85">
        <f t="shared" si="361"/>
        <v>7.2400000000000006E-2</v>
      </c>
      <c r="G1089" s="85">
        <f t="shared" si="361"/>
        <v>0</v>
      </c>
      <c r="H1089" s="85">
        <f t="shared" si="361"/>
        <v>0</v>
      </c>
      <c r="I1089" s="85">
        <f t="shared" si="361"/>
        <v>0</v>
      </c>
      <c r="J1089" s="85">
        <f t="shared" si="361"/>
        <v>0</v>
      </c>
      <c r="K1089" s="86">
        <f t="shared" si="357"/>
        <v>7.2400000000000006E-2</v>
      </c>
      <c r="L1089" s="185"/>
      <c r="M1089" s="88"/>
      <c r="N1089" s="89"/>
      <c r="O1089" s="1073"/>
      <c r="P1089" s="49"/>
      <c r="Q1089" s="49"/>
      <c r="R1089" s="49"/>
      <c r="S1089" s="49"/>
      <c r="T1089" s="49"/>
      <c r="U1089" s="49"/>
      <c r="V1089" s="49"/>
      <c r="W1089" s="49"/>
      <c r="X1089" s="49"/>
      <c r="Y1089" s="49"/>
      <c r="Z1089" s="49"/>
      <c r="AA1089" s="49"/>
      <c r="AB1089" s="49"/>
      <c r="AC1089" s="49"/>
      <c r="AD1089" s="49"/>
      <c r="AE1089" s="49"/>
      <c r="AF1089" s="49"/>
      <c r="AG1089" s="49"/>
      <c r="AH1089" s="49"/>
      <c r="AI1089" s="49"/>
      <c r="AJ1089" s="49"/>
      <c r="AK1089" s="49"/>
      <c r="AL1089" s="49"/>
      <c r="AM1089" s="49"/>
      <c r="AN1089" s="49"/>
      <c r="AO1089" s="49"/>
      <c r="AP1089" s="49"/>
      <c r="AQ1089" s="49"/>
      <c r="AR1089" s="49"/>
      <c r="AS1089" s="49"/>
      <c r="AT1089" s="49"/>
      <c r="AU1089" s="49"/>
      <c r="AV1089" s="49"/>
      <c r="AW1089" s="49"/>
      <c r="AX1089" s="49"/>
      <c r="AY1089" s="49"/>
      <c r="AZ1089" s="49"/>
      <c r="BA1089" s="49"/>
      <c r="BB1089" s="49"/>
      <c r="BC1089" s="49"/>
      <c r="BD1089" s="49"/>
      <c r="BE1089" s="68"/>
    </row>
    <row r="1090" spans="1:57" s="202" customFormat="1" ht="60" customHeight="1">
      <c r="A1090" s="1050"/>
      <c r="B1090" s="969"/>
      <c r="C1090" s="872"/>
      <c r="D1090" s="211">
        <v>2020</v>
      </c>
      <c r="E1090" s="212">
        <f>F1090+G1090+H1090+I1090+J1090</f>
        <v>7.2400000000000006E-2</v>
      </c>
      <c r="F1090" s="212">
        <v>7.2400000000000006E-2</v>
      </c>
      <c r="G1090" s="212">
        <v>0</v>
      </c>
      <c r="H1090" s="212">
        <v>0</v>
      </c>
      <c r="I1090" s="212">
        <v>0</v>
      </c>
      <c r="J1090" s="212">
        <v>0</v>
      </c>
      <c r="K1090" s="120">
        <f t="shared" si="357"/>
        <v>7.2400000000000006E-2</v>
      </c>
      <c r="L1090" s="340"/>
      <c r="M1090" s="206"/>
      <c r="N1090" s="263"/>
      <c r="O1090" s="1074"/>
      <c r="P1090" s="207"/>
      <c r="Q1090" s="207"/>
      <c r="R1090" s="207"/>
      <c r="S1090" s="207"/>
      <c r="T1090" s="207"/>
      <c r="U1090" s="207"/>
      <c r="V1090" s="207"/>
      <c r="W1090" s="207"/>
      <c r="X1090" s="207"/>
      <c r="Y1090" s="207"/>
      <c r="Z1090" s="207"/>
      <c r="AA1090" s="207"/>
      <c r="AB1090" s="207"/>
      <c r="AC1090" s="207"/>
      <c r="AD1090" s="207"/>
      <c r="AE1090" s="207"/>
      <c r="AF1090" s="207"/>
      <c r="AG1090" s="207"/>
      <c r="AH1090" s="207"/>
      <c r="AI1090" s="207"/>
      <c r="AJ1090" s="207"/>
      <c r="AK1090" s="207"/>
      <c r="AL1090" s="207"/>
      <c r="AM1090" s="207"/>
      <c r="AN1090" s="207"/>
      <c r="AO1090" s="207"/>
      <c r="AP1090" s="207"/>
      <c r="AQ1090" s="207"/>
      <c r="AR1090" s="207"/>
      <c r="AS1090" s="207"/>
      <c r="AT1090" s="207"/>
      <c r="AU1090" s="207"/>
      <c r="AV1090" s="207"/>
      <c r="AW1090" s="207"/>
      <c r="AX1090" s="207"/>
      <c r="AY1090" s="207"/>
      <c r="AZ1090" s="207"/>
      <c r="BA1090" s="207"/>
      <c r="BB1090" s="207"/>
      <c r="BC1090" s="207"/>
      <c r="BD1090" s="207"/>
      <c r="BE1090" s="208"/>
    </row>
    <row r="1091" spans="1:57" s="51" customFormat="1" ht="12.75" customHeight="1">
      <c r="A1091" s="1048" t="s">
        <v>1021</v>
      </c>
      <c r="B1091" s="838" t="s">
        <v>1022</v>
      </c>
      <c r="C1091" s="872"/>
      <c r="D1091" s="84" t="s">
        <v>429</v>
      </c>
      <c r="E1091" s="85">
        <f t="shared" ref="E1091:J1091" si="362">E1092</f>
        <v>3.7609999999999998E-2</v>
      </c>
      <c r="F1091" s="85">
        <f t="shared" si="362"/>
        <v>3.7609999999999998E-2</v>
      </c>
      <c r="G1091" s="85">
        <f t="shared" si="362"/>
        <v>0</v>
      </c>
      <c r="H1091" s="85">
        <f t="shared" si="362"/>
        <v>0</v>
      </c>
      <c r="I1091" s="85">
        <f t="shared" si="362"/>
        <v>0</v>
      </c>
      <c r="J1091" s="85">
        <f t="shared" si="362"/>
        <v>0</v>
      </c>
      <c r="K1091" s="86">
        <f t="shared" si="357"/>
        <v>3.7609999999999998E-2</v>
      </c>
      <c r="L1091" s="185"/>
      <c r="M1091" s="88"/>
      <c r="N1091" s="89"/>
      <c r="O1091" s="426"/>
      <c r="P1091" s="49"/>
      <c r="Q1091" s="49"/>
      <c r="R1091" s="49"/>
      <c r="S1091" s="49"/>
      <c r="T1091" s="49"/>
      <c r="U1091" s="49"/>
      <c r="V1091" s="49"/>
      <c r="W1091" s="49"/>
      <c r="X1091" s="49"/>
      <c r="Y1091" s="49"/>
      <c r="Z1091" s="49"/>
      <c r="AA1091" s="49"/>
      <c r="AB1091" s="49"/>
      <c r="AC1091" s="49"/>
      <c r="AD1091" s="49"/>
      <c r="AE1091" s="49"/>
      <c r="AF1091" s="49"/>
      <c r="AG1091" s="49"/>
      <c r="AH1091" s="49"/>
      <c r="AI1091" s="49"/>
      <c r="AJ1091" s="49"/>
      <c r="AK1091" s="49"/>
      <c r="AL1091" s="49"/>
      <c r="AM1091" s="49"/>
      <c r="AN1091" s="49"/>
      <c r="AO1091" s="49"/>
      <c r="AP1091" s="49"/>
      <c r="AQ1091" s="49"/>
      <c r="AR1091" s="49"/>
      <c r="AS1091" s="49"/>
      <c r="AT1091" s="49"/>
      <c r="AU1091" s="49"/>
      <c r="AV1091" s="49"/>
      <c r="AW1091" s="49"/>
      <c r="AX1091" s="49"/>
      <c r="AY1091" s="49"/>
      <c r="AZ1091" s="49"/>
      <c r="BA1091" s="49"/>
      <c r="BB1091" s="49"/>
      <c r="BC1091" s="49"/>
      <c r="BD1091" s="49"/>
      <c r="BE1091" s="68"/>
    </row>
    <row r="1092" spans="1:57" s="202" customFormat="1" ht="53.25" customHeight="1">
      <c r="A1092" s="1050"/>
      <c r="B1092" s="854"/>
      <c r="C1092" s="872"/>
      <c r="D1092" s="211">
        <v>2021</v>
      </c>
      <c r="E1092" s="212">
        <f>F1092+G1092+H1092+I1092+J1092</f>
        <v>3.7609999999999998E-2</v>
      </c>
      <c r="F1092" s="212">
        <v>3.7609999999999998E-2</v>
      </c>
      <c r="G1092" s="212">
        <v>0</v>
      </c>
      <c r="H1092" s="212">
        <v>0</v>
      </c>
      <c r="I1092" s="212">
        <v>0</v>
      </c>
      <c r="J1092" s="212">
        <v>0</v>
      </c>
      <c r="K1092" s="120">
        <f t="shared" si="357"/>
        <v>3.7609999999999998E-2</v>
      </c>
      <c r="L1092" s="340"/>
      <c r="M1092" s="206"/>
      <c r="N1092" s="263"/>
      <c r="O1092" s="428"/>
      <c r="P1092" s="207"/>
      <c r="Q1092" s="207"/>
      <c r="R1092" s="207"/>
      <c r="S1092" s="207"/>
      <c r="T1092" s="207"/>
      <c r="U1092" s="207"/>
      <c r="V1092" s="207"/>
      <c r="W1092" s="207"/>
      <c r="X1092" s="207"/>
      <c r="Y1092" s="207"/>
      <c r="Z1092" s="207"/>
      <c r="AA1092" s="207"/>
      <c r="AB1092" s="207"/>
      <c r="AC1092" s="207"/>
      <c r="AD1092" s="207"/>
      <c r="AE1092" s="207"/>
      <c r="AF1092" s="207"/>
      <c r="AG1092" s="207"/>
      <c r="AH1092" s="207"/>
      <c r="AI1092" s="207"/>
      <c r="AJ1092" s="207"/>
      <c r="AK1092" s="207"/>
      <c r="AL1092" s="207"/>
      <c r="AM1092" s="207"/>
      <c r="AN1092" s="207"/>
      <c r="AO1092" s="207"/>
      <c r="AP1092" s="207"/>
      <c r="AQ1092" s="207"/>
      <c r="AR1092" s="207"/>
      <c r="AS1092" s="207"/>
      <c r="AT1092" s="207"/>
      <c r="AU1092" s="207"/>
      <c r="AV1092" s="207"/>
      <c r="AW1092" s="207"/>
      <c r="AX1092" s="207"/>
      <c r="AY1092" s="207"/>
      <c r="AZ1092" s="207"/>
      <c r="BA1092" s="207"/>
      <c r="BB1092" s="207"/>
      <c r="BC1092" s="207"/>
      <c r="BD1092" s="207"/>
      <c r="BE1092" s="208"/>
    </row>
    <row r="1093" spans="1:57" s="202" customFormat="1" ht="24" customHeight="1">
      <c r="A1093" s="1070" t="s">
        <v>1023</v>
      </c>
      <c r="B1093" s="830" t="s">
        <v>1024</v>
      </c>
      <c r="C1093" s="872"/>
      <c r="D1093" s="204" t="s">
        <v>16</v>
      </c>
      <c r="E1093" s="205">
        <f t="shared" ref="E1093:J1093" si="363">E1094</f>
        <v>6.2899999999999998E-2</v>
      </c>
      <c r="F1093" s="205">
        <f t="shared" si="363"/>
        <v>6.2899999999999998E-2</v>
      </c>
      <c r="G1093" s="205">
        <f t="shared" si="363"/>
        <v>0</v>
      </c>
      <c r="H1093" s="205">
        <f t="shared" si="363"/>
        <v>0</v>
      </c>
      <c r="I1093" s="205">
        <f t="shared" si="363"/>
        <v>0</v>
      </c>
      <c r="J1093" s="205">
        <f t="shared" si="363"/>
        <v>0</v>
      </c>
      <c r="K1093" s="120">
        <f t="shared" si="357"/>
        <v>6.2899999999999998E-2</v>
      </c>
      <c r="L1093" s="340"/>
      <c r="M1093" s="206"/>
      <c r="N1093" s="263"/>
      <c r="O1093" s="428"/>
      <c r="P1093" s="207"/>
      <c r="Q1093" s="207"/>
      <c r="R1093" s="207"/>
      <c r="S1093" s="207"/>
      <c r="T1093" s="207"/>
      <c r="U1093" s="207"/>
      <c r="V1093" s="207"/>
      <c r="W1093" s="207"/>
      <c r="X1093" s="207"/>
      <c r="Y1093" s="207"/>
      <c r="Z1093" s="207"/>
      <c r="AA1093" s="207"/>
      <c r="AB1093" s="207"/>
      <c r="AC1093" s="207"/>
      <c r="AD1093" s="207"/>
      <c r="AE1093" s="207"/>
      <c r="AF1093" s="207"/>
      <c r="AG1093" s="207"/>
      <c r="AH1093" s="207"/>
      <c r="AI1093" s="207"/>
      <c r="AJ1093" s="207"/>
      <c r="AK1093" s="207"/>
      <c r="AL1093" s="207"/>
      <c r="AM1093" s="207"/>
      <c r="AN1093" s="207"/>
      <c r="AO1093" s="207"/>
      <c r="AP1093" s="207"/>
      <c r="AQ1093" s="207"/>
      <c r="AR1093" s="207"/>
      <c r="AS1093" s="207"/>
      <c r="AT1093" s="207"/>
      <c r="AU1093" s="207"/>
      <c r="AV1093" s="207"/>
      <c r="AW1093" s="207"/>
      <c r="AX1093" s="207"/>
      <c r="AY1093" s="207"/>
      <c r="AZ1093" s="207"/>
      <c r="BA1093" s="207"/>
      <c r="BB1093" s="207"/>
      <c r="BC1093" s="207"/>
      <c r="BD1093" s="207"/>
      <c r="BE1093" s="208"/>
    </row>
    <row r="1094" spans="1:57" s="202" customFormat="1" ht="43.5" customHeight="1">
      <c r="A1094" s="1071"/>
      <c r="B1094" s="969"/>
      <c r="C1094" s="872"/>
      <c r="D1094" s="211">
        <v>2021</v>
      </c>
      <c r="E1094" s="212">
        <f>F1094+G1094+H1094+I1094+J1094</f>
        <v>6.2899999999999998E-2</v>
      </c>
      <c r="F1094" s="212">
        <v>6.2899999999999998E-2</v>
      </c>
      <c r="G1094" s="212">
        <v>0</v>
      </c>
      <c r="H1094" s="212">
        <v>0</v>
      </c>
      <c r="I1094" s="212">
        <v>0</v>
      </c>
      <c r="J1094" s="212">
        <v>0</v>
      </c>
      <c r="K1094" s="120">
        <f t="shared" si="357"/>
        <v>6.2899999999999998E-2</v>
      </c>
      <c r="L1094" s="340"/>
      <c r="M1094" s="206"/>
      <c r="N1094" s="263"/>
      <c r="O1094" s="428"/>
      <c r="P1094" s="207"/>
      <c r="Q1094" s="207"/>
      <c r="R1094" s="207"/>
      <c r="S1094" s="207"/>
      <c r="T1094" s="207"/>
      <c r="U1094" s="207"/>
      <c r="V1094" s="207"/>
      <c r="W1094" s="207"/>
      <c r="X1094" s="207"/>
      <c r="Y1094" s="207"/>
      <c r="Z1094" s="207"/>
      <c r="AA1094" s="207"/>
      <c r="AB1094" s="207"/>
      <c r="AC1094" s="207"/>
      <c r="AD1094" s="207"/>
      <c r="AE1094" s="207"/>
      <c r="AF1094" s="207"/>
      <c r="AG1094" s="207"/>
      <c r="AH1094" s="207"/>
      <c r="AI1094" s="207"/>
      <c r="AJ1094" s="207"/>
      <c r="AK1094" s="207"/>
      <c r="AL1094" s="207"/>
      <c r="AM1094" s="207"/>
      <c r="AN1094" s="207"/>
      <c r="AO1094" s="207"/>
      <c r="AP1094" s="207"/>
      <c r="AQ1094" s="207"/>
      <c r="AR1094" s="207"/>
      <c r="AS1094" s="207"/>
      <c r="AT1094" s="207"/>
      <c r="AU1094" s="207"/>
      <c r="AV1094" s="207"/>
      <c r="AW1094" s="207"/>
      <c r="AX1094" s="207"/>
      <c r="AY1094" s="207"/>
      <c r="AZ1094" s="207"/>
      <c r="BA1094" s="207"/>
      <c r="BB1094" s="207"/>
      <c r="BC1094" s="207"/>
      <c r="BD1094" s="207"/>
      <c r="BE1094" s="208"/>
    </row>
    <row r="1095" spans="1:57" s="202" customFormat="1" ht="32.25" customHeight="1">
      <c r="A1095" s="1070" t="s">
        <v>1025</v>
      </c>
      <c r="B1095" s="830" t="s">
        <v>1026</v>
      </c>
      <c r="C1095" s="872"/>
      <c r="D1095" s="204" t="s">
        <v>429</v>
      </c>
      <c r="E1095" s="205">
        <f t="shared" ref="E1095:J1095" si="364">E1096</f>
        <v>1.34E-2</v>
      </c>
      <c r="F1095" s="205">
        <f t="shared" si="364"/>
        <v>1.34E-2</v>
      </c>
      <c r="G1095" s="205">
        <f t="shared" si="364"/>
        <v>0</v>
      </c>
      <c r="H1095" s="205">
        <f t="shared" si="364"/>
        <v>0</v>
      </c>
      <c r="I1095" s="205">
        <f t="shared" si="364"/>
        <v>0</v>
      </c>
      <c r="J1095" s="205">
        <f t="shared" si="364"/>
        <v>0</v>
      </c>
      <c r="K1095" s="120">
        <f t="shared" si="357"/>
        <v>1.34E-2</v>
      </c>
      <c r="L1095" s="340"/>
      <c r="M1095" s="206"/>
      <c r="N1095" s="263"/>
      <c r="O1095" s="428"/>
      <c r="P1095" s="207"/>
      <c r="Q1095" s="207"/>
      <c r="R1095" s="207"/>
      <c r="S1095" s="207"/>
      <c r="T1095" s="207"/>
      <c r="U1095" s="207"/>
      <c r="V1095" s="207"/>
      <c r="W1095" s="207"/>
      <c r="X1095" s="207"/>
      <c r="Y1095" s="207"/>
      <c r="Z1095" s="207"/>
      <c r="AA1095" s="207"/>
      <c r="AB1095" s="207"/>
      <c r="AC1095" s="207"/>
      <c r="AD1095" s="207"/>
      <c r="AE1095" s="207"/>
      <c r="AF1095" s="207"/>
      <c r="AG1095" s="207"/>
      <c r="AH1095" s="207"/>
      <c r="AI1095" s="207"/>
      <c r="AJ1095" s="207"/>
      <c r="AK1095" s="207"/>
      <c r="AL1095" s="207"/>
      <c r="AM1095" s="207"/>
      <c r="AN1095" s="207"/>
      <c r="AO1095" s="207"/>
      <c r="AP1095" s="207"/>
      <c r="AQ1095" s="207"/>
      <c r="AR1095" s="207"/>
      <c r="AS1095" s="207"/>
      <c r="AT1095" s="207"/>
      <c r="AU1095" s="207"/>
      <c r="AV1095" s="207"/>
      <c r="AW1095" s="207"/>
      <c r="AX1095" s="207"/>
      <c r="AY1095" s="207"/>
      <c r="AZ1095" s="207"/>
      <c r="BA1095" s="207"/>
      <c r="BB1095" s="207"/>
      <c r="BC1095" s="207"/>
      <c r="BD1095" s="207"/>
      <c r="BE1095" s="208"/>
    </row>
    <row r="1096" spans="1:57" s="202" customFormat="1" ht="36" customHeight="1">
      <c r="A1096" s="1071"/>
      <c r="B1096" s="969"/>
      <c r="C1096" s="872"/>
      <c r="D1096" s="211">
        <v>2022</v>
      </c>
      <c r="E1096" s="212">
        <f>F1096+G1096+H1096+I1096+J1096</f>
        <v>1.34E-2</v>
      </c>
      <c r="F1096" s="212">
        <v>1.34E-2</v>
      </c>
      <c r="G1096" s="212">
        <v>0</v>
      </c>
      <c r="H1096" s="212">
        <v>0</v>
      </c>
      <c r="I1096" s="212">
        <v>0</v>
      </c>
      <c r="J1096" s="212">
        <v>0</v>
      </c>
      <c r="K1096" s="120">
        <f t="shared" si="357"/>
        <v>1.34E-2</v>
      </c>
      <c r="L1096" s="340"/>
      <c r="M1096" s="206"/>
      <c r="N1096" s="263"/>
      <c r="O1096" s="428"/>
      <c r="P1096" s="207"/>
      <c r="Q1096" s="207"/>
      <c r="R1096" s="207"/>
      <c r="S1096" s="207"/>
      <c r="T1096" s="207"/>
      <c r="U1096" s="207"/>
      <c r="V1096" s="207"/>
      <c r="W1096" s="207"/>
      <c r="X1096" s="207"/>
      <c r="Y1096" s="207"/>
      <c r="Z1096" s="207"/>
      <c r="AA1096" s="207"/>
      <c r="AB1096" s="207"/>
      <c r="AC1096" s="207"/>
      <c r="AD1096" s="207"/>
      <c r="AE1096" s="207"/>
      <c r="AF1096" s="207"/>
      <c r="AG1096" s="207"/>
      <c r="AH1096" s="207"/>
      <c r="AI1096" s="207"/>
      <c r="AJ1096" s="207"/>
      <c r="AK1096" s="207"/>
      <c r="AL1096" s="207"/>
      <c r="AM1096" s="207"/>
      <c r="AN1096" s="207"/>
      <c r="AO1096" s="207"/>
      <c r="AP1096" s="207"/>
      <c r="AQ1096" s="207"/>
      <c r="AR1096" s="207"/>
      <c r="AS1096" s="207"/>
      <c r="AT1096" s="207"/>
      <c r="AU1096" s="207"/>
      <c r="AV1096" s="207"/>
      <c r="AW1096" s="207"/>
      <c r="AX1096" s="207"/>
      <c r="AY1096" s="207"/>
      <c r="AZ1096" s="207"/>
      <c r="BA1096" s="207"/>
      <c r="BB1096" s="207"/>
      <c r="BC1096" s="207"/>
      <c r="BD1096" s="207"/>
      <c r="BE1096" s="208"/>
    </row>
    <row r="1097" spans="1:57" s="202" customFormat="1" ht="32.25" customHeight="1">
      <c r="A1097" s="1070" t="s">
        <v>1027</v>
      </c>
      <c r="B1097" s="830" t="s">
        <v>1028</v>
      </c>
      <c r="C1097" s="872"/>
      <c r="D1097" s="204" t="s">
        <v>429</v>
      </c>
      <c r="E1097" s="205">
        <f t="shared" ref="E1097:J1097" si="365">E1098</f>
        <v>3.9109999999999999E-2</v>
      </c>
      <c r="F1097" s="205">
        <f t="shared" si="365"/>
        <v>3.9109999999999999E-2</v>
      </c>
      <c r="G1097" s="205">
        <f t="shared" si="365"/>
        <v>0</v>
      </c>
      <c r="H1097" s="205">
        <f t="shared" si="365"/>
        <v>0</v>
      </c>
      <c r="I1097" s="205">
        <f t="shared" si="365"/>
        <v>0</v>
      </c>
      <c r="J1097" s="205">
        <f t="shared" si="365"/>
        <v>0</v>
      </c>
      <c r="K1097" s="120">
        <f t="shared" si="357"/>
        <v>3.9109999999999999E-2</v>
      </c>
      <c r="L1097" s="340"/>
      <c r="M1097" s="206"/>
      <c r="N1097" s="263"/>
      <c r="O1097" s="428"/>
      <c r="P1097" s="207"/>
      <c r="Q1097" s="207"/>
      <c r="R1097" s="207"/>
      <c r="S1097" s="207"/>
      <c r="T1097" s="207"/>
      <c r="U1097" s="207"/>
      <c r="V1097" s="207"/>
      <c r="W1097" s="207"/>
      <c r="X1097" s="207"/>
      <c r="Y1097" s="207"/>
      <c r="Z1097" s="207"/>
      <c r="AA1097" s="207"/>
      <c r="AB1097" s="207"/>
      <c r="AC1097" s="207"/>
      <c r="AD1097" s="207"/>
      <c r="AE1097" s="207"/>
      <c r="AF1097" s="207"/>
      <c r="AG1097" s="207"/>
      <c r="AH1097" s="207"/>
      <c r="AI1097" s="207"/>
      <c r="AJ1097" s="207"/>
      <c r="AK1097" s="207"/>
      <c r="AL1097" s="207"/>
      <c r="AM1097" s="207"/>
      <c r="AN1097" s="207"/>
      <c r="AO1097" s="207"/>
      <c r="AP1097" s="207"/>
      <c r="AQ1097" s="207"/>
      <c r="AR1097" s="207"/>
      <c r="AS1097" s="207"/>
      <c r="AT1097" s="207"/>
      <c r="AU1097" s="207"/>
      <c r="AV1097" s="207"/>
      <c r="AW1097" s="207"/>
      <c r="AX1097" s="207"/>
      <c r="AY1097" s="207"/>
      <c r="AZ1097" s="207"/>
      <c r="BA1097" s="207"/>
      <c r="BB1097" s="207"/>
      <c r="BC1097" s="207"/>
      <c r="BD1097" s="207"/>
      <c r="BE1097" s="208"/>
    </row>
    <row r="1098" spans="1:57" s="202" customFormat="1" ht="37.5" customHeight="1">
      <c r="A1098" s="1071"/>
      <c r="B1098" s="969"/>
      <c r="C1098" s="872"/>
      <c r="D1098" s="211">
        <v>2022</v>
      </c>
      <c r="E1098" s="212">
        <f>F1098+G1098+H1098+I1098+J1098</f>
        <v>3.9109999999999999E-2</v>
      </c>
      <c r="F1098" s="212">
        <v>3.9109999999999999E-2</v>
      </c>
      <c r="G1098" s="212">
        <v>0</v>
      </c>
      <c r="H1098" s="212">
        <v>0</v>
      </c>
      <c r="I1098" s="212">
        <v>0</v>
      </c>
      <c r="J1098" s="212">
        <v>0</v>
      </c>
      <c r="K1098" s="120">
        <f t="shared" si="357"/>
        <v>3.9109999999999999E-2</v>
      </c>
      <c r="L1098" s="340"/>
      <c r="M1098" s="206"/>
      <c r="N1098" s="263"/>
      <c r="O1098" s="428"/>
      <c r="P1098" s="207"/>
      <c r="Q1098" s="207"/>
      <c r="R1098" s="207"/>
      <c r="S1098" s="207"/>
      <c r="T1098" s="207"/>
      <c r="U1098" s="207"/>
      <c r="V1098" s="207"/>
      <c r="W1098" s="207"/>
      <c r="X1098" s="207"/>
      <c r="Y1098" s="207"/>
      <c r="Z1098" s="207"/>
      <c r="AA1098" s="207"/>
      <c r="AB1098" s="207"/>
      <c r="AC1098" s="207"/>
      <c r="AD1098" s="207"/>
      <c r="AE1098" s="207"/>
      <c r="AF1098" s="207"/>
      <c r="AG1098" s="207"/>
      <c r="AH1098" s="207"/>
      <c r="AI1098" s="207"/>
      <c r="AJ1098" s="207"/>
      <c r="AK1098" s="207"/>
      <c r="AL1098" s="207"/>
      <c r="AM1098" s="207"/>
      <c r="AN1098" s="207"/>
      <c r="AO1098" s="207"/>
      <c r="AP1098" s="207"/>
      <c r="AQ1098" s="207"/>
      <c r="AR1098" s="207"/>
      <c r="AS1098" s="207"/>
      <c r="AT1098" s="207"/>
      <c r="AU1098" s="207"/>
      <c r="AV1098" s="207"/>
      <c r="AW1098" s="207"/>
      <c r="AX1098" s="207"/>
      <c r="AY1098" s="207"/>
      <c r="AZ1098" s="207"/>
      <c r="BA1098" s="207"/>
      <c r="BB1098" s="207"/>
      <c r="BC1098" s="207"/>
      <c r="BD1098" s="207"/>
      <c r="BE1098" s="208"/>
    </row>
    <row r="1099" spans="1:57" s="51" customFormat="1">
      <c r="A1099" s="1048" t="s">
        <v>1029</v>
      </c>
      <c r="B1099" s="838" t="s">
        <v>1030</v>
      </c>
      <c r="C1099" s="872"/>
      <c r="D1099" s="84" t="s">
        <v>429</v>
      </c>
      <c r="E1099" s="63">
        <f t="shared" ref="E1099:J1099" si="366">E1100</f>
        <v>4.2299999999999997E-2</v>
      </c>
      <c r="F1099" s="63">
        <f t="shared" si="366"/>
        <v>4.2299999999999997E-2</v>
      </c>
      <c r="G1099" s="63">
        <f t="shared" si="366"/>
        <v>0</v>
      </c>
      <c r="H1099" s="63">
        <f t="shared" si="366"/>
        <v>0</v>
      </c>
      <c r="I1099" s="63">
        <f t="shared" si="366"/>
        <v>0</v>
      </c>
      <c r="J1099" s="63">
        <f t="shared" si="366"/>
        <v>0</v>
      </c>
      <c r="K1099" s="86">
        <f t="shared" si="357"/>
        <v>4.2299999999999997E-2</v>
      </c>
      <c r="L1099" s="185"/>
      <c r="M1099" s="88"/>
      <c r="N1099" s="89"/>
      <c r="O1099" s="426"/>
      <c r="P1099" s="49"/>
      <c r="Q1099" s="49"/>
      <c r="R1099" s="49"/>
      <c r="S1099" s="49"/>
      <c r="T1099" s="49"/>
      <c r="U1099" s="49"/>
      <c r="V1099" s="49"/>
      <c r="W1099" s="49"/>
      <c r="X1099" s="49"/>
      <c r="Y1099" s="49"/>
      <c r="Z1099" s="49"/>
      <c r="AA1099" s="49"/>
      <c r="AB1099" s="49"/>
      <c r="AC1099" s="49"/>
      <c r="AD1099" s="49"/>
      <c r="AE1099" s="49"/>
      <c r="AF1099" s="49"/>
      <c r="AG1099" s="49"/>
      <c r="AH1099" s="49"/>
      <c r="AI1099" s="49"/>
      <c r="AJ1099" s="49"/>
      <c r="AK1099" s="49"/>
      <c r="AL1099" s="49"/>
      <c r="AM1099" s="49"/>
      <c r="AN1099" s="49"/>
      <c r="AO1099" s="49"/>
      <c r="AP1099" s="49"/>
      <c r="AQ1099" s="49"/>
      <c r="AR1099" s="49"/>
      <c r="AS1099" s="49"/>
      <c r="AT1099" s="49"/>
      <c r="AU1099" s="49"/>
      <c r="AV1099" s="49"/>
      <c r="AW1099" s="49"/>
      <c r="AX1099" s="49"/>
      <c r="AY1099" s="49"/>
      <c r="AZ1099" s="49"/>
      <c r="BA1099" s="49"/>
      <c r="BB1099" s="49"/>
      <c r="BC1099" s="49"/>
      <c r="BD1099" s="49"/>
      <c r="BE1099" s="68"/>
    </row>
    <row r="1100" spans="1:57" s="51" customFormat="1" ht="44.25" customHeight="1">
      <c r="A1100" s="1050"/>
      <c r="B1100" s="854"/>
      <c r="C1100" s="872"/>
      <c r="D1100" s="62">
        <v>2024</v>
      </c>
      <c r="E1100" s="63">
        <f>F1100</f>
        <v>4.2299999999999997E-2</v>
      </c>
      <c r="F1100" s="63">
        <v>4.2299999999999997E-2</v>
      </c>
      <c r="G1100" s="63">
        <v>0</v>
      </c>
      <c r="H1100" s="63">
        <v>0</v>
      </c>
      <c r="I1100" s="63">
        <v>0</v>
      </c>
      <c r="J1100" s="63">
        <v>0</v>
      </c>
      <c r="K1100" s="86">
        <f t="shared" si="357"/>
        <v>4.2299999999999997E-2</v>
      </c>
      <c r="L1100" s="185"/>
      <c r="M1100" s="88"/>
      <c r="N1100" s="89"/>
      <c r="O1100" s="426"/>
      <c r="P1100" s="49"/>
      <c r="Q1100" s="49"/>
      <c r="R1100" s="49"/>
      <c r="S1100" s="49"/>
      <c r="T1100" s="49"/>
      <c r="U1100" s="49"/>
      <c r="V1100" s="49"/>
      <c r="W1100" s="49"/>
      <c r="X1100" s="49"/>
      <c r="Y1100" s="49"/>
      <c r="Z1100" s="49"/>
      <c r="AA1100" s="49"/>
      <c r="AB1100" s="49"/>
      <c r="AC1100" s="49"/>
      <c r="AD1100" s="49"/>
      <c r="AE1100" s="49"/>
      <c r="AF1100" s="49"/>
      <c r="AG1100" s="49"/>
      <c r="AH1100" s="49"/>
      <c r="AI1100" s="49"/>
      <c r="AJ1100" s="49"/>
      <c r="AK1100" s="49"/>
      <c r="AL1100" s="49"/>
      <c r="AM1100" s="49"/>
      <c r="AN1100" s="49"/>
      <c r="AO1100" s="49"/>
      <c r="AP1100" s="49"/>
      <c r="AQ1100" s="49"/>
      <c r="AR1100" s="49"/>
      <c r="AS1100" s="49"/>
      <c r="AT1100" s="49"/>
      <c r="AU1100" s="49"/>
      <c r="AV1100" s="49"/>
      <c r="AW1100" s="49"/>
      <c r="AX1100" s="49"/>
      <c r="AY1100" s="49"/>
      <c r="AZ1100" s="49"/>
      <c r="BA1100" s="49"/>
      <c r="BB1100" s="49"/>
      <c r="BC1100" s="49"/>
      <c r="BD1100" s="49"/>
      <c r="BE1100" s="68"/>
    </row>
    <row r="1101" spans="1:57" s="51" customFormat="1">
      <c r="A1101" s="1048" t="s">
        <v>1031</v>
      </c>
      <c r="B1101" s="838" t="s">
        <v>1032</v>
      </c>
      <c r="C1101" s="872"/>
      <c r="D1101" s="84" t="s">
        <v>429</v>
      </c>
      <c r="E1101" s="63">
        <f t="shared" ref="E1101:J1101" si="367">E1102</f>
        <v>0.58819999999999995</v>
      </c>
      <c r="F1101" s="63">
        <f t="shared" si="367"/>
        <v>0.58819999999999995</v>
      </c>
      <c r="G1101" s="63">
        <f t="shared" si="367"/>
        <v>0</v>
      </c>
      <c r="H1101" s="63">
        <f t="shared" si="367"/>
        <v>0</v>
      </c>
      <c r="I1101" s="63">
        <f t="shared" si="367"/>
        <v>0</v>
      </c>
      <c r="J1101" s="63">
        <f t="shared" si="367"/>
        <v>0</v>
      </c>
      <c r="K1101" s="86">
        <f t="shared" si="357"/>
        <v>0.58819999999999995</v>
      </c>
      <c r="L1101" s="185"/>
      <c r="M1101" s="88"/>
      <c r="N1101" s="89"/>
      <c r="O1101" s="426"/>
      <c r="P1101" s="49"/>
      <c r="Q1101" s="49"/>
      <c r="R1101" s="49"/>
      <c r="S1101" s="49"/>
      <c r="T1101" s="49"/>
      <c r="U1101" s="49"/>
      <c r="V1101" s="49"/>
      <c r="W1101" s="49"/>
      <c r="X1101" s="49"/>
      <c r="Y1101" s="49"/>
      <c r="Z1101" s="49"/>
      <c r="AA1101" s="49"/>
      <c r="AB1101" s="49"/>
      <c r="AC1101" s="49"/>
      <c r="AD1101" s="49"/>
      <c r="AE1101" s="49"/>
      <c r="AF1101" s="49"/>
      <c r="AG1101" s="49"/>
      <c r="AH1101" s="49"/>
      <c r="AI1101" s="49"/>
      <c r="AJ1101" s="49"/>
      <c r="AK1101" s="49"/>
      <c r="AL1101" s="49"/>
      <c r="AM1101" s="49"/>
      <c r="AN1101" s="49"/>
      <c r="AO1101" s="49"/>
      <c r="AP1101" s="49"/>
      <c r="AQ1101" s="49"/>
      <c r="AR1101" s="49"/>
      <c r="AS1101" s="49"/>
      <c r="AT1101" s="49"/>
      <c r="AU1101" s="49"/>
      <c r="AV1101" s="49"/>
      <c r="AW1101" s="49"/>
      <c r="AX1101" s="49"/>
      <c r="AY1101" s="49"/>
      <c r="AZ1101" s="49"/>
      <c r="BA1101" s="49"/>
      <c r="BB1101" s="49"/>
      <c r="BC1101" s="49"/>
      <c r="BD1101" s="49"/>
      <c r="BE1101" s="68"/>
    </row>
    <row r="1102" spans="1:57" s="51" customFormat="1" ht="24" customHeight="1">
      <c r="A1102" s="1050"/>
      <c r="B1102" s="854"/>
      <c r="C1102" s="872"/>
      <c r="D1102" s="62">
        <v>2024</v>
      </c>
      <c r="E1102" s="63">
        <f>F1102</f>
        <v>0.58819999999999995</v>
      </c>
      <c r="F1102" s="63">
        <v>0.58819999999999995</v>
      </c>
      <c r="G1102" s="63">
        <v>0</v>
      </c>
      <c r="H1102" s="63">
        <v>0</v>
      </c>
      <c r="I1102" s="63">
        <v>0</v>
      </c>
      <c r="J1102" s="63">
        <v>0</v>
      </c>
      <c r="K1102" s="86">
        <f t="shared" si="357"/>
        <v>0.58819999999999995</v>
      </c>
      <c r="L1102" s="185"/>
      <c r="M1102" s="88"/>
      <c r="N1102" s="89"/>
      <c r="O1102" s="426"/>
      <c r="P1102" s="49"/>
      <c r="Q1102" s="49"/>
      <c r="R1102" s="49"/>
      <c r="S1102" s="49"/>
      <c r="T1102" s="49"/>
      <c r="U1102" s="49"/>
      <c r="V1102" s="49"/>
      <c r="W1102" s="49"/>
      <c r="X1102" s="49"/>
      <c r="Y1102" s="49"/>
      <c r="Z1102" s="49"/>
      <c r="AA1102" s="49"/>
      <c r="AB1102" s="49"/>
      <c r="AC1102" s="49"/>
      <c r="AD1102" s="49"/>
      <c r="AE1102" s="49"/>
      <c r="AF1102" s="49"/>
      <c r="AG1102" s="49"/>
      <c r="AH1102" s="49"/>
      <c r="AI1102" s="49"/>
      <c r="AJ1102" s="49"/>
      <c r="AK1102" s="49"/>
      <c r="AL1102" s="49"/>
      <c r="AM1102" s="49"/>
      <c r="AN1102" s="49"/>
      <c r="AO1102" s="49"/>
      <c r="AP1102" s="49"/>
      <c r="AQ1102" s="49"/>
      <c r="AR1102" s="49"/>
      <c r="AS1102" s="49"/>
      <c r="AT1102" s="49"/>
      <c r="AU1102" s="49"/>
      <c r="AV1102" s="49"/>
      <c r="AW1102" s="49"/>
      <c r="AX1102" s="49"/>
      <c r="AY1102" s="49"/>
      <c r="AZ1102" s="49"/>
      <c r="BA1102" s="49"/>
      <c r="BB1102" s="49"/>
      <c r="BC1102" s="49"/>
      <c r="BD1102" s="49"/>
      <c r="BE1102" s="68"/>
    </row>
    <row r="1103" spans="1:57" s="51" customFormat="1" ht="24" customHeight="1">
      <c r="A1103" s="1048" t="s">
        <v>1033</v>
      </c>
      <c r="B1103" s="838" t="s">
        <v>1034</v>
      </c>
      <c r="C1103" s="872"/>
      <c r="D1103" s="84" t="s">
        <v>429</v>
      </c>
      <c r="E1103" s="63">
        <f t="shared" ref="E1103:J1103" si="368">E1104</f>
        <v>3.7679999999999998E-2</v>
      </c>
      <c r="F1103" s="63">
        <f t="shared" si="368"/>
        <v>3.7679999999999998E-2</v>
      </c>
      <c r="G1103" s="63">
        <f t="shared" si="368"/>
        <v>0</v>
      </c>
      <c r="H1103" s="63">
        <f t="shared" si="368"/>
        <v>0</v>
      </c>
      <c r="I1103" s="63">
        <f t="shared" si="368"/>
        <v>0</v>
      </c>
      <c r="J1103" s="63">
        <f t="shared" si="368"/>
        <v>0</v>
      </c>
      <c r="K1103" s="86">
        <f t="shared" si="357"/>
        <v>3.7679999999999998E-2</v>
      </c>
      <c r="L1103" s="185"/>
      <c r="M1103" s="88"/>
      <c r="N1103" s="89"/>
      <c r="O1103" s="426"/>
      <c r="P1103" s="49"/>
      <c r="Q1103" s="49"/>
      <c r="R1103" s="49"/>
      <c r="S1103" s="49"/>
      <c r="T1103" s="49"/>
      <c r="U1103" s="49"/>
      <c r="V1103" s="49"/>
      <c r="W1103" s="49"/>
      <c r="X1103" s="49"/>
      <c r="Y1103" s="49"/>
      <c r="Z1103" s="49"/>
      <c r="AA1103" s="49"/>
      <c r="AB1103" s="49"/>
      <c r="AC1103" s="49"/>
      <c r="AD1103" s="49"/>
      <c r="AE1103" s="49"/>
      <c r="AF1103" s="49"/>
      <c r="AG1103" s="49"/>
      <c r="AH1103" s="49"/>
      <c r="AI1103" s="49"/>
      <c r="AJ1103" s="49"/>
      <c r="AK1103" s="49"/>
      <c r="AL1103" s="49"/>
      <c r="AM1103" s="49"/>
      <c r="AN1103" s="49"/>
      <c r="AO1103" s="49"/>
      <c r="AP1103" s="49"/>
      <c r="AQ1103" s="49"/>
      <c r="AR1103" s="49"/>
      <c r="AS1103" s="49"/>
      <c r="AT1103" s="49"/>
      <c r="AU1103" s="49"/>
      <c r="AV1103" s="49"/>
      <c r="AW1103" s="49"/>
      <c r="AX1103" s="49"/>
      <c r="AY1103" s="49"/>
      <c r="AZ1103" s="49"/>
      <c r="BA1103" s="49"/>
      <c r="BB1103" s="49"/>
      <c r="BC1103" s="49"/>
      <c r="BD1103" s="49"/>
      <c r="BE1103" s="68"/>
    </row>
    <row r="1104" spans="1:57" s="51" customFormat="1" ht="43.5" customHeight="1">
      <c r="A1104" s="1050"/>
      <c r="B1104" s="854"/>
      <c r="C1104" s="873"/>
      <c r="D1104" s="429">
        <v>2023</v>
      </c>
      <c r="E1104" s="63">
        <f>F1104</f>
        <v>3.7679999999999998E-2</v>
      </c>
      <c r="F1104" s="63">
        <v>3.7679999999999998E-2</v>
      </c>
      <c r="G1104" s="63">
        <v>0</v>
      </c>
      <c r="H1104" s="63">
        <v>0</v>
      </c>
      <c r="I1104" s="63">
        <v>0</v>
      </c>
      <c r="J1104" s="63">
        <v>0</v>
      </c>
      <c r="K1104" s="86">
        <f t="shared" si="357"/>
        <v>3.7679999999999998E-2</v>
      </c>
      <c r="L1104" s="185"/>
      <c r="M1104" s="88"/>
      <c r="N1104" s="89"/>
      <c r="O1104" s="426"/>
      <c r="P1104" s="49"/>
      <c r="Q1104" s="49"/>
      <c r="R1104" s="49"/>
      <c r="S1104" s="49"/>
      <c r="T1104" s="49"/>
      <c r="U1104" s="49"/>
      <c r="V1104" s="49"/>
      <c r="W1104" s="49"/>
      <c r="X1104" s="49"/>
      <c r="Y1104" s="49"/>
      <c r="Z1104" s="49"/>
      <c r="AA1104" s="49"/>
      <c r="AB1104" s="49"/>
      <c r="AC1104" s="49"/>
      <c r="AD1104" s="49"/>
      <c r="AE1104" s="49"/>
      <c r="AF1104" s="49"/>
      <c r="AG1104" s="49"/>
      <c r="AH1104" s="49"/>
      <c r="AI1104" s="49"/>
      <c r="AJ1104" s="49"/>
      <c r="AK1104" s="49"/>
      <c r="AL1104" s="49"/>
      <c r="AM1104" s="49"/>
      <c r="AN1104" s="49"/>
      <c r="AO1104" s="49"/>
      <c r="AP1104" s="49"/>
      <c r="AQ1104" s="49"/>
      <c r="AR1104" s="49"/>
      <c r="AS1104" s="49"/>
      <c r="AT1104" s="49"/>
      <c r="AU1104" s="49"/>
      <c r="AV1104" s="49"/>
      <c r="AW1104" s="49"/>
      <c r="AX1104" s="49"/>
      <c r="AY1104" s="49"/>
      <c r="AZ1104" s="49"/>
      <c r="BA1104" s="49"/>
      <c r="BB1104" s="49"/>
      <c r="BC1104" s="49"/>
      <c r="BD1104" s="49"/>
      <c r="BE1104" s="68"/>
    </row>
    <row r="1105" spans="1:57" s="51" customFormat="1">
      <c r="A1105" s="1048" t="s">
        <v>1035</v>
      </c>
      <c r="B1105" s="915" t="s">
        <v>1036</v>
      </c>
      <c r="C1105" s="69"/>
      <c r="D1105" s="84" t="s">
        <v>429</v>
      </c>
      <c r="E1105" s="63">
        <f t="shared" ref="E1105:J1105" si="369">E1106+E1107+E1108</f>
        <v>2.6711</v>
      </c>
      <c r="F1105" s="63">
        <f t="shared" si="369"/>
        <v>2.6711</v>
      </c>
      <c r="G1105" s="63">
        <f t="shared" si="369"/>
        <v>0</v>
      </c>
      <c r="H1105" s="63">
        <f t="shared" si="369"/>
        <v>0</v>
      </c>
      <c r="I1105" s="63">
        <f t="shared" si="369"/>
        <v>0</v>
      </c>
      <c r="J1105" s="63">
        <f t="shared" si="369"/>
        <v>0</v>
      </c>
      <c r="K1105" s="86">
        <f t="shared" si="357"/>
        <v>2.6711</v>
      </c>
      <c r="L1105" s="185"/>
      <c r="M1105" s="88"/>
      <c r="N1105" s="89"/>
      <c r="O1105" s="426"/>
      <c r="P1105" s="49"/>
      <c r="Q1105" s="49"/>
      <c r="R1105" s="49"/>
      <c r="S1105" s="49"/>
      <c r="T1105" s="49"/>
      <c r="U1105" s="49"/>
      <c r="V1105" s="49"/>
      <c r="W1105" s="49"/>
      <c r="X1105" s="49"/>
      <c r="Y1105" s="49"/>
      <c r="Z1105" s="49"/>
      <c r="AA1105" s="49"/>
      <c r="AB1105" s="49"/>
      <c r="AC1105" s="49"/>
      <c r="AD1105" s="49"/>
      <c r="AE1105" s="49"/>
      <c r="AF1105" s="49"/>
      <c r="AG1105" s="49"/>
      <c r="AH1105" s="49"/>
      <c r="AI1105" s="49"/>
      <c r="AJ1105" s="49"/>
      <c r="AK1105" s="49"/>
      <c r="AL1105" s="49"/>
      <c r="AM1105" s="49"/>
      <c r="AN1105" s="49"/>
      <c r="AO1105" s="49"/>
      <c r="AP1105" s="49"/>
      <c r="AQ1105" s="49"/>
      <c r="AR1105" s="49"/>
      <c r="AS1105" s="49"/>
      <c r="AT1105" s="49"/>
      <c r="AU1105" s="49"/>
      <c r="AV1105" s="49"/>
      <c r="AW1105" s="49"/>
      <c r="AX1105" s="49"/>
      <c r="AY1105" s="49"/>
      <c r="AZ1105" s="49"/>
      <c r="BA1105" s="49"/>
      <c r="BB1105" s="49"/>
      <c r="BC1105" s="49"/>
      <c r="BD1105" s="49"/>
      <c r="BE1105" s="68"/>
    </row>
    <row r="1106" spans="1:57" s="51" customFormat="1">
      <c r="A1106" s="1049"/>
      <c r="B1106" s="916"/>
      <c r="C1106" s="69"/>
      <c r="D1106" s="62">
        <v>2023</v>
      </c>
      <c r="E1106" s="63">
        <f>F1106</f>
        <v>0.83989999999999998</v>
      </c>
      <c r="F1106" s="63">
        <v>0.83989999999999998</v>
      </c>
      <c r="G1106" s="63">
        <f t="shared" ref="G1106:J1108" si="370">G1107+G1108+G1109</f>
        <v>0</v>
      </c>
      <c r="H1106" s="63">
        <f t="shared" si="370"/>
        <v>0</v>
      </c>
      <c r="I1106" s="63">
        <f t="shared" si="370"/>
        <v>0</v>
      </c>
      <c r="J1106" s="63">
        <f t="shared" si="370"/>
        <v>0</v>
      </c>
      <c r="K1106" s="86">
        <f t="shared" si="357"/>
        <v>0.83989999999999998</v>
      </c>
      <c r="L1106" s="185"/>
      <c r="M1106" s="88"/>
      <c r="N1106" s="89"/>
      <c r="O1106" s="426"/>
      <c r="P1106" s="49"/>
      <c r="Q1106" s="49"/>
      <c r="R1106" s="49"/>
      <c r="S1106" s="49"/>
      <c r="T1106" s="49"/>
      <c r="U1106" s="49"/>
      <c r="V1106" s="49"/>
      <c r="W1106" s="49"/>
      <c r="X1106" s="49"/>
      <c r="Y1106" s="49"/>
      <c r="Z1106" s="49"/>
      <c r="AA1106" s="49"/>
      <c r="AB1106" s="49"/>
      <c r="AC1106" s="49"/>
      <c r="AD1106" s="49"/>
      <c r="AE1106" s="49"/>
      <c r="AF1106" s="49"/>
      <c r="AG1106" s="49"/>
      <c r="AH1106" s="49"/>
      <c r="AI1106" s="49"/>
      <c r="AJ1106" s="49"/>
      <c r="AK1106" s="49"/>
      <c r="AL1106" s="49"/>
      <c r="AM1106" s="49"/>
      <c r="AN1106" s="49"/>
      <c r="AO1106" s="49"/>
      <c r="AP1106" s="49"/>
      <c r="AQ1106" s="49"/>
      <c r="AR1106" s="49"/>
      <c r="AS1106" s="49"/>
      <c r="AT1106" s="49"/>
      <c r="AU1106" s="49"/>
      <c r="AV1106" s="49"/>
      <c r="AW1106" s="49"/>
      <c r="AX1106" s="49"/>
      <c r="AY1106" s="49"/>
      <c r="AZ1106" s="49"/>
      <c r="BA1106" s="49"/>
      <c r="BB1106" s="49"/>
      <c r="BC1106" s="49"/>
      <c r="BD1106" s="49"/>
      <c r="BE1106" s="68"/>
    </row>
    <row r="1107" spans="1:57" s="51" customFormat="1">
      <c r="A1107" s="1049"/>
      <c r="B1107" s="916"/>
      <c r="C1107" s="69"/>
      <c r="D1107" s="62">
        <v>2024</v>
      </c>
      <c r="E1107" s="63">
        <f>F1107</f>
        <v>0.89770000000000005</v>
      </c>
      <c r="F1107" s="63">
        <v>0.89770000000000005</v>
      </c>
      <c r="G1107" s="63">
        <f t="shared" si="370"/>
        <v>0</v>
      </c>
      <c r="H1107" s="63">
        <f t="shared" si="370"/>
        <v>0</v>
      </c>
      <c r="I1107" s="63">
        <f t="shared" si="370"/>
        <v>0</v>
      </c>
      <c r="J1107" s="63">
        <f t="shared" si="370"/>
        <v>0</v>
      </c>
      <c r="K1107" s="86">
        <f t="shared" si="357"/>
        <v>0.89770000000000005</v>
      </c>
      <c r="L1107" s="185"/>
      <c r="M1107" s="88"/>
      <c r="N1107" s="89"/>
      <c r="O1107" s="426"/>
      <c r="P1107" s="49"/>
      <c r="Q1107" s="49"/>
      <c r="R1107" s="49"/>
      <c r="S1107" s="49"/>
      <c r="T1107" s="49"/>
      <c r="U1107" s="49"/>
      <c r="V1107" s="49"/>
      <c r="W1107" s="49"/>
      <c r="X1107" s="49"/>
      <c r="Y1107" s="49"/>
      <c r="Z1107" s="49"/>
      <c r="AA1107" s="49"/>
      <c r="AB1107" s="49"/>
      <c r="AC1107" s="49"/>
      <c r="AD1107" s="49"/>
      <c r="AE1107" s="49"/>
      <c r="AF1107" s="49"/>
      <c r="AG1107" s="49"/>
      <c r="AH1107" s="49"/>
      <c r="AI1107" s="49"/>
      <c r="AJ1107" s="49"/>
      <c r="AK1107" s="49"/>
      <c r="AL1107" s="49"/>
      <c r="AM1107" s="49"/>
      <c r="AN1107" s="49"/>
      <c r="AO1107" s="49"/>
      <c r="AP1107" s="49"/>
      <c r="AQ1107" s="49"/>
      <c r="AR1107" s="49"/>
      <c r="AS1107" s="49"/>
      <c r="AT1107" s="49"/>
      <c r="AU1107" s="49"/>
      <c r="AV1107" s="49"/>
      <c r="AW1107" s="49"/>
      <c r="AX1107" s="49"/>
      <c r="AY1107" s="49"/>
      <c r="AZ1107" s="49"/>
      <c r="BA1107" s="49"/>
      <c r="BB1107" s="49"/>
      <c r="BC1107" s="49"/>
      <c r="BD1107" s="49"/>
      <c r="BE1107" s="68"/>
    </row>
    <row r="1108" spans="1:57" s="51" customFormat="1">
      <c r="A1108" s="1049"/>
      <c r="B1108" s="916"/>
      <c r="C1108" s="69"/>
      <c r="D1108" s="62">
        <v>2025</v>
      </c>
      <c r="E1108" s="63">
        <f>F1108</f>
        <v>0.9335</v>
      </c>
      <c r="F1108" s="63">
        <v>0.9335</v>
      </c>
      <c r="G1108" s="63">
        <f t="shared" si="370"/>
        <v>0</v>
      </c>
      <c r="H1108" s="63">
        <f t="shared" si="370"/>
        <v>0</v>
      </c>
      <c r="I1108" s="63">
        <f t="shared" si="370"/>
        <v>0</v>
      </c>
      <c r="J1108" s="63">
        <f t="shared" si="370"/>
        <v>0</v>
      </c>
      <c r="K1108" s="86">
        <f t="shared" si="357"/>
        <v>0.9335</v>
      </c>
      <c r="L1108" s="185"/>
      <c r="M1108" s="88"/>
      <c r="N1108" s="89"/>
      <c r="O1108" s="426"/>
      <c r="P1108" s="49"/>
      <c r="Q1108" s="49"/>
      <c r="R1108" s="49"/>
      <c r="S1108" s="49"/>
      <c r="T1108" s="49"/>
      <c r="U1108" s="49"/>
      <c r="V1108" s="49"/>
      <c r="W1108" s="49"/>
      <c r="X1108" s="49"/>
      <c r="Y1108" s="49"/>
      <c r="Z1108" s="49"/>
      <c r="AA1108" s="49"/>
      <c r="AB1108" s="49"/>
      <c r="AC1108" s="49"/>
      <c r="AD1108" s="49"/>
      <c r="AE1108" s="49"/>
      <c r="AF1108" s="49"/>
      <c r="AG1108" s="49"/>
      <c r="AH1108" s="49"/>
      <c r="AI1108" s="49"/>
      <c r="AJ1108" s="49"/>
      <c r="AK1108" s="49"/>
      <c r="AL1108" s="49"/>
      <c r="AM1108" s="49"/>
      <c r="AN1108" s="49"/>
      <c r="AO1108" s="49"/>
      <c r="AP1108" s="49"/>
      <c r="AQ1108" s="49"/>
      <c r="AR1108" s="49"/>
      <c r="AS1108" s="49"/>
      <c r="AT1108" s="49"/>
      <c r="AU1108" s="49"/>
      <c r="AV1108" s="49"/>
      <c r="AW1108" s="49"/>
      <c r="AX1108" s="49"/>
      <c r="AY1108" s="49"/>
      <c r="AZ1108" s="49"/>
      <c r="BA1108" s="49"/>
      <c r="BB1108" s="49"/>
      <c r="BC1108" s="49"/>
      <c r="BD1108" s="49"/>
      <c r="BE1108" s="68"/>
    </row>
    <row r="1109" spans="1:57" s="51" customFormat="1" ht="11.25" customHeight="1">
      <c r="A1109" s="1066" t="s">
        <v>1037</v>
      </c>
      <c r="B1109" s="929" t="s">
        <v>1038</v>
      </c>
      <c r="C1109" s="1077" t="s">
        <v>1039</v>
      </c>
      <c r="D1109" s="84" t="s">
        <v>16</v>
      </c>
      <c r="E1109" s="313">
        <f>SUM(E1110:E1117)</f>
        <v>15.13419</v>
      </c>
      <c r="F1109" s="313">
        <f>SUM(F1110:F1117)</f>
        <v>15.13419</v>
      </c>
      <c r="G1109" s="313">
        <f>SUM(G1110:G1117)</f>
        <v>0</v>
      </c>
      <c r="H1109" s="313">
        <f>SUM(H1110:H1117)</f>
        <v>0</v>
      </c>
      <c r="I1109" s="313">
        <f>SUM(I1110:I1117)</f>
        <v>0</v>
      </c>
      <c r="J1109" s="313">
        <f>J1118+J1135</f>
        <v>0</v>
      </c>
      <c r="K1109" s="86">
        <f t="shared" si="357"/>
        <v>15.13419</v>
      </c>
      <c r="L1109" s="136"/>
      <c r="M1109" s="88"/>
      <c r="N1109" s="89"/>
      <c r="O1109" s="995" t="s">
        <v>360</v>
      </c>
      <c r="P1109" s="49"/>
      <c r="Q1109" s="49"/>
      <c r="R1109" s="49"/>
      <c r="S1109" s="49"/>
      <c r="T1109" s="49"/>
      <c r="U1109" s="49"/>
      <c r="V1109" s="49"/>
      <c r="W1109" s="49"/>
      <c r="X1109" s="49"/>
      <c r="Y1109" s="49"/>
      <c r="Z1109" s="49"/>
      <c r="AA1109" s="49"/>
      <c r="AB1109" s="49"/>
      <c r="AC1109" s="49"/>
      <c r="AD1109" s="49"/>
      <c r="AE1109" s="49"/>
      <c r="AF1109" s="49"/>
      <c r="AG1109" s="49"/>
      <c r="AH1109" s="49"/>
      <c r="AI1109" s="49"/>
      <c r="AJ1109" s="49"/>
      <c r="AK1109" s="49"/>
      <c r="AL1109" s="49"/>
      <c r="AM1109" s="49"/>
      <c r="AN1109" s="49"/>
      <c r="AO1109" s="49"/>
      <c r="AP1109" s="49"/>
      <c r="AQ1109" s="49"/>
      <c r="AR1109" s="49"/>
      <c r="AS1109" s="49"/>
      <c r="AT1109" s="49"/>
      <c r="AU1109" s="49"/>
      <c r="AV1109" s="49"/>
      <c r="AW1109" s="49"/>
      <c r="AX1109" s="49"/>
      <c r="AY1109" s="49"/>
      <c r="AZ1109" s="49"/>
      <c r="BA1109" s="49"/>
      <c r="BB1109" s="49"/>
      <c r="BC1109" s="49"/>
      <c r="BD1109" s="49"/>
      <c r="BE1109" s="68"/>
    </row>
    <row r="1110" spans="1:57" s="202" customFormat="1">
      <c r="A1110" s="1067"/>
      <c r="B1110" s="953"/>
      <c r="C1110" s="1077"/>
      <c r="D1110" s="204">
        <v>2019</v>
      </c>
      <c r="E1110" s="431">
        <f t="shared" ref="E1110:J1110" si="371">E1119+E1144</f>
        <v>1.27329</v>
      </c>
      <c r="F1110" s="431">
        <f t="shared" si="371"/>
        <v>1.27329</v>
      </c>
      <c r="G1110" s="431">
        <f t="shared" si="371"/>
        <v>0</v>
      </c>
      <c r="H1110" s="431">
        <f t="shared" si="371"/>
        <v>0</v>
      </c>
      <c r="I1110" s="431">
        <f t="shared" si="371"/>
        <v>0</v>
      </c>
      <c r="J1110" s="431">
        <f t="shared" si="371"/>
        <v>0</v>
      </c>
      <c r="K1110" s="120">
        <f t="shared" ref="K1110:K1141" si="372">F1110+G1110+H1110+I1110+J1110</f>
        <v>1.27329</v>
      </c>
      <c r="L1110" s="431"/>
      <c r="M1110" s="206"/>
      <c r="N1110" s="263"/>
      <c r="O1110" s="834"/>
      <c r="P1110" s="207"/>
      <c r="Q1110" s="207"/>
      <c r="R1110" s="207"/>
      <c r="S1110" s="207"/>
      <c r="T1110" s="207"/>
      <c r="U1110" s="207"/>
      <c r="V1110" s="207"/>
      <c r="W1110" s="207"/>
      <c r="X1110" s="207"/>
      <c r="Y1110" s="207"/>
      <c r="Z1110" s="207"/>
      <c r="AA1110" s="207"/>
      <c r="AB1110" s="207"/>
      <c r="AC1110" s="207"/>
      <c r="AD1110" s="207"/>
      <c r="AE1110" s="207"/>
      <c r="AF1110" s="207"/>
      <c r="AG1110" s="207"/>
      <c r="AH1110" s="207"/>
      <c r="AI1110" s="207"/>
      <c r="AJ1110" s="207"/>
      <c r="AK1110" s="207"/>
      <c r="AL1110" s="207"/>
      <c r="AM1110" s="207"/>
      <c r="AN1110" s="207"/>
      <c r="AO1110" s="207"/>
      <c r="AP1110" s="207"/>
      <c r="AQ1110" s="207"/>
      <c r="AR1110" s="207"/>
      <c r="AS1110" s="207"/>
      <c r="AT1110" s="207"/>
      <c r="AU1110" s="207"/>
      <c r="AV1110" s="207"/>
      <c r="AW1110" s="207"/>
      <c r="AX1110" s="207"/>
      <c r="AY1110" s="207"/>
      <c r="AZ1110" s="207"/>
      <c r="BA1110" s="207"/>
      <c r="BB1110" s="207"/>
      <c r="BC1110" s="207"/>
      <c r="BD1110" s="207"/>
      <c r="BE1110" s="208"/>
    </row>
    <row r="1111" spans="1:57" s="202" customFormat="1">
      <c r="A1111" s="1067"/>
      <c r="B1111" s="953"/>
      <c r="C1111" s="1077"/>
      <c r="D1111" s="204">
        <v>2020</v>
      </c>
      <c r="E1111" s="431">
        <f t="shared" ref="E1111:E1117" si="373">E1120+E1145</f>
        <v>1.1821999999999999</v>
      </c>
      <c r="F1111" s="431">
        <f>F1120+F1137</f>
        <v>1.1821999999999999</v>
      </c>
      <c r="G1111" s="431">
        <f t="shared" ref="G1111:J1117" si="374">G1120+G1145</f>
        <v>0</v>
      </c>
      <c r="H1111" s="431">
        <f t="shared" si="374"/>
        <v>0</v>
      </c>
      <c r="I1111" s="431">
        <f t="shared" si="374"/>
        <v>0</v>
      </c>
      <c r="J1111" s="431">
        <f t="shared" si="374"/>
        <v>0</v>
      </c>
      <c r="K1111" s="120">
        <f t="shared" si="372"/>
        <v>1.1821999999999999</v>
      </c>
      <c r="L1111" s="431"/>
      <c r="M1111" s="206"/>
      <c r="N1111" s="263"/>
      <c r="O1111" s="834"/>
      <c r="P1111" s="207"/>
      <c r="Q1111" s="207"/>
      <c r="R1111" s="207"/>
      <c r="S1111" s="207"/>
      <c r="T1111" s="207"/>
      <c r="U1111" s="207"/>
      <c r="V1111" s="207"/>
      <c r="W1111" s="207"/>
      <c r="X1111" s="207"/>
      <c r="Y1111" s="207"/>
      <c r="Z1111" s="207"/>
      <c r="AA1111" s="207"/>
      <c r="AB1111" s="207"/>
      <c r="AC1111" s="207"/>
      <c r="AD1111" s="207"/>
      <c r="AE1111" s="207"/>
      <c r="AF1111" s="207"/>
      <c r="AG1111" s="207"/>
      <c r="AH1111" s="207"/>
      <c r="AI1111" s="207"/>
      <c r="AJ1111" s="207"/>
      <c r="AK1111" s="207"/>
      <c r="AL1111" s="207"/>
      <c r="AM1111" s="207"/>
      <c r="AN1111" s="207"/>
      <c r="AO1111" s="207"/>
      <c r="AP1111" s="207"/>
      <c r="AQ1111" s="207"/>
      <c r="AR1111" s="207"/>
      <c r="AS1111" s="207"/>
      <c r="AT1111" s="207"/>
      <c r="AU1111" s="207"/>
      <c r="AV1111" s="207"/>
      <c r="AW1111" s="207"/>
      <c r="AX1111" s="207"/>
      <c r="AY1111" s="207"/>
      <c r="AZ1111" s="207"/>
      <c r="BA1111" s="207"/>
      <c r="BB1111" s="207"/>
      <c r="BC1111" s="207"/>
      <c r="BD1111" s="207"/>
      <c r="BE1111" s="208"/>
    </row>
    <row r="1112" spans="1:57" s="202" customFormat="1">
      <c r="A1112" s="1067"/>
      <c r="B1112" s="953"/>
      <c r="C1112" s="1077"/>
      <c r="D1112" s="204">
        <v>2021</v>
      </c>
      <c r="E1112" s="431">
        <f t="shared" si="373"/>
        <v>1.2294</v>
      </c>
      <c r="F1112" s="431">
        <f t="shared" ref="F1112:F1117" si="375">F1121+F1146</f>
        <v>1.2294</v>
      </c>
      <c r="G1112" s="431">
        <f t="shared" si="374"/>
        <v>0</v>
      </c>
      <c r="H1112" s="431">
        <f t="shared" si="374"/>
        <v>0</v>
      </c>
      <c r="I1112" s="431">
        <f t="shared" si="374"/>
        <v>0</v>
      </c>
      <c r="J1112" s="431">
        <f t="shared" si="374"/>
        <v>0</v>
      </c>
      <c r="K1112" s="120">
        <f t="shared" si="372"/>
        <v>1.2294</v>
      </c>
      <c r="L1112" s="431"/>
      <c r="M1112" s="206"/>
      <c r="N1112" s="263"/>
      <c r="O1112" s="834"/>
      <c r="P1112" s="207"/>
      <c r="Q1112" s="207"/>
      <c r="R1112" s="207"/>
      <c r="S1112" s="207"/>
      <c r="T1112" s="207"/>
      <c r="U1112" s="207"/>
      <c r="V1112" s="207"/>
      <c r="W1112" s="207"/>
      <c r="X1112" s="207"/>
      <c r="Y1112" s="207"/>
      <c r="Z1112" s="207"/>
      <c r="AA1112" s="207"/>
      <c r="AB1112" s="207"/>
      <c r="AC1112" s="207"/>
      <c r="AD1112" s="207"/>
      <c r="AE1112" s="207"/>
      <c r="AF1112" s="207"/>
      <c r="AG1112" s="207"/>
      <c r="AH1112" s="207"/>
      <c r="AI1112" s="207"/>
      <c r="AJ1112" s="207"/>
      <c r="AK1112" s="207"/>
      <c r="AL1112" s="207"/>
      <c r="AM1112" s="207"/>
      <c r="AN1112" s="207"/>
      <c r="AO1112" s="207"/>
      <c r="AP1112" s="207"/>
      <c r="AQ1112" s="207"/>
      <c r="AR1112" s="207"/>
      <c r="AS1112" s="207"/>
      <c r="AT1112" s="207"/>
      <c r="AU1112" s="207"/>
      <c r="AV1112" s="207"/>
      <c r="AW1112" s="207"/>
      <c r="AX1112" s="207"/>
      <c r="AY1112" s="207"/>
      <c r="AZ1112" s="207"/>
      <c r="BA1112" s="207"/>
      <c r="BB1112" s="207"/>
      <c r="BC1112" s="207"/>
      <c r="BD1112" s="207"/>
      <c r="BE1112" s="208"/>
    </row>
    <row r="1113" spans="1:57" s="202" customFormat="1">
      <c r="A1113" s="1086"/>
      <c r="B1113" s="868"/>
      <c r="C1113" s="1077"/>
      <c r="D1113" s="204">
        <v>2022</v>
      </c>
      <c r="E1113" s="431">
        <f t="shared" si="373"/>
        <v>1.2786999999999999</v>
      </c>
      <c r="F1113" s="431">
        <f t="shared" si="375"/>
        <v>1.2786999999999999</v>
      </c>
      <c r="G1113" s="431">
        <f t="shared" si="374"/>
        <v>0</v>
      </c>
      <c r="H1113" s="431">
        <f t="shared" si="374"/>
        <v>0</v>
      </c>
      <c r="I1113" s="431">
        <f t="shared" si="374"/>
        <v>0</v>
      </c>
      <c r="J1113" s="431">
        <f t="shared" si="374"/>
        <v>0</v>
      </c>
      <c r="K1113" s="120">
        <f t="shared" si="372"/>
        <v>1.2786999999999999</v>
      </c>
      <c r="L1113" s="431"/>
      <c r="M1113" s="206"/>
      <c r="N1113" s="263"/>
      <c r="O1113" s="834"/>
      <c r="P1113" s="207"/>
      <c r="Q1113" s="207"/>
      <c r="R1113" s="207"/>
      <c r="S1113" s="207"/>
      <c r="T1113" s="207"/>
      <c r="U1113" s="207"/>
      <c r="V1113" s="207"/>
      <c r="W1113" s="207"/>
      <c r="X1113" s="207"/>
      <c r="Y1113" s="207"/>
      <c r="Z1113" s="207"/>
      <c r="AA1113" s="207"/>
      <c r="AB1113" s="207"/>
      <c r="AC1113" s="207"/>
      <c r="AD1113" s="207"/>
      <c r="AE1113" s="207"/>
      <c r="AF1113" s="207"/>
      <c r="AG1113" s="207"/>
      <c r="AH1113" s="207"/>
      <c r="AI1113" s="207"/>
      <c r="AJ1113" s="207"/>
      <c r="AK1113" s="207"/>
      <c r="AL1113" s="207"/>
      <c r="AM1113" s="207"/>
      <c r="AN1113" s="207"/>
      <c r="AO1113" s="207"/>
      <c r="AP1113" s="207"/>
      <c r="AQ1113" s="207"/>
      <c r="AR1113" s="207"/>
      <c r="AS1113" s="207"/>
      <c r="AT1113" s="207"/>
      <c r="AU1113" s="207"/>
      <c r="AV1113" s="207"/>
      <c r="AW1113" s="207"/>
      <c r="AX1113" s="207"/>
      <c r="AY1113" s="207"/>
      <c r="AZ1113" s="207"/>
      <c r="BA1113" s="207"/>
      <c r="BB1113" s="207"/>
      <c r="BC1113" s="207"/>
      <c r="BD1113" s="207"/>
      <c r="BE1113" s="208"/>
    </row>
    <row r="1114" spans="1:57" s="202" customFormat="1">
      <c r="A1114" s="1086"/>
      <c r="B1114" s="868"/>
      <c r="C1114" s="1077"/>
      <c r="D1114" s="204">
        <v>2023</v>
      </c>
      <c r="E1114" s="431">
        <f t="shared" si="373"/>
        <v>1.8199000000000001</v>
      </c>
      <c r="F1114" s="431">
        <f t="shared" si="375"/>
        <v>1.8199000000000001</v>
      </c>
      <c r="G1114" s="431">
        <f t="shared" si="374"/>
        <v>0</v>
      </c>
      <c r="H1114" s="431">
        <f t="shared" si="374"/>
        <v>0</v>
      </c>
      <c r="I1114" s="431">
        <f t="shared" si="374"/>
        <v>0</v>
      </c>
      <c r="J1114" s="431">
        <f t="shared" si="374"/>
        <v>0</v>
      </c>
      <c r="K1114" s="120">
        <f t="shared" si="372"/>
        <v>1.8199000000000001</v>
      </c>
      <c r="L1114" s="431"/>
      <c r="M1114" s="206"/>
      <c r="N1114" s="263"/>
      <c r="O1114" s="834"/>
      <c r="P1114" s="207"/>
      <c r="Q1114" s="207"/>
      <c r="R1114" s="207"/>
      <c r="S1114" s="207"/>
      <c r="T1114" s="207"/>
      <c r="U1114" s="207"/>
      <c r="V1114" s="207"/>
      <c r="W1114" s="207"/>
      <c r="X1114" s="207"/>
      <c r="Y1114" s="207"/>
      <c r="Z1114" s="207"/>
      <c r="AA1114" s="207"/>
      <c r="AB1114" s="207"/>
      <c r="AC1114" s="207"/>
      <c r="AD1114" s="207"/>
      <c r="AE1114" s="207"/>
      <c r="AF1114" s="207"/>
      <c r="AG1114" s="207"/>
      <c r="AH1114" s="207"/>
      <c r="AI1114" s="207"/>
      <c r="AJ1114" s="207"/>
      <c r="AK1114" s="207"/>
      <c r="AL1114" s="207"/>
      <c r="AM1114" s="207"/>
      <c r="AN1114" s="207"/>
      <c r="AO1114" s="207"/>
      <c r="AP1114" s="207"/>
      <c r="AQ1114" s="207"/>
      <c r="AR1114" s="207"/>
      <c r="AS1114" s="207"/>
      <c r="AT1114" s="207"/>
      <c r="AU1114" s="207"/>
      <c r="AV1114" s="207"/>
      <c r="AW1114" s="207"/>
      <c r="AX1114" s="207"/>
      <c r="AY1114" s="207"/>
      <c r="AZ1114" s="207"/>
      <c r="BA1114" s="207"/>
      <c r="BB1114" s="207"/>
      <c r="BC1114" s="207"/>
      <c r="BD1114" s="207"/>
      <c r="BE1114" s="208"/>
    </row>
    <row r="1115" spans="1:57" s="51" customFormat="1">
      <c r="A1115" s="1086"/>
      <c r="B1115" s="868"/>
      <c r="C1115" s="1077"/>
      <c r="D1115" s="84">
        <v>2024</v>
      </c>
      <c r="E1115" s="136">
        <f t="shared" si="373"/>
        <v>1.2056</v>
      </c>
      <c r="F1115" s="136">
        <f t="shared" si="375"/>
        <v>1.2056</v>
      </c>
      <c r="G1115" s="136">
        <f t="shared" si="374"/>
        <v>0</v>
      </c>
      <c r="H1115" s="136">
        <f t="shared" si="374"/>
        <v>0</v>
      </c>
      <c r="I1115" s="136">
        <f t="shared" si="374"/>
        <v>0</v>
      </c>
      <c r="J1115" s="136">
        <f t="shared" si="374"/>
        <v>0</v>
      </c>
      <c r="K1115" s="86">
        <f t="shared" si="372"/>
        <v>1.2056</v>
      </c>
      <c r="L1115" s="136"/>
      <c r="M1115" s="88"/>
      <c r="N1115" s="89"/>
      <c r="O1115" s="834"/>
      <c r="P1115" s="49"/>
      <c r="Q1115" s="49"/>
      <c r="R1115" s="49"/>
      <c r="S1115" s="49"/>
      <c r="T1115" s="49"/>
      <c r="U1115" s="49"/>
      <c r="V1115" s="49"/>
      <c r="W1115" s="49"/>
      <c r="X1115" s="49"/>
      <c r="Y1115" s="49"/>
      <c r="Z1115" s="49"/>
      <c r="AA1115" s="49"/>
      <c r="AB1115" s="49"/>
      <c r="AC1115" s="49"/>
      <c r="AD1115" s="49"/>
      <c r="AE1115" s="49"/>
      <c r="AF1115" s="49"/>
      <c r="AG1115" s="49"/>
      <c r="AH1115" s="49"/>
      <c r="AI1115" s="49"/>
      <c r="AJ1115" s="49"/>
      <c r="AK1115" s="49"/>
      <c r="AL1115" s="49"/>
      <c r="AM1115" s="49"/>
      <c r="AN1115" s="49"/>
      <c r="AO1115" s="49"/>
      <c r="AP1115" s="49"/>
      <c r="AQ1115" s="49"/>
      <c r="AR1115" s="49"/>
      <c r="AS1115" s="49"/>
      <c r="AT1115" s="49"/>
      <c r="AU1115" s="49"/>
      <c r="AV1115" s="49"/>
      <c r="AW1115" s="49"/>
      <c r="AX1115" s="49"/>
      <c r="AY1115" s="49"/>
      <c r="AZ1115" s="49"/>
      <c r="BA1115" s="49"/>
      <c r="BB1115" s="49"/>
      <c r="BC1115" s="49"/>
      <c r="BD1115" s="49"/>
      <c r="BE1115" s="68"/>
    </row>
    <row r="1116" spans="1:57" s="51" customFormat="1">
      <c r="A1116" s="1086"/>
      <c r="B1116" s="868"/>
      <c r="C1116" s="1077"/>
      <c r="D1116" s="84">
        <v>2025</v>
      </c>
      <c r="E1116" s="136">
        <f t="shared" si="373"/>
        <v>2.3277999999999999</v>
      </c>
      <c r="F1116" s="136">
        <f t="shared" si="375"/>
        <v>2.3277999999999999</v>
      </c>
      <c r="G1116" s="136">
        <f t="shared" si="374"/>
        <v>0</v>
      </c>
      <c r="H1116" s="136">
        <f t="shared" si="374"/>
        <v>0</v>
      </c>
      <c r="I1116" s="136">
        <f t="shared" si="374"/>
        <v>0</v>
      </c>
      <c r="J1116" s="136">
        <f t="shared" si="374"/>
        <v>0</v>
      </c>
      <c r="K1116" s="86">
        <f t="shared" si="372"/>
        <v>2.3277999999999999</v>
      </c>
      <c r="L1116" s="136"/>
      <c r="M1116" s="88"/>
      <c r="N1116" s="89"/>
      <c r="O1116" s="834"/>
      <c r="P1116" s="49"/>
      <c r="Q1116" s="49"/>
      <c r="R1116" s="49"/>
      <c r="S1116" s="49"/>
      <c r="T1116" s="49"/>
      <c r="U1116" s="49"/>
      <c r="V1116" s="49"/>
      <c r="W1116" s="49"/>
      <c r="X1116" s="49"/>
      <c r="Y1116" s="49"/>
      <c r="Z1116" s="49"/>
      <c r="AA1116" s="49"/>
      <c r="AB1116" s="49"/>
      <c r="AC1116" s="49"/>
      <c r="AD1116" s="49"/>
      <c r="AE1116" s="49"/>
      <c r="AF1116" s="49"/>
      <c r="AG1116" s="49"/>
      <c r="AH1116" s="49"/>
      <c r="AI1116" s="49"/>
      <c r="AJ1116" s="49"/>
      <c r="AK1116" s="49"/>
      <c r="AL1116" s="49"/>
      <c r="AM1116" s="49"/>
      <c r="AN1116" s="49"/>
      <c r="AO1116" s="49"/>
      <c r="AP1116" s="49"/>
      <c r="AQ1116" s="49"/>
      <c r="AR1116" s="49"/>
      <c r="AS1116" s="49"/>
      <c r="AT1116" s="49"/>
      <c r="AU1116" s="49"/>
      <c r="AV1116" s="49"/>
      <c r="AW1116" s="49"/>
      <c r="AX1116" s="49"/>
      <c r="AY1116" s="49"/>
      <c r="AZ1116" s="49"/>
      <c r="BA1116" s="49"/>
      <c r="BB1116" s="49"/>
      <c r="BC1116" s="49"/>
      <c r="BD1116" s="49"/>
      <c r="BE1116" s="68"/>
    </row>
    <row r="1117" spans="1:57" s="51" customFormat="1">
      <c r="A1117" s="1086"/>
      <c r="B1117" s="868"/>
      <c r="C1117" s="1077"/>
      <c r="D1117" s="84">
        <v>2026</v>
      </c>
      <c r="E1117" s="136">
        <f t="shared" si="373"/>
        <v>4.8173000000000004</v>
      </c>
      <c r="F1117" s="136">
        <f t="shared" si="375"/>
        <v>4.8173000000000004</v>
      </c>
      <c r="G1117" s="136">
        <f t="shared" si="374"/>
        <v>0</v>
      </c>
      <c r="H1117" s="136">
        <f t="shared" si="374"/>
        <v>0</v>
      </c>
      <c r="I1117" s="136">
        <f t="shared" si="374"/>
        <v>0</v>
      </c>
      <c r="J1117" s="136">
        <f t="shared" si="374"/>
        <v>0</v>
      </c>
      <c r="K1117" s="86">
        <f t="shared" si="372"/>
        <v>4.8173000000000004</v>
      </c>
      <c r="L1117" s="136"/>
      <c r="M1117" s="88"/>
      <c r="N1117" s="89"/>
      <c r="O1117" s="834"/>
      <c r="P1117" s="49"/>
      <c r="Q1117" s="49"/>
      <c r="R1117" s="49"/>
      <c r="S1117" s="49"/>
      <c r="T1117" s="49"/>
      <c r="U1117" s="49"/>
      <c r="V1117" s="49"/>
      <c r="W1117" s="49"/>
      <c r="X1117" s="49"/>
      <c r="Y1117" s="49"/>
      <c r="Z1117" s="49"/>
      <c r="AA1117" s="49"/>
      <c r="AB1117" s="49"/>
      <c r="AC1117" s="49"/>
      <c r="AD1117" s="49"/>
      <c r="AE1117" s="49"/>
      <c r="AF1117" s="49"/>
      <c r="AG1117" s="49"/>
      <c r="AH1117" s="49"/>
      <c r="AI1117" s="49"/>
      <c r="AJ1117" s="49"/>
      <c r="AK1117" s="49"/>
      <c r="AL1117" s="49"/>
      <c r="AM1117" s="49"/>
      <c r="AN1117" s="49"/>
      <c r="AO1117" s="49"/>
      <c r="AP1117" s="49"/>
      <c r="AQ1117" s="49"/>
      <c r="AR1117" s="49"/>
      <c r="AS1117" s="49"/>
      <c r="AT1117" s="49"/>
      <c r="AU1117" s="49"/>
      <c r="AV1117" s="49"/>
      <c r="AW1117" s="49"/>
      <c r="AX1117" s="49"/>
      <c r="AY1117" s="49"/>
      <c r="AZ1117" s="49"/>
      <c r="BA1117" s="49"/>
      <c r="BB1117" s="49"/>
      <c r="BC1117" s="49"/>
      <c r="BD1117" s="49"/>
      <c r="BE1117" s="68"/>
    </row>
    <row r="1118" spans="1:57" s="51" customFormat="1">
      <c r="A1118" s="1078" t="s">
        <v>1040</v>
      </c>
      <c r="B1118" s="1080" t="s">
        <v>1041</v>
      </c>
      <c r="C1118" s="106"/>
      <c r="D1118" s="84" t="s">
        <v>16</v>
      </c>
      <c r="E1118" s="313">
        <f t="shared" ref="E1118:J1118" si="376">E1119+E1120+E1121+E1122+E1123+E1124+E1125+E1126</f>
        <v>6.6882999999999999</v>
      </c>
      <c r="F1118" s="313">
        <f t="shared" si="376"/>
        <v>6.6882999999999999</v>
      </c>
      <c r="G1118" s="313">
        <f t="shared" si="376"/>
        <v>0</v>
      </c>
      <c r="H1118" s="313">
        <f t="shared" si="376"/>
        <v>0</v>
      </c>
      <c r="I1118" s="313">
        <f t="shared" si="376"/>
        <v>0</v>
      </c>
      <c r="J1118" s="313">
        <f t="shared" si="376"/>
        <v>0</v>
      </c>
      <c r="K1118" s="86">
        <f t="shared" si="372"/>
        <v>6.6882999999999999</v>
      </c>
      <c r="L1118" s="136"/>
      <c r="M1118" s="88"/>
      <c r="N1118" s="89"/>
      <c r="O1118" s="834"/>
      <c r="P1118" s="49"/>
      <c r="Q1118" s="49"/>
      <c r="R1118" s="49"/>
      <c r="S1118" s="49"/>
      <c r="T1118" s="49"/>
      <c r="U1118" s="49"/>
      <c r="V1118" s="49"/>
      <c r="W1118" s="49"/>
      <c r="X1118" s="49"/>
      <c r="Y1118" s="49"/>
      <c r="Z1118" s="49"/>
      <c r="AA1118" s="49"/>
      <c r="AB1118" s="49"/>
      <c r="AC1118" s="49"/>
      <c r="AD1118" s="49"/>
      <c r="AE1118" s="49"/>
      <c r="AF1118" s="49"/>
      <c r="AG1118" s="49"/>
      <c r="AH1118" s="49"/>
      <c r="AI1118" s="49"/>
      <c r="AJ1118" s="49"/>
      <c r="AK1118" s="49"/>
      <c r="AL1118" s="49"/>
      <c r="AM1118" s="49"/>
      <c r="AN1118" s="49"/>
      <c r="AO1118" s="49"/>
      <c r="AP1118" s="49"/>
      <c r="AQ1118" s="49"/>
      <c r="AR1118" s="49"/>
      <c r="AS1118" s="49"/>
      <c r="AT1118" s="49"/>
      <c r="AU1118" s="49"/>
      <c r="AV1118" s="49"/>
      <c r="AW1118" s="49"/>
      <c r="AX1118" s="49"/>
      <c r="AY1118" s="49"/>
      <c r="AZ1118" s="49"/>
      <c r="BA1118" s="49"/>
      <c r="BB1118" s="49"/>
      <c r="BC1118" s="49"/>
      <c r="BD1118" s="49"/>
      <c r="BE1118" s="68"/>
    </row>
    <row r="1119" spans="1:57" s="202" customFormat="1" ht="12.75" customHeight="1">
      <c r="A1119" s="1079"/>
      <c r="B1119" s="960"/>
      <c r="C1119" s="432"/>
      <c r="D1119" s="211">
        <v>2019</v>
      </c>
      <c r="E1119" s="212">
        <f t="shared" ref="E1119:E1129" si="377">F1119+G1119+H1119+I1119+J1119</f>
        <v>0.74270000000000003</v>
      </c>
      <c r="F1119" s="212">
        <f t="shared" ref="F1119:J1120" si="378">F1127</f>
        <v>0.74270000000000003</v>
      </c>
      <c r="G1119" s="212">
        <f t="shared" si="378"/>
        <v>0</v>
      </c>
      <c r="H1119" s="212">
        <f t="shared" si="378"/>
        <v>0</v>
      </c>
      <c r="I1119" s="212">
        <f t="shared" si="378"/>
        <v>0</v>
      </c>
      <c r="J1119" s="212">
        <f t="shared" si="378"/>
        <v>0</v>
      </c>
      <c r="K1119" s="120">
        <f t="shared" si="372"/>
        <v>0.74270000000000003</v>
      </c>
      <c r="L1119" s="433"/>
      <c r="M1119" s="206"/>
      <c r="N1119" s="263"/>
      <c r="O1119" s="834"/>
      <c r="P1119" s="207"/>
      <c r="Q1119" s="207"/>
      <c r="R1119" s="207"/>
      <c r="S1119" s="207"/>
      <c r="T1119" s="207"/>
      <c r="U1119" s="207"/>
      <c r="V1119" s="207"/>
      <c r="W1119" s="207"/>
      <c r="X1119" s="207"/>
      <c r="Y1119" s="207"/>
      <c r="Z1119" s="207"/>
      <c r="AA1119" s="207"/>
      <c r="AB1119" s="207"/>
      <c r="AC1119" s="207"/>
      <c r="AD1119" s="207"/>
      <c r="AE1119" s="207"/>
      <c r="AF1119" s="207"/>
      <c r="AG1119" s="207"/>
      <c r="AH1119" s="207"/>
      <c r="AI1119" s="207"/>
      <c r="AJ1119" s="207"/>
      <c r="AK1119" s="207"/>
      <c r="AL1119" s="207"/>
      <c r="AM1119" s="207"/>
      <c r="AN1119" s="207"/>
      <c r="AO1119" s="207"/>
      <c r="AP1119" s="207"/>
      <c r="AQ1119" s="207"/>
      <c r="AR1119" s="207"/>
      <c r="AS1119" s="207"/>
      <c r="AT1119" s="207"/>
      <c r="AU1119" s="207"/>
      <c r="AV1119" s="207"/>
      <c r="AW1119" s="207"/>
      <c r="AX1119" s="207"/>
      <c r="AY1119" s="207"/>
      <c r="AZ1119" s="207"/>
      <c r="BA1119" s="207"/>
      <c r="BB1119" s="207"/>
      <c r="BC1119" s="207"/>
      <c r="BD1119" s="207"/>
      <c r="BE1119" s="208"/>
    </row>
    <row r="1120" spans="1:57" s="219" customFormat="1" ht="12.75" customHeight="1">
      <c r="A1120" s="1079"/>
      <c r="B1120" s="960"/>
      <c r="C1120" s="434"/>
      <c r="D1120" s="197">
        <v>2020</v>
      </c>
      <c r="E1120" s="198">
        <f t="shared" si="377"/>
        <v>0.4511</v>
      </c>
      <c r="F1120" s="198">
        <f t="shared" si="378"/>
        <v>0.4511</v>
      </c>
      <c r="G1120" s="198">
        <f t="shared" si="378"/>
        <v>0</v>
      </c>
      <c r="H1120" s="198">
        <f t="shared" si="378"/>
        <v>0</v>
      </c>
      <c r="I1120" s="198">
        <f t="shared" si="378"/>
        <v>0</v>
      </c>
      <c r="J1120" s="198">
        <f t="shared" si="378"/>
        <v>0</v>
      </c>
      <c r="K1120" s="129">
        <f t="shared" si="372"/>
        <v>0.4511</v>
      </c>
      <c r="L1120" s="241"/>
      <c r="M1120" s="220"/>
      <c r="N1120" s="225"/>
      <c r="O1120" s="834"/>
      <c r="P1120" s="221"/>
      <c r="Q1120" s="221"/>
      <c r="R1120" s="221"/>
      <c r="S1120" s="221"/>
      <c r="T1120" s="221"/>
      <c r="U1120" s="221"/>
      <c r="V1120" s="221"/>
      <c r="W1120" s="221"/>
      <c r="X1120" s="221"/>
      <c r="Y1120" s="221"/>
      <c r="Z1120" s="221"/>
      <c r="AA1120" s="221"/>
      <c r="AB1120" s="221"/>
      <c r="AC1120" s="221"/>
      <c r="AD1120" s="221"/>
      <c r="AE1120" s="221"/>
      <c r="AF1120" s="221"/>
      <c r="AG1120" s="221"/>
      <c r="AH1120" s="221"/>
      <c r="AI1120" s="221"/>
      <c r="AJ1120" s="221"/>
      <c r="AK1120" s="221"/>
      <c r="AL1120" s="221"/>
      <c r="AM1120" s="221"/>
      <c r="AN1120" s="221"/>
      <c r="AO1120" s="221"/>
      <c r="AP1120" s="221"/>
      <c r="AQ1120" s="221"/>
      <c r="AR1120" s="221"/>
      <c r="AS1120" s="221"/>
      <c r="AT1120" s="221"/>
      <c r="AU1120" s="221"/>
      <c r="AV1120" s="221"/>
      <c r="AW1120" s="221"/>
      <c r="AX1120" s="221"/>
      <c r="AY1120" s="221"/>
      <c r="AZ1120" s="221"/>
      <c r="BA1120" s="221"/>
      <c r="BB1120" s="221"/>
      <c r="BC1120" s="221"/>
      <c r="BD1120" s="221"/>
      <c r="BE1120" s="222"/>
    </row>
    <row r="1121" spans="1:57" s="219" customFormat="1" ht="12" customHeight="1">
      <c r="A1121" s="1079"/>
      <c r="B1121" s="960"/>
      <c r="C1121" s="434"/>
      <c r="D1121" s="197">
        <v>2021</v>
      </c>
      <c r="E1121" s="198">
        <f t="shared" si="377"/>
        <v>0.46910000000000002</v>
      </c>
      <c r="F1121" s="198">
        <f>F1129</f>
        <v>0.46910000000000002</v>
      </c>
      <c r="G1121" s="198">
        <f t="shared" ref="G1121:J1122" si="379">G1134</f>
        <v>0</v>
      </c>
      <c r="H1121" s="198">
        <f t="shared" si="379"/>
        <v>0</v>
      </c>
      <c r="I1121" s="198">
        <f t="shared" si="379"/>
        <v>0</v>
      </c>
      <c r="J1121" s="198">
        <f t="shared" si="379"/>
        <v>0</v>
      </c>
      <c r="K1121" s="129">
        <f t="shared" si="372"/>
        <v>0.46910000000000002</v>
      </c>
      <c r="L1121" s="241"/>
      <c r="M1121" s="220"/>
      <c r="N1121" s="225"/>
      <c r="O1121" s="834"/>
      <c r="P1121" s="221"/>
      <c r="Q1121" s="221"/>
      <c r="R1121" s="221"/>
      <c r="S1121" s="221"/>
      <c r="T1121" s="221"/>
      <c r="U1121" s="221"/>
      <c r="V1121" s="221"/>
      <c r="W1121" s="221"/>
      <c r="X1121" s="221"/>
      <c r="Y1121" s="221"/>
      <c r="Z1121" s="221"/>
      <c r="AA1121" s="221"/>
      <c r="AB1121" s="221"/>
      <c r="AC1121" s="221"/>
      <c r="AD1121" s="221"/>
      <c r="AE1121" s="221"/>
      <c r="AF1121" s="221"/>
      <c r="AG1121" s="221"/>
      <c r="AH1121" s="221"/>
      <c r="AI1121" s="221"/>
      <c r="AJ1121" s="221"/>
      <c r="AK1121" s="221"/>
      <c r="AL1121" s="221"/>
      <c r="AM1121" s="221"/>
      <c r="AN1121" s="221"/>
      <c r="AO1121" s="221"/>
      <c r="AP1121" s="221"/>
      <c r="AQ1121" s="221"/>
      <c r="AR1121" s="221"/>
      <c r="AS1121" s="221"/>
      <c r="AT1121" s="221"/>
      <c r="AU1121" s="221"/>
      <c r="AV1121" s="221"/>
      <c r="AW1121" s="221"/>
      <c r="AX1121" s="221"/>
      <c r="AY1121" s="221"/>
      <c r="AZ1121" s="221"/>
      <c r="BA1121" s="221"/>
      <c r="BB1121" s="221"/>
      <c r="BC1121" s="221"/>
      <c r="BD1121" s="221"/>
      <c r="BE1121" s="222"/>
    </row>
    <row r="1122" spans="1:57" s="219" customFormat="1" ht="12" customHeight="1">
      <c r="A1122" s="1079"/>
      <c r="B1122" s="960"/>
      <c r="C1122" s="434"/>
      <c r="D1122" s="197">
        <v>2022</v>
      </c>
      <c r="E1122" s="198">
        <f t="shared" si="377"/>
        <v>0.4879</v>
      </c>
      <c r="F1122" s="198">
        <f>F1130</f>
        <v>0.4879</v>
      </c>
      <c r="G1122" s="198">
        <f t="shared" si="379"/>
        <v>0</v>
      </c>
      <c r="H1122" s="198">
        <f t="shared" si="379"/>
        <v>0</v>
      </c>
      <c r="I1122" s="198">
        <f t="shared" si="379"/>
        <v>0</v>
      </c>
      <c r="J1122" s="198">
        <f t="shared" si="379"/>
        <v>0</v>
      </c>
      <c r="K1122" s="129">
        <f t="shared" si="372"/>
        <v>0.4879</v>
      </c>
      <c r="L1122" s="241"/>
      <c r="M1122" s="220"/>
      <c r="N1122" s="225"/>
      <c r="O1122" s="834"/>
      <c r="P1122" s="221"/>
      <c r="Q1122" s="221"/>
      <c r="R1122" s="221"/>
      <c r="S1122" s="221"/>
      <c r="T1122" s="221"/>
      <c r="U1122" s="221"/>
      <c r="V1122" s="221"/>
      <c r="W1122" s="221"/>
      <c r="X1122" s="221"/>
      <c r="Y1122" s="221"/>
      <c r="Z1122" s="221"/>
      <c r="AA1122" s="221"/>
      <c r="AB1122" s="221"/>
      <c r="AC1122" s="221"/>
      <c r="AD1122" s="221"/>
      <c r="AE1122" s="221"/>
      <c r="AF1122" s="221"/>
      <c r="AG1122" s="221"/>
      <c r="AH1122" s="221"/>
      <c r="AI1122" s="221"/>
      <c r="AJ1122" s="221"/>
      <c r="AK1122" s="221"/>
      <c r="AL1122" s="221"/>
      <c r="AM1122" s="221"/>
      <c r="AN1122" s="221"/>
      <c r="AO1122" s="221"/>
      <c r="AP1122" s="221"/>
      <c r="AQ1122" s="221"/>
      <c r="AR1122" s="221"/>
      <c r="AS1122" s="221"/>
      <c r="AT1122" s="221"/>
      <c r="AU1122" s="221"/>
      <c r="AV1122" s="221"/>
      <c r="AW1122" s="221"/>
      <c r="AX1122" s="221"/>
      <c r="AY1122" s="221"/>
      <c r="AZ1122" s="221"/>
      <c r="BA1122" s="221"/>
      <c r="BB1122" s="221"/>
      <c r="BC1122" s="221"/>
      <c r="BD1122" s="221"/>
      <c r="BE1122" s="222"/>
    </row>
    <row r="1123" spans="1:57" s="51" customFormat="1" ht="12" customHeight="1">
      <c r="A1123" s="1079"/>
      <c r="B1123" s="960"/>
      <c r="C1123" s="106"/>
      <c r="D1123" s="62">
        <v>2023</v>
      </c>
      <c r="E1123" s="63">
        <f t="shared" si="377"/>
        <v>0.99750000000000005</v>
      </c>
      <c r="F1123" s="63">
        <f>F1131+F1140</f>
        <v>0.99750000000000005</v>
      </c>
      <c r="G1123" s="63">
        <f t="shared" ref="G1123:J1126" si="380">G1131</f>
        <v>0</v>
      </c>
      <c r="H1123" s="63">
        <f t="shared" si="380"/>
        <v>0</v>
      </c>
      <c r="I1123" s="63">
        <f t="shared" si="380"/>
        <v>0</v>
      </c>
      <c r="J1123" s="63">
        <f t="shared" si="380"/>
        <v>0</v>
      </c>
      <c r="K1123" s="86">
        <f t="shared" si="372"/>
        <v>0.99750000000000005</v>
      </c>
      <c r="L1123" s="216"/>
      <c r="M1123" s="88"/>
      <c r="N1123" s="89"/>
      <c r="O1123" s="834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49"/>
      <c r="AU1123" s="49"/>
      <c r="AV1123" s="49"/>
      <c r="AW1123" s="49"/>
      <c r="AX1123" s="49"/>
      <c r="AY1123" s="49"/>
      <c r="AZ1123" s="49"/>
      <c r="BA1123" s="49"/>
      <c r="BB1123" s="49"/>
      <c r="BC1123" s="49"/>
      <c r="BD1123" s="49"/>
      <c r="BE1123" s="68"/>
    </row>
    <row r="1124" spans="1:57" s="51" customFormat="1" ht="12" customHeight="1">
      <c r="A1124" s="1079"/>
      <c r="B1124" s="960"/>
      <c r="C1124" s="106"/>
      <c r="D1124" s="62">
        <v>2024</v>
      </c>
      <c r="E1124" s="63">
        <f t="shared" si="377"/>
        <v>0.3503</v>
      </c>
      <c r="F1124" s="63">
        <f>F1132</f>
        <v>0.3503</v>
      </c>
      <c r="G1124" s="63">
        <f t="shared" si="380"/>
        <v>0</v>
      </c>
      <c r="H1124" s="63">
        <f t="shared" si="380"/>
        <v>0</v>
      </c>
      <c r="I1124" s="63">
        <f t="shared" si="380"/>
        <v>0</v>
      </c>
      <c r="J1124" s="63">
        <f t="shared" si="380"/>
        <v>0</v>
      </c>
      <c r="K1124" s="86">
        <f t="shared" si="372"/>
        <v>0.3503</v>
      </c>
      <c r="L1124" s="216"/>
      <c r="M1124" s="88"/>
      <c r="N1124" s="89"/>
      <c r="O1124" s="834"/>
      <c r="P1124" s="49"/>
      <c r="Q1124" s="49"/>
      <c r="R1124" s="49"/>
      <c r="S1124" s="49"/>
      <c r="T1124" s="49"/>
      <c r="U1124" s="49"/>
      <c r="V1124" s="49"/>
      <c r="W1124" s="49"/>
      <c r="X1124" s="49"/>
      <c r="Y1124" s="49"/>
      <c r="Z1124" s="49"/>
      <c r="AA1124" s="49"/>
      <c r="AB1124" s="49"/>
      <c r="AC1124" s="49"/>
      <c r="AD1124" s="49"/>
      <c r="AE1124" s="49"/>
      <c r="AF1124" s="49"/>
      <c r="AG1124" s="49"/>
      <c r="AH1124" s="49"/>
      <c r="AI1124" s="49"/>
      <c r="AJ1124" s="49"/>
      <c r="AK1124" s="49"/>
      <c r="AL1124" s="49"/>
      <c r="AM1124" s="49"/>
      <c r="AN1124" s="49"/>
      <c r="AO1124" s="49"/>
      <c r="AP1124" s="49"/>
      <c r="AQ1124" s="49"/>
      <c r="AR1124" s="49"/>
      <c r="AS1124" s="49"/>
      <c r="AT1124" s="49"/>
      <c r="AU1124" s="49"/>
      <c r="AV1124" s="49"/>
      <c r="AW1124" s="49"/>
      <c r="AX1124" s="49"/>
      <c r="AY1124" s="49"/>
      <c r="AZ1124" s="49"/>
      <c r="BA1124" s="49"/>
      <c r="BB1124" s="49"/>
      <c r="BC1124" s="49"/>
      <c r="BD1124" s="49"/>
      <c r="BE1124" s="68"/>
    </row>
    <row r="1125" spans="1:57" s="51" customFormat="1" ht="12" customHeight="1">
      <c r="A1125" s="1079"/>
      <c r="B1125" s="960"/>
      <c r="C1125" s="106"/>
      <c r="D1125" s="62">
        <v>2025</v>
      </c>
      <c r="E1125" s="63">
        <f t="shared" si="377"/>
        <v>1.4382999999999999</v>
      </c>
      <c r="F1125" s="63">
        <f>F1133+F1150</f>
        <v>1.4382999999999999</v>
      </c>
      <c r="G1125" s="63">
        <f t="shared" si="380"/>
        <v>0</v>
      </c>
      <c r="H1125" s="63">
        <f t="shared" si="380"/>
        <v>0</v>
      </c>
      <c r="I1125" s="63">
        <f t="shared" si="380"/>
        <v>0</v>
      </c>
      <c r="J1125" s="63">
        <f t="shared" si="380"/>
        <v>0</v>
      </c>
      <c r="K1125" s="86">
        <f t="shared" si="372"/>
        <v>1.4382999999999999</v>
      </c>
      <c r="L1125" s="216"/>
      <c r="M1125" s="88"/>
      <c r="N1125" s="89"/>
      <c r="O1125" s="834"/>
      <c r="P1125" s="49"/>
      <c r="Q1125" s="49"/>
      <c r="R1125" s="49"/>
      <c r="S1125" s="49"/>
      <c r="T1125" s="49"/>
      <c r="U1125" s="49"/>
      <c r="V1125" s="49"/>
      <c r="W1125" s="49"/>
      <c r="X1125" s="49"/>
      <c r="Y1125" s="49"/>
      <c r="Z1125" s="49"/>
      <c r="AA1125" s="49"/>
      <c r="AB1125" s="49"/>
      <c r="AC1125" s="49"/>
      <c r="AD1125" s="49"/>
      <c r="AE1125" s="49"/>
      <c r="AF1125" s="49"/>
      <c r="AG1125" s="49"/>
      <c r="AH1125" s="49"/>
      <c r="AI1125" s="49"/>
      <c r="AJ1125" s="49"/>
      <c r="AK1125" s="49"/>
      <c r="AL1125" s="49"/>
      <c r="AM1125" s="49"/>
      <c r="AN1125" s="49"/>
      <c r="AO1125" s="49"/>
      <c r="AP1125" s="49"/>
      <c r="AQ1125" s="49"/>
      <c r="AR1125" s="49"/>
      <c r="AS1125" s="49"/>
      <c r="AT1125" s="49"/>
      <c r="AU1125" s="49"/>
      <c r="AV1125" s="49"/>
      <c r="AW1125" s="49"/>
      <c r="AX1125" s="49"/>
      <c r="AY1125" s="49"/>
      <c r="AZ1125" s="49"/>
      <c r="BA1125" s="49"/>
      <c r="BB1125" s="49"/>
      <c r="BC1125" s="49"/>
      <c r="BD1125" s="49"/>
      <c r="BE1125" s="68"/>
    </row>
    <row r="1126" spans="1:57" s="51" customFormat="1" ht="12" customHeight="1">
      <c r="A1126" s="1079"/>
      <c r="B1126" s="960"/>
      <c r="C1126" s="106"/>
      <c r="D1126" s="62">
        <v>2026</v>
      </c>
      <c r="E1126" s="63">
        <f t="shared" si="377"/>
        <v>1.7514000000000001</v>
      </c>
      <c r="F1126" s="63">
        <f>F1134</f>
        <v>1.7514000000000001</v>
      </c>
      <c r="G1126" s="63">
        <f t="shared" si="380"/>
        <v>0</v>
      </c>
      <c r="H1126" s="63">
        <f t="shared" si="380"/>
        <v>0</v>
      </c>
      <c r="I1126" s="63">
        <f t="shared" si="380"/>
        <v>0</v>
      </c>
      <c r="J1126" s="63">
        <f t="shared" si="380"/>
        <v>0</v>
      </c>
      <c r="K1126" s="86">
        <f t="shared" si="372"/>
        <v>1.7514000000000001</v>
      </c>
      <c r="L1126" s="216"/>
      <c r="M1126" s="88"/>
      <c r="N1126" s="89"/>
      <c r="O1126" s="834"/>
      <c r="P1126" s="49"/>
      <c r="Q1126" s="49"/>
      <c r="R1126" s="49"/>
      <c r="S1126" s="49"/>
      <c r="T1126" s="49"/>
      <c r="U1126" s="49"/>
      <c r="V1126" s="49"/>
      <c r="W1126" s="49"/>
      <c r="X1126" s="49"/>
      <c r="Y1126" s="49"/>
      <c r="Z1126" s="49"/>
      <c r="AA1126" s="49"/>
      <c r="AB1126" s="49"/>
      <c r="AC1126" s="49"/>
      <c r="AD1126" s="49"/>
      <c r="AE1126" s="49"/>
      <c r="AF1126" s="49"/>
      <c r="AG1126" s="49"/>
      <c r="AH1126" s="49"/>
      <c r="AI1126" s="49"/>
      <c r="AJ1126" s="49"/>
      <c r="AK1126" s="49"/>
      <c r="AL1126" s="49"/>
      <c r="AM1126" s="49"/>
      <c r="AN1126" s="49"/>
      <c r="AO1126" s="49"/>
      <c r="AP1126" s="49"/>
      <c r="AQ1126" s="49"/>
      <c r="AR1126" s="49"/>
      <c r="AS1126" s="49"/>
      <c r="AT1126" s="49"/>
      <c r="AU1126" s="49"/>
      <c r="AV1126" s="49"/>
      <c r="AW1126" s="49"/>
      <c r="AX1126" s="49"/>
      <c r="AY1126" s="49"/>
      <c r="AZ1126" s="49"/>
      <c r="BA1126" s="49"/>
      <c r="BB1126" s="49"/>
      <c r="BC1126" s="49"/>
      <c r="BD1126" s="49"/>
      <c r="BE1126" s="68"/>
    </row>
    <row r="1127" spans="1:57" s="51" customFormat="1" ht="153.75" customHeight="1">
      <c r="A1127" s="398" t="s">
        <v>1042</v>
      </c>
      <c r="B1127" s="60" t="s">
        <v>1043</v>
      </c>
      <c r="C1127" s="106"/>
      <c r="D1127" s="62">
        <v>2019</v>
      </c>
      <c r="E1127" s="341">
        <f t="shared" si="377"/>
        <v>0.74270000000000003</v>
      </c>
      <c r="F1127" s="341">
        <v>0.74270000000000003</v>
      </c>
      <c r="G1127" s="341">
        <v>0</v>
      </c>
      <c r="H1127" s="341">
        <v>0</v>
      </c>
      <c r="I1127" s="341">
        <v>0</v>
      </c>
      <c r="J1127" s="341">
        <v>0</v>
      </c>
      <c r="K1127" s="86">
        <f t="shared" si="372"/>
        <v>0.74270000000000003</v>
      </c>
      <c r="L1127" s="216"/>
      <c r="M1127" s="88"/>
      <c r="N1127" s="89"/>
      <c r="O1127" s="834"/>
      <c r="P1127" s="49"/>
      <c r="Q1127" s="49"/>
      <c r="R1127" s="49"/>
      <c r="S1127" s="49"/>
      <c r="T1127" s="49"/>
      <c r="U1127" s="49"/>
      <c r="V1127" s="49"/>
      <c r="W1127" s="49"/>
      <c r="X1127" s="49"/>
      <c r="Y1127" s="49"/>
      <c r="Z1127" s="49"/>
      <c r="AA1127" s="49"/>
      <c r="AB1127" s="49"/>
      <c r="AC1127" s="49"/>
      <c r="AD1127" s="49"/>
      <c r="AE1127" s="49"/>
      <c r="AF1127" s="49"/>
      <c r="AG1127" s="49"/>
      <c r="AH1127" s="49"/>
      <c r="AI1127" s="49"/>
      <c r="AJ1127" s="49"/>
      <c r="AK1127" s="49"/>
      <c r="AL1127" s="49"/>
      <c r="AM1127" s="49"/>
      <c r="AN1127" s="49"/>
      <c r="AO1127" s="49"/>
      <c r="AP1127" s="49"/>
      <c r="AQ1127" s="49"/>
      <c r="AR1127" s="49"/>
      <c r="AS1127" s="49"/>
      <c r="AT1127" s="49"/>
      <c r="AU1127" s="49"/>
      <c r="AV1127" s="49"/>
      <c r="AW1127" s="49"/>
      <c r="AX1127" s="49"/>
      <c r="AY1127" s="49"/>
      <c r="AZ1127" s="49"/>
      <c r="BA1127" s="49"/>
      <c r="BB1127" s="49"/>
      <c r="BC1127" s="49"/>
      <c r="BD1127" s="49"/>
      <c r="BE1127" s="68"/>
    </row>
    <row r="1128" spans="1:57" s="51" customFormat="1" ht="118.5" customHeight="1">
      <c r="A1128" s="398" t="s">
        <v>1044</v>
      </c>
      <c r="B1128" s="60" t="s">
        <v>1045</v>
      </c>
      <c r="C1128" s="106"/>
      <c r="D1128" s="62">
        <v>2020</v>
      </c>
      <c r="E1128" s="341">
        <f t="shared" si="377"/>
        <v>0.4511</v>
      </c>
      <c r="F1128" s="341">
        <v>0.4511</v>
      </c>
      <c r="G1128" s="341">
        <v>0</v>
      </c>
      <c r="H1128" s="341">
        <v>0</v>
      </c>
      <c r="I1128" s="341">
        <v>0</v>
      </c>
      <c r="J1128" s="341">
        <v>0</v>
      </c>
      <c r="K1128" s="86">
        <f t="shared" si="372"/>
        <v>0.4511</v>
      </c>
      <c r="L1128" s="216"/>
      <c r="M1128" s="88"/>
      <c r="N1128" s="89"/>
      <c r="O1128" s="834"/>
      <c r="P1128" s="49"/>
      <c r="Q1128" s="49"/>
      <c r="R1128" s="49"/>
      <c r="S1128" s="49"/>
      <c r="T1128" s="49"/>
      <c r="U1128" s="49"/>
      <c r="V1128" s="49"/>
      <c r="W1128" s="49"/>
      <c r="X1128" s="49"/>
      <c r="Y1128" s="49"/>
      <c r="Z1128" s="49"/>
      <c r="AA1128" s="49"/>
      <c r="AB1128" s="49"/>
      <c r="AC1128" s="49"/>
      <c r="AD1128" s="49"/>
      <c r="AE1128" s="49"/>
      <c r="AF1128" s="49"/>
      <c r="AG1128" s="49"/>
      <c r="AH1128" s="49"/>
      <c r="AI1128" s="49"/>
      <c r="AJ1128" s="49"/>
      <c r="AK1128" s="49"/>
      <c r="AL1128" s="49"/>
      <c r="AM1128" s="49"/>
      <c r="AN1128" s="49"/>
      <c r="AO1128" s="49"/>
      <c r="AP1128" s="49"/>
      <c r="AQ1128" s="49"/>
      <c r="AR1128" s="49"/>
      <c r="AS1128" s="49"/>
      <c r="AT1128" s="49"/>
      <c r="AU1128" s="49"/>
      <c r="AV1128" s="49"/>
      <c r="AW1128" s="49"/>
      <c r="AX1128" s="49"/>
      <c r="AY1128" s="49"/>
      <c r="AZ1128" s="49"/>
      <c r="BA1128" s="49"/>
      <c r="BB1128" s="49"/>
      <c r="BC1128" s="49"/>
      <c r="BD1128" s="49"/>
      <c r="BE1128" s="68"/>
    </row>
    <row r="1129" spans="1:57" s="51" customFormat="1" ht="99" customHeight="1">
      <c r="A1129" s="391" t="s">
        <v>1046</v>
      </c>
      <c r="B1129" s="61" t="s">
        <v>1047</v>
      </c>
      <c r="C1129" s="106"/>
      <c r="D1129" s="62">
        <v>2021</v>
      </c>
      <c r="E1129" s="341">
        <f t="shared" si="377"/>
        <v>0.46910000000000002</v>
      </c>
      <c r="F1129" s="341">
        <v>0.46910000000000002</v>
      </c>
      <c r="G1129" s="341">
        <v>0</v>
      </c>
      <c r="H1129" s="341">
        <v>0</v>
      </c>
      <c r="I1129" s="341">
        <v>0</v>
      </c>
      <c r="J1129" s="341">
        <v>0</v>
      </c>
      <c r="K1129" s="86">
        <f t="shared" si="372"/>
        <v>0.46910000000000002</v>
      </c>
      <c r="L1129" s="216"/>
      <c r="M1129" s="88"/>
      <c r="N1129" s="89"/>
      <c r="O1129" s="834"/>
      <c r="P1129" s="49"/>
      <c r="Q1129" s="49"/>
      <c r="R1129" s="49"/>
      <c r="S1129" s="49"/>
      <c r="T1129" s="49"/>
      <c r="U1129" s="49"/>
      <c r="V1129" s="49"/>
      <c r="W1129" s="49"/>
      <c r="X1129" s="49"/>
      <c r="Y1129" s="49"/>
      <c r="Z1129" s="49"/>
      <c r="AA1129" s="49"/>
      <c r="AB1129" s="49"/>
      <c r="AC1129" s="49"/>
      <c r="AD1129" s="49"/>
      <c r="AE1129" s="49"/>
      <c r="AF1129" s="49"/>
      <c r="AG1129" s="49"/>
      <c r="AH1129" s="49"/>
      <c r="AI1129" s="49"/>
      <c r="AJ1129" s="49"/>
      <c r="AK1129" s="49"/>
      <c r="AL1129" s="49"/>
      <c r="AM1129" s="49"/>
      <c r="AN1129" s="49"/>
      <c r="AO1129" s="49"/>
      <c r="AP1129" s="49"/>
      <c r="AQ1129" s="49"/>
      <c r="AR1129" s="49"/>
      <c r="AS1129" s="49"/>
      <c r="AT1129" s="49"/>
      <c r="AU1129" s="49"/>
      <c r="AV1129" s="49"/>
      <c r="AW1129" s="49"/>
      <c r="AX1129" s="49"/>
      <c r="AY1129" s="49"/>
      <c r="AZ1129" s="49"/>
      <c r="BA1129" s="49"/>
      <c r="BB1129" s="49"/>
      <c r="BC1129" s="49"/>
      <c r="BD1129" s="49"/>
      <c r="BE1129" s="68"/>
    </row>
    <row r="1130" spans="1:57" s="51" customFormat="1" ht="53.25" customHeight="1">
      <c r="A1130" s="391" t="s">
        <v>1048</v>
      </c>
      <c r="B1130" s="61" t="s">
        <v>1049</v>
      </c>
      <c r="C1130" s="106"/>
      <c r="D1130" s="62">
        <v>2022</v>
      </c>
      <c r="E1130" s="341">
        <f>F1130</f>
        <v>0.4879</v>
      </c>
      <c r="F1130" s="341">
        <v>0.4879</v>
      </c>
      <c r="G1130" s="341">
        <v>0</v>
      </c>
      <c r="H1130" s="341">
        <v>0</v>
      </c>
      <c r="I1130" s="341">
        <v>0</v>
      </c>
      <c r="J1130" s="341">
        <v>0</v>
      </c>
      <c r="K1130" s="86">
        <f t="shared" si="372"/>
        <v>0.4879</v>
      </c>
      <c r="L1130" s="216"/>
      <c r="M1130" s="88"/>
      <c r="N1130" s="89"/>
      <c r="O1130" s="834"/>
      <c r="P1130" s="49"/>
      <c r="Q1130" s="49"/>
      <c r="R1130" s="49"/>
      <c r="S1130" s="49"/>
      <c r="T1130" s="49"/>
      <c r="U1130" s="49"/>
      <c r="V1130" s="49"/>
      <c r="W1130" s="49"/>
      <c r="X1130" s="49"/>
      <c r="Y1130" s="49"/>
      <c r="Z1130" s="49"/>
      <c r="AA1130" s="49"/>
      <c r="AB1130" s="49"/>
      <c r="AC1130" s="49"/>
      <c r="AD1130" s="49"/>
      <c r="AE1130" s="49"/>
      <c r="AF1130" s="49"/>
      <c r="AG1130" s="49"/>
      <c r="AH1130" s="49"/>
      <c r="AI1130" s="49"/>
      <c r="AJ1130" s="49"/>
      <c r="AK1130" s="49"/>
      <c r="AL1130" s="49"/>
      <c r="AM1130" s="49"/>
      <c r="AN1130" s="49"/>
      <c r="AO1130" s="49"/>
      <c r="AP1130" s="49"/>
      <c r="AQ1130" s="49"/>
      <c r="AR1130" s="49"/>
      <c r="AS1130" s="49"/>
      <c r="AT1130" s="49"/>
      <c r="AU1130" s="49"/>
      <c r="AV1130" s="49"/>
      <c r="AW1130" s="49"/>
      <c r="AX1130" s="49"/>
      <c r="AY1130" s="49"/>
      <c r="AZ1130" s="49"/>
      <c r="BA1130" s="49"/>
      <c r="BB1130" s="49"/>
      <c r="BC1130" s="49"/>
      <c r="BD1130" s="49"/>
      <c r="BE1130" s="68"/>
    </row>
    <row r="1131" spans="1:57" s="51" customFormat="1" ht="60.75" customHeight="1">
      <c r="A1131" s="391" t="s">
        <v>1050</v>
      </c>
      <c r="B1131" s="61" t="s">
        <v>1051</v>
      </c>
      <c r="C1131" s="106"/>
      <c r="D1131" s="62">
        <v>2023</v>
      </c>
      <c r="E1131" s="341">
        <f>F1131</f>
        <v>0.17510000000000001</v>
      </c>
      <c r="F1131" s="341">
        <v>0.17510000000000001</v>
      </c>
      <c r="G1131" s="341">
        <v>0</v>
      </c>
      <c r="H1131" s="341">
        <v>0</v>
      </c>
      <c r="I1131" s="341">
        <v>0</v>
      </c>
      <c r="J1131" s="341">
        <v>0</v>
      </c>
      <c r="K1131" s="86">
        <f t="shared" si="372"/>
        <v>0.17510000000000001</v>
      </c>
      <c r="L1131" s="216"/>
      <c r="M1131" s="88"/>
      <c r="N1131" s="89"/>
      <c r="O1131" s="834"/>
      <c r="P1131" s="49"/>
      <c r="Q1131" s="49"/>
      <c r="R1131" s="49"/>
      <c r="S1131" s="49"/>
      <c r="T1131" s="49"/>
      <c r="U1131" s="49"/>
      <c r="V1131" s="49"/>
      <c r="W1131" s="49"/>
      <c r="X1131" s="49"/>
      <c r="Y1131" s="49"/>
      <c r="Z1131" s="49"/>
      <c r="AA1131" s="49"/>
      <c r="AB1131" s="49"/>
      <c r="AC1131" s="49"/>
      <c r="AD1131" s="49"/>
      <c r="AE1131" s="49"/>
      <c r="AF1131" s="49"/>
      <c r="AG1131" s="49"/>
      <c r="AH1131" s="49"/>
      <c r="AI1131" s="49"/>
      <c r="AJ1131" s="49"/>
      <c r="AK1131" s="49"/>
      <c r="AL1131" s="49"/>
      <c r="AM1131" s="49"/>
      <c r="AN1131" s="49"/>
      <c r="AO1131" s="49"/>
      <c r="AP1131" s="49"/>
      <c r="AQ1131" s="49"/>
      <c r="AR1131" s="49"/>
      <c r="AS1131" s="49"/>
      <c r="AT1131" s="49"/>
      <c r="AU1131" s="49"/>
      <c r="AV1131" s="49"/>
      <c r="AW1131" s="49"/>
      <c r="AX1131" s="49"/>
      <c r="AY1131" s="49"/>
      <c r="AZ1131" s="49"/>
      <c r="BA1131" s="49"/>
      <c r="BB1131" s="49"/>
      <c r="BC1131" s="49"/>
      <c r="BD1131" s="49"/>
      <c r="BE1131" s="68"/>
    </row>
    <row r="1132" spans="1:57" s="51" customFormat="1" ht="50.25" customHeight="1">
      <c r="A1132" s="391" t="s">
        <v>1052</v>
      </c>
      <c r="B1132" s="61" t="s">
        <v>1053</v>
      </c>
      <c r="C1132" s="106"/>
      <c r="D1132" s="62">
        <v>2024</v>
      </c>
      <c r="E1132" s="341">
        <f>F1132</f>
        <v>0.3503</v>
      </c>
      <c r="F1132" s="341">
        <v>0.3503</v>
      </c>
      <c r="G1132" s="341">
        <v>0</v>
      </c>
      <c r="H1132" s="341">
        <v>0</v>
      </c>
      <c r="I1132" s="341">
        <v>0</v>
      </c>
      <c r="J1132" s="341">
        <v>0</v>
      </c>
      <c r="K1132" s="86">
        <f t="shared" si="372"/>
        <v>0.3503</v>
      </c>
      <c r="L1132" s="216"/>
      <c r="M1132" s="88"/>
      <c r="N1132" s="89"/>
      <c r="O1132" s="834"/>
      <c r="P1132" s="49"/>
      <c r="Q1132" s="49"/>
      <c r="R1132" s="49"/>
      <c r="S1132" s="49"/>
      <c r="T1132" s="49"/>
      <c r="U1132" s="49"/>
      <c r="V1132" s="49"/>
      <c r="W1132" s="49"/>
      <c r="X1132" s="49"/>
      <c r="Y1132" s="49"/>
      <c r="Z1132" s="49"/>
      <c r="AA1132" s="49"/>
      <c r="AB1132" s="49"/>
      <c r="AC1132" s="49"/>
      <c r="AD1132" s="49"/>
      <c r="AE1132" s="49"/>
      <c r="AF1132" s="49"/>
      <c r="AG1132" s="49"/>
      <c r="AH1132" s="49"/>
      <c r="AI1132" s="49"/>
      <c r="AJ1132" s="49"/>
      <c r="AK1132" s="49"/>
      <c r="AL1132" s="49"/>
      <c r="AM1132" s="49"/>
      <c r="AN1132" s="49"/>
      <c r="AO1132" s="49"/>
      <c r="AP1132" s="49"/>
      <c r="AQ1132" s="49"/>
      <c r="AR1132" s="49"/>
      <c r="AS1132" s="49"/>
      <c r="AT1132" s="49"/>
      <c r="AU1132" s="49"/>
      <c r="AV1132" s="49"/>
      <c r="AW1132" s="49"/>
      <c r="AX1132" s="49"/>
      <c r="AY1132" s="49"/>
      <c r="AZ1132" s="49"/>
      <c r="BA1132" s="49"/>
      <c r="BB1132" s="49"/>
      <c r="BC1132" s="49"/>
      <c r="BD1132" s="49"/>
      <c r="BE1132" s="68"/>
    </row>
    <row r="1133" spans="1:57" s="51" customFormat="1" ht="48" customHeight="1">
      <c r="A1133" s="391" t="s">
        <v>1054</v>
      </c>
      <c r="B1133" s="61" t="s">
        <v>1055</v>
      </c>
      <c r="C1133" s="106"/>
      <c r="D1133" s="62">
        <v>2025</v>
      </c>
      <c r="E1133" s="341">
        <f>F1133</f>
        <v>0.54879999999999995</v>
      </c>
      <c r="F1133" s="341">
        <v>0.54879999999999995</v>
      </c>
      <c r="G1133" s="341">
        <v>0</v>
      </c>
      <c r="H1133" s="341">
        <v>0</v>
      </c>
      <c r="I1133" s="341">
        <v>0</v>
      </c>
      <c r="J1133" s="341">
        <v>0</v>
      </c>
      <c r="K1133" s="86">
        <f t="shared" si="372"/>
        <v>0.54879999999999995</v>
      </c>
      <c r="L1133" s="216"/>
      <c r="M1133" s="88"/>
      <c r="N1133" s="89"/>
      <c r="O1133" s="834"/>
      <c r="P1133" s="49"/>
      <c r="Q1133" s="49"/>
      <c r="R1133" s="49"/>
      <c r="S1133" s="49"/>
      <c r="T1133" s="49"/>
      <c r="U1133" s="49"/>
      <c r="V1133" s="49"/>
      <c r="W1133" s="49"/>
      <c r="X1133" s="49"/>
      <c r="Y1133" s="49"/>
      <c r="Z1133" s="49"/>
      <c r="AA1133" s="49"/>
      <c r="AB1133" s="49"/>
      <c r="AC1133" s="49"/>
      <c r="AD1133" s="49"/>
      <c r="AE1133" s="49"/>
      <c r="AF1133" s="49"/>
      <c r="AG1133" s="49"/>
      <c r="AH1133" s="49"/>
      <c r="AI1133" s="49"/>
      <c r="AJ1133" s="49"/>
      <c r="AK1133" s="49"/>
      <c r="AL1133" s="49"/>
      <c r="AM1133" s="49"/>
      <c r="AN1133" s="49"/>
      <c r="AO1133" s="49"/>
      <c r="AP1133" s="49"/>
      <c r="AQ1133" s="49"/>
      <c r="AR1133" s="49"/>
      <c r="AS1133" s="49"/>
      <c r="AT1133" s="49"/>
      <c r="AU1133" s="49"/>
      <c r="AV1133" s="49"/>
      <c r="AW1133" s="49"/>
      <c r="AX1133" s="49"/>
      <c r="AY1133" s="49"/>
      <c r="AZ1133" s="49"/>
      <c r="BA1133" s="49"/>
      <c r="BB1133" s="49"/>
      <c r="BC1133" s="49"/>
      <c r="BD1133" s="49"/>
      <c r="BE1133" s="68"/>
    </row>
    <row r="1134" spans="1:57" s="51" customFormat="1" ht="38.25" customHeight="1">
      <c r="A1134" s="391" t="s">
        <v>1056</v>
      </c>
      <c r="B1134" s="61" t="s">
        <v>1057</v>
      </c>
      <c r="C1134" s="106"/>
      <c r="D1134" s="62">
        <v>2026</v>
      </c>
      <c r="E1134" s="341">
        <f>F1134+G1134+H1134+I1134+J1134</f>
        <v>1.7514000000000001</v>
      </c>
      <c r="F1134" s="341">
        <v>1.7514000000000001</v>
      </c>
      <c r="G1134" s="341">
        <v>0</v>
      </c>
      <c r="H1134" s="341">
        <v>0</v>
      </c>
      <c r="I1134" s="341">
        <v>0</v>
      </c>
      <c r="J1134" s="341">
        <v>0</v>
      </c>
      <c r="K1134" s="86">
        <f t="shared" si="372"/>
        <v>1.7514000000000001</v>
      </c>
      <c r="L1134" s="216"/>
      <c r="M1134" s="88"/>
      <c r="N1134" s="89"/>
      <c r="O1134" s="834"/>
      <c r="P1134" s="49"/>
      <c r="Q1134" s="49"/>
      <c r="R1134" s="49"/>
      <c r="S1134" s="49"/>
      <c r="T1134" s="49"/>
      <c r="U1134" s="49"/>
      <c r="V1134" s="49"/>
      <c r="W1134" s="49"/>
      <c r="X1134" s="49"/>
      <c r="Y1134" s="49"/>
      <c r="Z1134" s="49"/>
      <c r="AA1134" s="49"/>
      <c r="AB1134" s="49"/>
      <c r="AC1134" s="49"/>
      <c r="AD1134" s="49"/>
      <c r="AE1134" s="49"/>
      <c r="AF1134" s="49"/>
      <c r="AG1134" s="49"/>
      <c r="AH1134" s="49"/>
      <c r="AI1134" s="49"/>
      <c r="AJ1134" s="49"/>
      <c r="AK1134" s="49"/>
      <c r="AL1134" s="49"/>
      <c r="AM1134" s="49"/>
      <c r="AN1134" s="49"/>
      <c r="AO1134" s="49"/>
      <c r="AP1134" s="49"/>
      <c r="AQ1134" s="49"/>
      <c r="AR1134" s="49"/>
      <c r="AS1134" s="49"/>
      <c r="AT1134" s="49"/>
      <c r="AU1134" s="49"/>
      <c r="AV1134" s="49"/>
      <c r="AW1134" s="49"/>
      <c r="AX1134" s="49"/>
      <c r="AY1134" s="49"/>
      <c r="AZ1134" s="49"/>
      <c r="BA1134" s="49"/>
      <c r="BB1134" s="49"/>
      <c r="BC1134" s="49"/>
      <c r="BD1134" s="49"/>
      <c r="BE1134" s="68"/>
    </row>
    <row r="1135" spans="1:57" s="51" customFormat="1" ht="15.75" customHeight="1">
      <c r="A1135" s="1048" t="s">
        <v>1058</v>
      </c>
      <c r="B1135" s="1080" t="s">
        <v>1059</v>
      </c>
      <c r="C1135" s="106"/>
      <c r="D1135" s="84" t="s">
        <v>16</v>
      </c>
      <c r="E1135" s="313">
        <f t="shared" ref="E1135:J1135" si="381">E1136+E1137+E1138+E1139+E1140+E1141+E1142+E1143</f>
        <v>8.4458899999999986</v>
      </c>
      <c r="F1135" s="313">
        <f t="shared" si="381"/>
        <v>8.4458899999999986</v>
      </c>
      <c r="G1135" s="313">
        <f t="shared" si="381"/>
        <v>0</v>
      </c>
      <c r="H1135" s="313">
        <f t="shared" si="381"/>
        <v>0</v>
      </c>
      <c r="I1135" s="313">
        <f t="shared" si="381"/>
        <v>0</v>
      </c>
      <c r="J1135" s="313">
        <f t="shared" si="381"/>
        <v>0</v>
      </c>
      <c r="K1135" s="86">
        <f t="shared" si="372"/>
        <v>8.4458899999999986</v>
      </c>
      <c r="L1135" s="892"/>
      <c r="M1135" s="88"/>
      <c r="N1135" s="89"/>
      <c r="O1135" s="834"/>
      <c r="P1135" s="49"/>
      <c r="Q1135" s="49"/>
      <c r="R1135" s="49"/>
      <c r="S1135" s="49"/>
      <c r="T1135" s="49"/>
      <c r="U1135" s="49"/>
      <c r="V1135" s="49"/>
      <c r="W1135" s="49"/>
      <c r="X1135" s="49"/>
      <c r="Y1135" s="49"/>
      <c r="Z1135" s="49"/>
      <c r="AA1135" s="49"/>
      <c r="AB1135" s="49"/>
      <c r="AC1135" s="49"/>
      <c r="AD1135" s="49"/>
      <c r="AE1135" s="49"/>
      <c r="AF1135" s="49"/>
      <c r="AG1135" s="49"/>
      <c r="AH1135" s="49"/>
      <c r="AI1135" s="49"/>
      <c r="AJ1135" s="49"/>
      <c r="AK1135" s="49"/>
      <c r="AL1135" s="49"/>
      <c r="AM1135" s="49"/>
      <c r="AN1135" s="49"/>
      <c r="AO1135" s="49"/>
      <c r="AP1135" s="49"/>
      <c r="AQ1135" s="49"/>
      <c r="AR1135" s="49"/>
      <c r="AS1135" s="49"/>
      <c r="AT1135" s="49"/>
      <c r="AU1135" s="49"/>
      <c r="AV1135" s="49"/>
      <c r="AW1135" s="49"/>
      <c r="AX1135" s="49"/>
      <c r="AY1135" s="49"/>
      <c r="AZ1135" s="49"/>
      <c r="BA1135" s="49"/>
      <c r="BB1135" s="49"/>
      <c r="BC1135" s="49"/>
      <c r="BD1135" s="49"/>
      <c r="BE1135" s="68"/>
    </row>
    <row r="1136" spans="1:57" s="202" customFormat="1">
      <c r="A1136" s="1081"/>
      <c r="B1136" s="960"/>
      <c r="C1136" s="432"/>
      <c r="D1136" s="211">
        <v>2019</v>
      </c>
      <c r="E1136" s="212">
        <f t="shared" ref="E1136:J1139" si="382">E1144</f>
        <v>0.53059000000000001</v>
      </c>
      <c r="F1136" s="212">
        <f t="shared" si="382"/>
        <v>0.53059000000000001</v>
      </c>
      <c r="G1136" s="212">
        <f t="shared" si="382"/>
        <v>0</v>
      </c>
      <c r="H1136" s="212">
        <f t="shared" si="382"/>
        <v>0</v>
      </c>
      <c r="I1136" s="212">
        <f t="shared" si="382"/>
        <v>0</v>
      </c>
      <c r="J1136" s="212">
        <f t="shared" si="382"/>
        <v>0</v>
      </c>
      <c r="K1136" s="120">
        <f t="shared" si="372"/>
        <v>0.53059000000000001</v>
      </c>
      <c r="L1136" s="845"/>
      <c r="M1136" s="206"/>
      <c r="N1136" s="263"/>
      <c r="O1136" s="834"/>
      <c r="P1136" s="207"/>
      <c r="Q1136" s="207"/>
      <c r="R1136" s="207"/>
      <c r="S1136" s="207"/>
      <c r="T1136" s="207"/>
      <c r="U1136" s="207"/>
      <c r="V1136" s="207"/>
      <c r="W1136" s="207"/>
      <c r="X1136" s="207"/>
      <c r="Y1136" s="207"/>
      <c r="Z1136" s="207"/>
      <c r="AA1136" s="207"/>
      <c r="AB1136" s="207"/>
      <c r="AC1136" s="207"/>
      <c r="AD1136" s="207"/>
      <c r="AE1136" s="207"/>
      <c r="AF1136" s="207"/>
      <c r="AG1136" s="207"/>
      <c r="AH1136" s="207"/>
      <c r="AI1136" s="207"/>
      <c r="AJ1136" s="207"/>
      <c r="AK1136" s="207"/>
      <c r="AL1136" s="207"/>
      <c r="AM1136" s="207"/>
      <c r="AN1136" s="207"/>
      <c r="AO1136" s="207"/>
      <c r="AP1136" s="207"/>
      <c r="AQ1136" s="207"/>
      <c r="AR1136" s="207"/>
      <c r="AS1136" s="207"/>
      <c r="AT1136" s="207"/>
      <c r="AU1136" s="207"/>
      <c r="AV1136" s="207"/>
      <c r="AW1136" s="207"/>
      <c r="AX1136" s="207"/>
      <c r="AY1136" s="207"/>
      <c r="AZ1136" s="207"/>
      <c r="BA1136" s="207"/>
      <c r="BB1136" s="207"/>
      <c r="BC1136" s="207"/>
      <c r="BD1136" s="207"/>
      <c r="BE1136" s="208"/>
    </row>
    <row r="1137" spans="1:57" s="436" customFormat="1">
      <c r="A1137" s="1081"/>
      <c r="B1137" s="960"/>
      <c r="C1137" s="437"/>
      <c r="D1137" s="438">
        <v>2020</v>
      </c>
      <c r="E1137" s="439">
        <f t="shared" si="382"/>
        <v>0.73109999999999997</v>
      </c>
      <c r="F1137" s="439">
        <f t="shared" si="382"/>
        <v>0.73109999999999997</v>
      </c>
      <c r="G1137" s="439">
        <f t="shared" si="382"/>
        <v>0</v>
      </c>
      <c r="H1137" s="439">
        <f t="shared" si="382"/>
        <v>0</v>
      </c>
      <c r="I1137" s="439">
        <f t="shared" si="382"/>
        <v>0</v>
      </c>
      <c r="J1137" s="439">
        <f t="shared" si="382"/>
        <v>0</v>
      </c>
      <c r="K1137" s="440">
        <f t="shared" si="372"/>
        <v>0.73109999999999997</v>
      </c>
      <c r="L1137" s="845"/>
      <c r="M1137" s="441"/>
      <c r="N1137" s="442"/>
      <c r="O1137" s="834"/>
      <c r="P1137" s="443"/>
      <c r="Q1137" s="443"/>
      <c r="R1137" s="443"/>
      <c r="S1137" s="443"/>
      <c r="T1137" s="443"/>
      <c r="U1137" s="443"/>
      <c r="V1137" s="443"/>
      <c r="W1137" s="443"/>
      <c r="X1137" s="443"/>
      <c r="Y1137" s="443"/>
      <c r="Z1137" s="443"/>
      <c r="AA1137" s="443"/>
      <c r="AB1137" s="443"/>
      <c r="AC1137" s="443"/>
      <c r="AD1137" s="443"/>
      <c r="AE1137" s="443"/>
      <c r="AF1137" s="443"/>
      <c r="AG1137" s="443"/>
      <c r="AH1137" s="443"/>
      <c r="AI1137" s="443"/>
      <c r="AJ1137" s="443"/>
      <c r="AK1137" s="443"/>
      <c r="AL1137" s="443"/>
      <c r="AM1137" s="443"/>
      <c r="AN1137" s="443"/>
      <c r="AO1137" s="443"/>
      <c r="AP1137" s="443"/>
      <c r="AQ1137" s="443"/>
      <c r="AR1137" s="443"/>
      <c r="AS1137" s="443"/>
      <c r="AT1137" s="443"/>
      <c r="AU1137" s="443"/>
      <c r="AV1137" s="443"/>
      <c r="AW1137" s="443"/>
      <c r="AX1137" s="443"/>
      <c r="AY1137" s="443"/>
      <c r="AZ1137" s="443"/>
      <c r="BA1137" s="443"/>
      <c r="BB1137" s="443"/>
      <c r="BC1137" s="443"/>
      <c r="BD1137" s="443"/>
      <c r="BE1137" s="444"/>
    </row>
    <row r="1138" spans="1:57" s="436" customFormat="1">
      <c r="A1138" s="1081"/>
      <c r="B1138" s="960"/>
      <c r="C1138" s="437"/>
      <c r="D1138" s="438">
        <v>2021</v>
      </c>
      <c r="E1138" s="439">
        <f t="shared" si="382"/>
        <v>0.76029999999999998</v>
      </c>
      <c r="F1138" s="439">
        <f t="shared" si="382"/>
        <v>0.76029999999999998</v>
      </c>
      <c r="G1138" s="439">
        <f t="shared" si="382"/>
        <v>0</v>
      </c>
      <c r="H1138" s="439">
        <f t="shared" si="382"/>
        <v>0</v>
      </c>
      <c r="I1138" s="439">
        <f t="shared" si="382"/>
        <v>0</v>
      </c>
      <c r="J1138" s="439">
        <f t="shared" si="382"/>
        <v>0</v>
      </c>
      <c r="K1138" s="440">
        <f t="shared" si="372"/>
        <v>0.76029999999999998</v>
      </c>
      <c r="L1138" s="845"/>
      <c r="M1138" s="441"/>
      <c r="N1138" s="442"/>
      <c r="O1138" s="834"/>
      <c r="P1138" s="443"/>
      <c r="Q1138" s="443"/>
      <c r="R1138" s="443"/>
      <c r="S1138" s="443"/>
      <c r="T1138" s="443"/>
      <c r="U1138" s="443"/>
      <c r="V1138" s="443"/>
      <c r="W1138" s="443"/>
      <c r="X1138" s="443"/>
      <c r="Y1138" s="443"/>
      <c r="Z1138" s="443"/>
      <c r="AA1138" s="443"/>
      <c r="AB1138" s="443"/>
      <c r="AC1138" s="443"/>
      <c r="AD1138" s="443"/>
      <c r="AE1138" s="443"/>
      <c r="AF1138" s="443"/>
      <c r="AG1138" s="443"/>
      <c r="AH1138" s="443"/>
      <c r="AI1138" s="443"/>
      <c r="AJ1138" s="443"/>
      <c r="AK1138" s="443"/>
      <c r="AL1138" s="443"/>
      <c r="AM1138" s="443"/>
      <c r="AN1138" s="443"/>
      <c r="AO1138" s="443"/>
      <c r="AP1138" s="443"/>
      <c r="AQ1138" s="443"/>
      <c r="AR1138" s="443"/>
      <c r="AS1138" s="443"/>
      <c r="AT1138" s="443"/>
      <c r="AU1138" s="443"/>
      <c r="AV1138" s="443"/>
      <c r="AW1138" s="443"/>
      <c r="AX1138" s="443"/>
      <c r="AY1138" s="443"/>
      <c r="AZ1138" s="443"/>
      <c r="BA1138" s="443"/>
      <c r="BB1138" s="443"/>
      <c r="BC1138" s="443"/>
      <c r="BD1138" s="443"/>
      <c r="BE1138" s="444"/>
    </row>
    <row r="1139" spans="1:57" s="436" customFormat="1">
      <c r="A1139" s="1081"/>
      <c r="B1139" s="960"/>
      <c r="C1139" s="437"/>
      <c r="D1139" s="438">
        <v>2022</v>
      </c>
      <c r="E1139" s="439">
        <f t="shared" si="382"/>
        <v>0.79079999999999995</v>
      </c>
      <c r="F1139" s="439">
        <f t="shared" si="382"/>
        <v>0.79079999999999995</v>
      </c>
      <c r="G1139" s="439">
        <f t="shared" si="382"/>
        <v>0</v>
      </c>
      <c r="H1139" s="439">
        <f t="shared" si="382"/>
        <v>0</v>
      </c>
      <c r="I1139" s="439">
        <f t="shared" si="382"/>
        <v>0</v>
      </c>
      <c r="J1139" s="439">
        <f t="shared" si="382"/>
        <v>0</v>
      </c>
      <c r="K1139" s="440">
        <f t="shared" si="372"/>
        <v>0.79079999999999995</v>
      </c>
      <c r="L1139" s="845"/>
      <c r="M1139" s="441"/>
      <c r="N1139" s="442"/>
      <c r="O1139" s="834"/>
      <c r="P1139" s="443"/>
      <c r="Q1139" s="443"/>
      <c r="R1139" s="443"/>
      <c r="S1139" s="443"/>
      <c r="T1139" s="443"/>
      <c r="U1139" s="443"/>
      <c r="V1139" s="443"/>
      <c r="W1139" s="443"/>
      <c r="X1139" s="443"/>
      <c r="Y1139" s="443"/>
      <c r="Z1139" s="443"/>
      <c r="AA1139" s="443"/>
      <c r="AB1139" s="443"/>
      <c r="AC1139" s="443"/>
      <c r="AD1139" s="443"/>
      <c r="AE1139" s="443"/>
      <c r="AF1139" s="443"/>
      <c r="AG1139" s="443"/>
      <c r="AH1139" s="443"/>
      <c r="AI1139" s="443"/>
      <c r="AJ1139" s="443"/>
      <c r="AK1139" s="443"/>
      <c r="AL1139" s="443"/>
      <c r="AM1139" s="443"/>
      <c r="AN1139" s="443"/>
      <c r="AO1139" s="443"/>
      <c r="AP1139" s="443"/>
      <c r="AQ1139" s="443"/>
      <c r="AR1139" s="443"/>
      <c r="AS1139" s="443"/>
      <c r="AT1139" s="443"/>
      <c r="AU1139" s="443"/>
      <c r="AV1139" s="443"/>
      <c r="AW1139" s="443"/>
      <c r="AX1139" s="443"/>
      <c r="AY1139" s="443"/>
      <c r="AZ1139" s="443"/>
      <c r="BA1139" s="443"/>
      <c r="BB1139" s="443"/>
      <c r="BC1139" s="443"/>
      <c r="BD1139" s="443"/>
      <c r="BE1139" s="444"/>
    </row>
    <row r="1140" spans="1:57" s="51" customFormat="1">
      <c r="A1140" s="1081"/>
      <c r="B1140" s="960"/>
      <c r="C1140" s="106"/>
      <c r="D1140" s="62">
        <v>2023</v>
      </c>
      <c r="E1140" s="63">
        <f>F1140</f>
        <v>0.82240000000000002</v>
      </c>
      <c r="F1140" s="63">
        <f>F1148</f>
        <v>0.82240000000000002</v>
      </c>
      <c r="G1140" s="63">
        <v>0</v>
      </c>
      <c r="H1140" s="63">
        <v>0</v>
      </c>
      <c r="I1140" s="63">
        <v>0</v>
      </c>
      <c r="J1140" s="63">
        <v>0</v>
      </c>
      <c r="K1140" s="86">
        <f t="shared" si="372"/>
        <v>0.82240000000000002</v>
      </c>
      <c r="L1140" s="845"/>
      <c r="M1140" s="88"/>
      <c r="N1140" s="89"/>
      <c r="O1140" s="834"/>
      <c r="P1140" s="49"/>
      <c r="Q1140" s="49"/>
      <c r="R1140" s="49"/>
      <c r="S1140" s="49"/>
      <c r="T1140" s="49"/>
      <c r="U1140" s="49"/>
      <c r="V1140" s="49"/>
      <c r="W1140" s="49"/>
      <c r="X1140" s="49"/>
      <c r="Y1140" s="49"/>
      <c r="Z1140" s="49"/>
      <c r="AA1140" s="49"/>
      <c r="AB1140" s="49"/>
      <c r="AC1140" s="49"/>
      <c r="AD1140" s="49"/>
      <c r="AE1140" s="49"/>
      <c r="AF1140" s="49"/>
      <c r="AG1140" s="49"/>
      <c r="AH1140" s="49"/>
      <c r="AI1140" s="49"/>
      <c r="AJ1140" s="49"/>
      <c r="AK1140" s="49"/>
      <c r="AL1140" s="49"/>
      <c r="AM1140" s="49"/>
      <c r="AN1140" s="49"/>
      <c r="AO1140" s="49"/>
      <c r="AP1140" s="49"/>
      <c r="AQ1140" s="49"/>
      <c r="AR1140" s="49"/>
      <c r="AS1140" s="49"/>
      <c r="AT1140" s="49"/>
      <c r="AU1140" s="49"/>
      <c r="AV1140" s="49"/>
      <c r="AW1140" s="49"/>
      <c r="AX1140" s="49"/>
      <c r="AY1140" s="49"/>
      <c r="AZ1140" s="49"/>
      <c r="BA1140" s="49"/>
      <c r="BB1140" s="49"/>
      <c r="BC1140" s="49"/>
      <c r="BD1140" s="49"/>
      <c r="BE1140" s="68"/>
    </row>
    <row r="1141" spans="1:57" s="51" customFormat="1">
      <c r="A1141" s="1081"/>
      <c r="B1141" s="960"/>
      <c r="C1141" s="106"/>
      <c r="D1141" s="62">
        <v>2024</v>
      </c>
      <c r="E1141" s="63">
        <f>F1141</f>
        <v>0.85529999999999995</v>
      </c>
      <c r="F1141" s="63">
        <f>F1149</f>
        <v>0.85529999999999995</v>
      </c>
      <c r="G1141" s="63">
        <v>0</v>
      </c>
      <c r="H1141" s="63">
        <v>0</v>
      </c>
      <c r="I1141" s="63">
        <v>0</v>
      </c>
      <c r="J1141" s="63">
        <v>0</v>
      </c>
      <c r="K1141" s="86">
        <f t="shared" si="372"/>
        <v>0.85529999999999995</v>
      </c>
      <c r="L1141" s="845"/>
      <c r="M1141" s="88"/>
      <c r="N1141" s="89"/>
      <c r="O1141" s="834"/>
      <c r="P1141" s="49"/>
      <c r="Q1141" s="49"/>
      <c r="R1141" s="49"/>
      <c r="S1141" s="49"/>
      <c r="T1141" s="49"/>
      <c r="U1141" s="49"/>
      <c r="V1141" s="49"/>
      <c r="W1141" s="49"/>
      <c r="X1141" s="49"/>
      <c r="Y1141" s="49"/>
      <c r="Z1141" s="49"/>
      <c r="AA1141" s="49"/>
      <c r="AB1141" s="49"/>
      <c r="AC1141" s="49"/>
      <c r="AD1141" s="49"/>
      <c r="AE1141" s="49"/>
      <c r="AF1141" s="49"/>
      <c r="AG1141" s="49"/>
      <c r="AH1141" s="49"/>
      <c r="AI1141" s="49"/>
      <c r="AJ1141" s="49"/>
      <c r="AK1141" s="49"/>
      <c r="AL1141" s="49"/>
      <c r="AM1141" s="49"/>
      <c r="AN1141" s="49"/>
      <c r="AO1141" s="49"/>
      <c r="AP1141" s="49"/>
      <c r="AQ1141" s="49"/>
      <c r="AR1141" s="49"/>
      <c r="AS1141" s="49"/>
      <c r="AT1141" s="49"/>
      <c r="AU1141" s="49"/>
      <c r="AV1141" s="49"/>
      <c r="AW1141" s="49"/>
      <c r="AX1141" s="49"/>
      <c r="AY1141" s="49"/>
      <c r="AZ1141" s="49"/>
      <c r="BA1141" s="49"/>
      <c r="BB1141" s="49"/>
      <c r="BC1141" s="49"/>
      <c r="BD1141" s="49"/>
      <c r="BE1141" s="68"/>
    </row>
    <row r="1142" spans="1:57" s="51" customFormat="1">
      <c r="A1142" s="1081"/>
      <c r="B1142" s="960"/>
      <c r="C1142" s="106"/>
      <c r="D1142" s="62">
        <v>2025</v>
      </c>
      <c r="E1142" s="63">
        <f>F1142</f>
        <v>0.88949999999999996</v>
      </c>
      <c r="F1142" s="63">
        <f>F1150</f>
        <v>0.88949999999999996</v>
      </c>
      <c r="G1142" s="63">
        <v>0</v>
      </c>
      <c r="H1142" s="63">
        <v>0</v>
      </c>
      <c r="I1142" s="63">
        <v>0</v>
      </c>
      <c r="J1142" s="63">
        <v>0</v>
      </c>
      <c r="K1142" s="86">
        <f t="shared" ref="K1142:K1152" si="383">F1142+G1142+H1142+I1142+J1142</f>
        <v>0.88949999999999996</v>
      </c>
      <c r="L1142" s="845"/>
      <c r="M1142" s="88"/>
      <c r="N1142" s="89"/>
      <c r="O1142" s="834"/>
      <c r="P1142" s="49"/>
      <c r="Q1142" s="49"/>
      <c r="R1142" s="49"/>
      <c r="S1142" s="49"/>
      <c r="T1142" s="49"/>
      <c r="U1142" s="49"/>
      <c r="V1142" s="49"/>
      <c r="W1142" s="49"/>
      <c r="X1142" s="49"/>
      <c r="Y1142" s="49"/>
      <c r="Z1142" s="49"/>
      <c r="AA1142" s="49"/>
      <c r="AB1142" s="49"/>
      <c r="AC1142" s="49"/>
      <c r="AD1142" s="49"/>
      <c r="AE1142" s="49"/>
      <c r="AF1142" s="49"/>
      <c r="AG1142" s="49"/>
      <c r="AH1142" s="49"/>
      <c r="AI1142" s="49"/>
      <c r="AJ1142" s="49"/>
      <c r="AK1142" s="49"/>
      <c r="AL1142" s="49"/>
      <c r="AM1142" s="49"/>
      <c r="AN1142" s="49"/>
      <c r="AO1142" s="49"/>
      <c r="AP1142" s="49"/>
      <c r="AQ1142" s="49"/>
      <c r="AR1142" s="49"/>
      <c r="AS1142" s="49"/>
      <c r="AT1142" s="49"/>
      <c r="AU1142" s="49"/>
      <c r="AV1142" s="49"/>
      <c r="AW1142" s="49"/>
      <c r="AX1142" s="49"/>
      <c r="AY1142" s="49"/>
      <c r="AZ1142" s="49"/>
      <c r="BA1142" s="49"/>
      <c r="BB1142" s="49"/>
      <c r="BC1142" s="49"/>
      <c r="BD1142" s="49"/>
      <c r="BE1142" s="68"/>
    </row>
    <row r="1143" spans="1:57" s="51" customFormat="1">
      <c r="A1143" s="1081"/>
      <c r="B1143" s="960"/>
      <c r="C1143" s="106"/>
      <c r="D1143" s="62">
        <v>2026</v>
      </c>
      <c r="E1143" s="63">
        <f>F1143</f>
        <v>3.0659000000000001</v>
      </c>
      <c r="F1143" s="63">
        <f>F1151</f>
        <v>3.0659000000000001</v>
      </c>
      <c r="G1143" s="63">
        <v>0</v>
      </c>
      <c r="H1143" s="63">
        <v>0</v>
      </c>
      <c r="I1143" s="63">
        <v>0</v>
      </c>
      <c r="J1143" s="63">
        <v>0</v>
      </c>
      <c r="K1143" s="86">
        <f t="shared" si="383"/>
        <v>3.0659000000000001</v>
      </c>
      <c r="L1143" s="845"/>
      <c r="M1143" s="88"/>
      <c r="N1143" s="89"/>
      <c r="O1143" s="834"/>
      <c r="P1143" s="49"/>
      <c r="Q1143" s="49"/>
      <c r="R1143" s="49"/>
      <c r="S1143" s="49"/>
      <c r="T1143" s="49"/>
      <c r="U1143" s="49"/>
      <c r="V1143" s="49"/>
      <c r="W1143" s="49"/>
      <c r="X1143" s="49"/>
      <c r="Y1143" s="49"/>
      <c r="Z1143" s="49"/>
      <c r="AA1143" s="49"/>
      <c r="AB1143" s="49"/>
      <c r="AC1143" s="49"/>
      <c r="AD1143" s="49"/>
      <c r="AE1143" s="49"/>
      <c r="AF1143" s="49"/>
      <c r="AG1143" s="49"/>
      <c r="AH1143" s="49"/>
      <c r="AI1143" s="49"/>
      <c r="AJ1143" s="49"/>
      <c r="AK1143" s="49"/>
      <c r="AL1143" s="49"/>
      <c r="AM1143" s="49"/>
      <c r="AN1143" s="49"/>
      <c r="AO1143" s="49"/>
      <c r="AP1143" s="49"/>
      <c r="AQ1143" s="49"/>
      <c r="AR1143" s="49"/>
      <c r="AS1143" s="49"/>
      <c r="AT1143" s="49"/>
      <c r="AU1143" s="49"/>
      <c r="AV1143" s="49"/>
      <c r="AW1143" s="49"/>
      <c r="AX1143" s="49"/>
      <c r="AY1143" s="49"/>
      <c r="AZ1143" s="49"/>
      <c r="BA1143" s="49"/>
      <c r="BB1143" s="49"/>
      <c r="BC1143" s="49"/>
      <c r="BD1143" s="49"/>
      <c r="BE1143" s="68"/>
    </row>
    <row r="1144" spans="1:57" s="51" customFormat="1" ht="46.5" customHeight="1">
      <c r="A1144" s="398" t="s">
        <v>1060</v>
      </c>
      <c r="B1144" s="60" t="s">
        <v>1061</v>
      </c>
      <c r="C1144" s="106"/>
      <c r="D1144" s="62">
        <v>2019</v>
      </c>
      <c r="E1144" s="63">
        <f t="shared" ref="E1144:E1151" si="384">F1144+G1144+H1144+I1144+J1144</f>
        <v>0.53059000000000001</v>
      </c>
      <c r="F1144" s="63">
        <v>0.53059000000000001</v>
      </c>
      <c r="G1144" s="63">
        <v>0</v>
      </c>
      <c r="H1144" s="63">
        <v>0</v>
      </c>
      <c r="I1144" s="63">
        <v>0</v>
      </c>
      <c r="J1144" s="63">
        <v>0</v>
      </c>
      <c r="K1144" s="86">
        <f t="shared" si="383"/>
        <v>0.53059000000000001</v>
      </c>
      <c r="L1144" s="136"/>
      <c r="M1144" s="88"/>
      <c r="N1144" s="89"/>
      <c r="O1144" s="834"/>
      <c r="P1144" s="49"/>
      <c r="Q1144" s="49"/>
      <c r="R1144" s="49"/>
      <c r="S1144" s="49"/>
      <c r="T1144" s="49"/>
      <c r="U1144" s="49"/>
      <c r="V1144" s="49"/>
      <c r="W1144" s="49"/>
      <c r="X1144" s="49"/>
      <c r="Y1144" s="49"/>
      <c r="Z1144" s="49"/>
      <c r="AA1144" s="49"/>
      <c r="AB1144" s="49"/>
      <c r="AC1144" s="49"/>
      <c r="AD1144" s="49"/>
      <c r="AE1144" s="49"/>
      <c r="AF1144" s="49"/>
      <c r="AG1144" s="49"/>
      <c r="AH1144" s="49"/>
      <c r="AI1144" s="49"/>
      <c r="AJ1144" s="49"/>
      <c r="AK1144" s="49"/>
      <c r="AL1144" s="49"/>
      <c r="AM1144" s="49"/>
      <c r="AN1144" s="49"/>
      <c r="AO1144" s="49"/>
      <c r="AP1144" s="49"/>
      <c r="AQ1144" s="49"/>
      <c r="AR1144" s="49"/>
      <c r="AS1144" s="49"/>
      <c r="AT1144" s="49"/>
      <c r="AU1144" s="49"/>
      <c r="AV1144" s="49"/>
      <c r="AW1144" s="49"/>
      <c r="AX1144" s="49"/>
      <c r="AY1144" s="49"/>
      <c r="AZ1144" s="49"/>
      <c r="BA1144" s="49"/>
      <c r="BB1144" s="49"/>
      <c r="BC1144" s="49"/>
      <c r="BD1144" s="49"/>
      <c r="BE1144" s="68"/>
    </row>
    <row r="1145" spans="1:57" s="51" customFormat="1" ht="66.75" customHeight="1">
      <c r="A1145" s="398" t="s">
        <v>1062</v>
      </c>
      <c r="B1145" s="60" t="s">
        <v>1063</v>
      </c>
      <c r="C1145" s="106"/>
      <c r="D1145" s="62">
        <v>2020</v>
      </c>
      <c r="E1145" s="63">
        <f t="shared" si="384"/>
        <v>0.73109999999999997</v>
      </c>
      <c r="F1145" s="63">
        <v>0.73109999999999997</v>
      </c>
      <c r="G1145" s="63">
        <v>0</v>
      </c>
      <c r="H1145" s="63">
        <v>0</v>
      </c>
      <c r="I1145" s="63">
        <v>0</v>
      </c>
      <c r="J1145" s="63">
        <v>0</v>
      </c>
      <c r="K1145" s="86">
        <f t="shared" si="383"/>
        <v>0.73109999999999997</v>
      </c>
      <c r="L1145" s="136"/>
      <c r="M1145" s="88"/>
      <c r="N1145" s="89"/>
      <c r="O1145" s="834"/>
      <c r="P1145" s="49"/>
      <c r="Q1145" s="49"/>
      <c r="R1145" s="49"/>
      <c r="S1145" s="49"/>
      <c r="T1145" s="49"/>
      <c r="U1145" s="49"/>
      <c r="V1145" s="49"/>
      <c r="W1145" s="49"/>
      <c r="X1145" s="49"/>
      <c r="Y1145" s="49"/>
      <c r="Z1145" s="49"/>
      <c r="AA1145" s="49"/>
      <c r="AB1145" s="49"/>
      <c r="AC1145" s="49"/>
      <c r="AD1145" s="49"/>
      <c r="AE1145" s="49"/>
      <c r="AF1145" s="49"/>
      <c r="AG1145" s="49"/>
      <c r="AH1145" s="49"/>
      <c r="AI1145" s="49"/>
      <c r="AJ1145" s="49"/>
      <c r="AK1145" s="49"/>
      <c r="AL1145" s="49"/>
      <c r="AM1145" s="49"/>
      <c r="AN1145" s="49"/>
      <c r="AO1145" s="49"/>
      <c r="AP1145" s="49"/>
      <c r="AQ1145" s="49"/>
      <c r="AR1145" s="49"/>
      <c r="AS1145" s="49"/>
      <c r="AT1145" s="49"/>
      <c r="AU1145" s="49"/>
      <c r="AV1145" s="49"/>
      <c r="AW1145" s="49"/>
      <c r="AX1145" s="49"/>
      <c r="AY1145" s="49"/>
      <c r="AZ1145" s="49"/>
      <c r="BA1145" s="49"/>
      <c r="BB1145" s="49"/>
      <c r="BC1145" s="49"/>
      <c r="BD1145" s="49"/>
      <c r="BE1145" s="68"/>
    </row>
    <row r="1146" spans="1:57" s="51" customFormat="1" ht="25.5">
      <c r="A1146" s="398" t="s">
        <v>1064</v>
      </c>
      <c r="B1146" s="60" t="s">
        <v>1065</v>
      </c>
      <c r="C1146" s="106"/>
      <c r="D1146" s="62">
        <v>2021</v>
      </c>
      <c r="E1146" s="63">
        <f t="shared" si="384"/>
        <v>0.76029999999999998</v>
      </c>
      <c r="F1146" s="63">
        <v>0.76029999999999998</v>
      </c>
      <c r="G1146" s="63">
        <v>0</v>
      </c>
      <c r="H1146" s="63">
        <v>0</v>
      </c>
      <c r="I1146" s="63">
        <v>0</v>
      </c>
      <c r="J1146" s="63">
        <v>0</v>
      </c>
      <c r="K1146" s="86">
        <f t="shared" si="383"/>
        <v>0.76029999999999998</v>
      </c>
      <c r="L1146" s="136"/>
      <c r="M1146" s="88"/>
      <c r="N1146" s="89"/>
      <c r="O1146" s="834"/>
      <c r="P1146" s="49"/>
      <c r="Q1146" s="49"/>
      <c r="R1146" s="49"/>
      <c r="S1146" s="49"/>
      <c r="T1146" s="49"/>
      <c r="U1146" s="49"/>
      <c r="V1146" s="49"/>
      <c r="W1146" s="49"/>
      <c r="X1146" s="49"/>
      <c r="Y1146" s="49"/>
      <c r="Z1146" s="49"/>
      <c r="AA1146" s="49"/>
      <c r="AB1146" s="49"/>
      <c r="AC1146" s="49"/>
      <c r="AD1146" s="49"/>
      <c r="AE1146" s="49"/>
      <c r="AF1146" s="49"/>
      <c r="AG1146" s="49"/>
      <c r="AH1146" s="49"/>
      <c r="AI1146" s="49"/>
      <c r="AJ1146" s="49"/>
      <c r="AK1146" s="49"/>
      <c r="AL1146" s="49"/>
      <c r="AM1146" s="49"/>
      <c r="AN1146" s="49"/>
      <c r="AO1146" s="49"/>
      <c r="AP1146" s="49"/>
      <c r="AQ1146" s="49"/>
      <c r="AR1146" s="49"/>
      <c r="AS1146" s="49"/>
      <c r="AT1146" s="49"/>
      <c r="AU1146" s="49"/>
      <c r="AV1146" s="49"/>
      <c r="AW1146" s="49"/>
      <c r="AX1146" s="49"/>
      <c r="AY1146" s="49"/>
      <c r="AZ1146" s="49"/>
      <c r="BA1146" s="49"/>
      <c r="BB1146" s="49"/>
      <c r="BC1146" s="49"/>
      <c r="BD1146" s="49"/>
      <c r="BE1146" s="68"/>
    </row>
    <row r="1147" spans="1:57" s="51" customFormat="1" ht="25.5">
      <c r="A1147" s="398" t="s">
        <v>1066</v>
      </c>
      <c r="B1147" s="60" t="s">
        <v>1067</v>
      </c>
      <c r="C1147" s="106"/>
      <c r="D1147" s="62">
        <v>2022</v>
      </c>
      <c r="E1147" s="63">
        <f t="shared" si="384"/>
        <v>0.79079999999999995</v>
      </c>
      <c r="F1147" s="63">
        <v>0.79079999999999995</v>
      </c>
      <c r="G1147" s="63">
        <v>0</v>
      </c>
      <c r="H1147" s="63">
        <v>0</v>
      </c>
      <c r="I1147" s="63">
        <v>0</v>
      </c>
      <c r="J1147" s="63">
        <v>0</v>
      </c>
      <c r="K1147" s="86">
        <f t="shared" si="383"/>
        <v>0.79079999999999995</v>
      </c>
      <c r="L1147" s="136"/>
      <c r="M1147" s="88"/>
      <c r="N1147" s="89"/>
      <c r="O1147" s="834"/>
      <c r="P1147" s="49"/>
      <c r="Q1147" s="49"/>
      <c r="R1147" s="49"/>
      <c r="S1147" s="49"/>
      <c r="T1147" s="49"/>
      <c r="U1147" s="49"/>
      <c r="V1147" s="49"/>
      <c r="W1147" s="49"/>
      <c r="X1147" s="49"/>
      <c r="Y1147" s="49"/>
      <c r="Z1147" s="49"/>
      <c r="AA1147" s="49"/>
      <c r="AB1147" s="49"/>
      <c r="AC1147" s="49"/>
      <c r="AD1147" s="49"/>
      <c r="AE1147" s="49"/>
      <c r="AF1147" s="49"/>
      <c r="AG1147" s="49"/>
      <c r="AH1147" s="49"/>
      <c r="AI1147" s="49"/>
      <c r="AJ1147" s="49"/>
      <c r="AK1147" s="49"/>
      <c r="AL1147" s="49"/>
      <c r="AM1147" s="49"/>
      <c r="AN1147" s="49"/>
      <c r="AO1147" s="49"/>
      <c r="AP1147" s="49"/>
      <c r="AQ1147" s="49"/>
      <c r="AR1147" s="49"/>
      <c r="AS1147" s="49"/>
      <c r="AT1147" s="49"/>
      <c r="AU1147" s="49"/>
      <c r="AV1147" s="49"/>
      <c r="AW1147" s="49"/>
      <c r="AX1147" s="49"/>
      <c r="AY1147" s="49"/>
      <c r="AZ1147" s="49"/>
      <c r="BA1147" s="49"/>
      <c r="BB1147" s="49"/>
      <c r="BC1147" s="49"/>
      <c r="BD1147" s="49"/>
      <c r="BE1147" s="68"/>
    </row>
    <row r="1148" spans="1:57" s="51" customFormat="1" ht="25.5">
      <c r="A1148" s="391" t="s">
        <v>1068</v>
      </c>
      <c r="B1148" s="60" t="s">
        <v>1069</v>
      </c>
      <c r="C1148" s="106"/>
      <c r="D1148" s="62">
        <v>2023</v>
      </c>
      <c r="E1148" s="63">
        <f t="shared" si="384"/>
        <v>0.82240000000000002</v>
      </c>
      <c r="F1148" s="63">
        <v>0.82240000000000002</v>
      </c>
      <c r="G1148" s="63">
        <v>0</v>
      </c>
      <c r="H1148" s="63">
        <v>0</v>
      </c>
      <c r="I1148" s="63">
        <v>0</v>
      </c>
      <c r="J1148" s="63">
        <v>0</v>
      </c>
      <c r="K1148" s="86">
        <f t="shared" si="383"/>
        <v>0.82240000000000002</v>
      </c>
      <c r="L1148" s="136"/>
      <c r="M1148" s="88"/>
      <c r="N1148" s="89"/>
      <c r="O1148" s="834"/>
      <c r="P1148" s="49"/>
      <c r="Q1148" s="49"/>
      <c r="R1148" s="49"/>
      <c r="S1148" s="49"/>
      <c r="T1148" s="49"/>
      <c r="U1148" s="49"/>
      <c r="V1148" s="49"/>
      <c r="W1148" s="49"/>
      <c r="X1148" s="49"/>
      <c r="Y1148" s="49"/>
      <c r="Z1148" s="49"/>
      <c r="AA1148" s="49"/>
      <c r="AB1148" s="49"/>
      <c r="AC1148" s="49"/>
      <c r="AD1148" s="49"/>
      <c r="AE1148" s="49"/>
      <c r="AF1148" s="49"/>
      <c r="AG1148" s="49"/>
      <c r="AH1148" s="49"/>
      <c r="AI1148" s="49"/>
      <c r="AJ1148" s="49"/>
      <c r="AK1148" s="49"/>
      <c r="AL1148" s="49"/>
      <c r="AM1148" s="49"/>
      <c r="AN1148" s="49"/>
      <c r="AO1148" s="49"/>
      <c r="AP1148" s="49"/>
      <c r="AQ1148" s="49"/>
      <c r="AR1148" s="49"/>
      <c r="AS1148" s="49"/>
      <c r="AT1148" s="49"/>
      <c r="AU1148" s="49"/>
      <c r="AV1148" s="49"/>
      <c r="AW1148" s="49"/>
      <c r="AX1148" s="49"/>
      <c r="AY1148" s="49"/>
      <c r="AZ1148" s="49"/>
      <c r="BA1148" s="49"/>
      <c r="BB1148" s="49"/>
      <c r="BC1148" s="49"/>
      <c r="BD1148" s="49"/>
      <c r="BE1148" s="68"/>
    </row>
    <row r="1149" spans="1:57" s="51" customFormat="1" ht="38.25">
      <c r="A1149" s="391" t="s">
        <v>1070</v>
      </c>
      <c r="B1149" s="60" t="s">
        <v>1071</v>
      </c>
      <c r="C1149" s="106"/>
      <c r="D1149" s="62">
        <v>2024</v>
      </c>
      <c r="E1149" s="63">
        <f t="shared" si="384"/>
        <v>0.85529999999999995</v>
      </c>
      <c r="F1149" s="63">
        <v>0.85529999999999995</v>
      </c>
      <c r="G1149" s="63">
        <v>0</v>
      </c>
      <c r="H1149" s="63">
        <v>0</v>
      </c>
      <c r="I1149" s="63">
        <v>0</v>
      </c>
      <c r="J1149" s="63">
        <v>0</v>
      </c>
      <c r="K1149" s="86">
        <f t="shared" si="383"/>
        <v>0.85529999999999995</v>
      </c>
      <c r="L1149" s="136"/>
      <c r="M1149" s="88"/>
      <c r="N1149" s="89"/>
      <c r="O1149" s="834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49"/>
      <c r="AU1149" s="49"/>
      <c r="AV1149" s="49"/>
      <c r="AW1149" s="49"/>
      <c r="AX1149" s="49"/>
      <c r="AY1149" s="49"/>
      <c r="AZ1149" s="49"/>
      <c r="BA1149" s="49"/>
      <c r="BB1149" s="49"/>
      <c r="BC1149" s="49"/>
      <c r="BD1149" s="49"/>
      <c r="BE1149" s="68"/>
    </row>
    <row r="1150" spans="1:57" s="51" customFormat="1" ht="25.5">
      <c r="A1150" s="391" t="s">
        <v>1072</v>
      </c>
      <c r="B1150" s="60" t="s">
        <v>1073</v>
      </c>
      <c r="C1150" s="106"/>
      <c r="D1150" s="62">
        <v>2025</v>
      </c>
      <c r="E1150" s="63">
        <f t="shared" si="384"/>
        <v>0.88949999999999996</v>
      </c>
      <c r="F1150" s="63">
        <v>0.88949999999999996</v>
      </c>
      <c r="G1150" s="63">
        <v>0</v>
      </c>
      <c r="H1150" s="63">
        <v>0</v>
      </c>
      <c r="I1150" s="63">
        <v>0</v>
      </c>
      <c r="J1150" s="63">
        <v>0</v>
      </c>
      <c r="K1150" s="86">
        <f t="shared" si="383"/>
        <v>0.88949999999999996</v>
      </c>
      <c r="L1150" s="136"/>
      <c r="M1150" s="88"/>
      <c r="N1150" s="89"/>
      <c r="O1150" s="834"/>
      <c r="P1150" s="49"/>
      <c r="Q1150" s="49"/>
      <c r="R1150" s="49"/>
      <c r="S1150" s="49"/>
      <c r="T1150" s="49"/>
      <c r="U1150" s="49"/>
      <c r="V1150" s="49"/>
      <c r="W1150" s="49"/>
      <c r="X1150" s="49"/>
      <c r="Y1150" s="49"/>
      <c r="Z1150" s="49"/>
      <c r="AA1150" s="49"/>
      <c r="AB1150" s="49"/>
      <c r="AC1150" s="49"/>
      <c r="AD1150" s="49"/>
      <c r="AE1150" s="49"/>
      <c r="AF1150" s="49"/>
      <c r="AG1150" s="49"/>
      <c r="AH1150" s="49"/>
      <c r="AI1150" s="49"/>
      <c r="AJ1150" s="49"/>
      <c r="AK1150" s="49"/>
      <c r="AL1150" s="49"/>
      <c r="AM1150" s="49"/>
      <c r="AN1150" s="49"/>
      <c r="AO1150" s="49"/>
      <c r="AP1150" s="49"/>
      <c r="AQ1150" s="49"/>
      <c r="AR1150" s="49"/>
      <c r="AS1150" s="49"/>
      <c r="AT1150" s="49"/>
      <c r="AU1150" s="49"/>
      <c r="AV1150" s="49"/>
      <c r="AW1150" s="49"/>
      <c r="AX1150" s="49"/>
      <c r="AY1150" s="49"/>
      <c r="AZ1150" s="49"/>
      <c r="BA1150" s="49"/>
      <c r="BB1150" s="49"/>
      <c r="BC1150" s="49"/>
      <c r="BD1150" s="49"/>
      <c r="BE1150" s="68"/>
    </row>
    <row r="1151" spans="1:57" s="51" customFormat="1" ht="29.25" customHeight="1">
      <c r="A1151" s="391" t="s">
        <v>1074</v>
      </c>
      <c r="B1151" s="60" t="s">
        <v>1075</v>
      </c>
      <c r="C1151" s="112"/>
      <c r="D1151" s="62">
        <v>2026</v>
      </c>
      <c r="E1151" s="63">
        <f t="shared" si="384"/>
        <v>3.0659000000000001</v>
      </c>
      <c r="F1151" s="63">
        <v>3.0659000000000001</v>
      </c>
      <c r="G1151" s="63">
        <v>0</v>
      </c>
      <c r="H1151" s="63">
        <v>0</v>
      </c>
      <c r="I1151" s="63">
        <v>0</v>
      </c>
      <c r="J1151" s="63">
        <v>0</v>
      </c>
      <c r="K1151" s="86">
        <f t="shared" si="383"/>
        <v>3.0659000000000001</v>
      </c>
      <c r="L1151" s="136"/>
      <c r="M1151" s="88"/>
      <c r="N1151" s="89"/>
      <c r="O1151" s="834"/>
      <c r="P1151" s="49"/>
      <c r="Q1151" s="49"/>
      <c r="R1151" s="49"/>
      <c r="S1151" s="49"/>
      <c r="T1151" s="49"/>
      <c r="U1151" s="49"/>
      <c r="V1151" s="49"/>
      <c r="W1151" s="49"/>
      <c r="X1151" s="49"/>
      <c r="Y1151" s="49"/>
      <c r="Z1151" s="49"/>
      <c r="AA1151" s="49"/>
      <c r="AB1151" s="49"/>
      <c r="AC1151" s="49"/>
      <c r="AD1151" s="49"/>
      <c r="AE1151" s="49"/>
      <c r="AF1151" s="49"/>
      <c r="AG1151" s="49"/>
      <c r="AH1151" s="49"/>
      <c r="AI1151" s="49"/>
      <c r="AJ1151" s="49"/>
      <c r="AK1151" s="49"/>
      <c r="AL1151" s="49"/>
      <c r="AM1151" s="49"/>
      <c r="AN1151" s="49"/>
      <c r="AO1151" s="49"/>
      <c r="AP1151" s="49"/>
      <c r="AQ1151" s="49"/>
      <c r="AR1151" s="49"/>
      <c r="AS1151" s="49"/>
      <c r="AT1151" s="49"/>
      <c r="AU1151" s="49"/>
      <c r="AV1151" s="49"/>
      <c r="AW1151" s="49"/>
      <c r="AX1151" s="49"/>
      <c r="AY1151" s="49"/>
      <c r="AZ1151" s="49"/>
      <c r="BA1151" s="49"/>
      <c r="BB1151" s="49"/>
      <c r="BC1151" s="49"/>
      <c r="BD1151" s="49"/>
      <c r="BE1151" s="68"/>
    </row>
    <row r="1152" spans="1:57">
      <c r="A1152" s="1088">
        <v>21</v>
      </c>
      <c r="B1152" s="929" t="s">
        <v>286</v>
      </c>
      <c r="C1152" s="1082"/>
      <c r="D1152" s="114" t="s">
        <v>16</v>
      </c>
      <c r="E1152" s="115">
        <f t="shared" ref="E1152:J1152" si="385">SUM(E1153:E1164)</f>
        <v>0.11700000000000001</v>
      </c>
      <c r="F1152" s="115">
        <f t="shared" si="385"/>
        <v>0.11700000000000001</v>
      </c>
      <c r="G1152" s="115">
        <f t="shared" si="385"/>
        <v>0</v>
      </c>
      <c r="H1152" s="115">
        <f t="shared" si="385"/>
        <v>0</v>
      </c>
      <c r="I1152" s="115">
        <f t="shared" si="385"/>
        <v>0</v>
      </c>
      <c r="J1152" s="115">
        <f t="shared" si="385"/>
        <v>0</v>
      </c>
      <c r="K1152" s="86">
        <f t="shared" si="383"/>
        <v>0.11700000000000001</v>
      </c>
      <c r="L1152" s="292"/>
      <c r="M1152" s="349"/>
      <c r="N1152" s="196"/>
      <c r="O1152" s="93"/>
    </row>
    <row r="1153" spans="1:15">
      <c r="A1153" s="944"/>
      <c r="B1153" s="957"/>
      <c r="C1153" s="1061"/>
      <c r="D1153" s="114">
        <v>2019</v>
      </c>
      <c r="E1153" s="115">
        <f t="shared" ref="E1153:K1153" si="386">E1177+E1179</f>
        <v>0.11700000000000001</v>
      </c>
      <c r="F1153" s="115">
        <f t="shared" si="386"/>
        <v>0.11700000000000001</v>
      </c>
      <c r="G1153" s="115">
        <f t="shared" si="386"/>
        <v>0</v>
      </c>
      <c r="H1153" s="115">
        <f t="shared" si="386"/>
        <v>0</v>
      </c>
      <c r="I1153" s="115">
        <f t="shared" si="386"/>
        <v>0</v>
      </c>
      <c r="J1153" s="115">
        <f t="shared" si="386"/>
        <v>0</v>
      </c>
      <c r="K1153" s="115">
        <f t="shared" si="386"/>
        <v>0.11700000000000001</v>
      </c>
      <c r="L1153" s="292"/>
      <c r="M1153" s="349"/>
      <c r="N1153" s="196"/>
      <c r="O1153" s="93"/>
    </row>
    <row r="1154" spans="1:15">
      <c r="A1154" s="944"/>
      <c r="B1154" s="957"/>
      <c r="C1154" s="1061"/>
      <c r="D1154" s="114">
        <v>2020</v>
      </c>
      <c r="E1154" s="115">
        <f t="shared" ref="E1154:E1164" si="387">F1154+G1154+H1154+I1154+J1154</f>
        <v>0</v>
      </c>
      <c r="F1154" s="115">
        <f>F1166</f>
        <v>0</v>
      </c>
      <c r="G1154" s="115">
        <f>G1166+G1193</f>
        <v>0</v>
      </c>
      <c r="H1154" s="115">
        <f>H1166+H1193</f>
        <v>0</v>
      </c>
      <c r="I1154" s="115">
        <f>I1166+I1193</f>
        <v>0</v>
      </c>
      <c r="J1154" s="115">
        <f>J1166+J1193</f>
        <v>0</v>
      </c>
      <c r="K1154" s="86">
        <f t="shared" ref="K1154:K1185" si="388">F1154+G1154+H1154+I1154+J1154</f>
        <v>0</v>
      </c>
      <c r="L1154" s="292"/>
      <c r="M1154" s="349"/>
      <c r="N1154" s="196"/>
      <c r="O1154" s="93"/>
    </row>
    <row r="1155" spans="1:15">
      <c r="A1155" s="944"/>
      <c r="B1155" s="957"/>
      <c r="C1155" s="1061"/>
      <c r="D1155" s="114">
        <v>2021</v>
      </c>
      <c r="E1155" s="115">
        <f t="shared" si="387"/>
        <v>0</v>
      </c>
      <c r="F1155" s="115">
        <f>F1166</f>
        <v>0</v>
      </c>
      <c r="G1155" s="115">
        <f>G1166</f>
        <v>0</v>
      </c>
      <c r="H1155" s="115">
        <f>H1166</f>
        <v>0</v>
      </c>
      <c r="I1155" s="115">
        <f>I1166</f>
        <v>0</v>
      </c>
      <c r="J1155" s="115">
        <f>J1166</f>
        <v>0</v>
      </c>
      <c r="K1155" s="86">
        <f t="shared" si="388"/>
        <v>0</v>
      </c>
      <c r="L1155" s="292"/>
      <c r="M1155" s="349"/>
      <c r="N1155" s="196"/>
      <c r="O1155" s="93"/>
    </row>
    <row r="1156" spans="1:15">
      <c r="A1156" s="944"/>
      <c r="B1156" s="957"/>
      <c r="C1156" s="1061"/>
      <c r="D1156" s="114">
        <v>2022</v>
      </c>
      <c r="E1156" s="115">
        <f t="shared" si="387"/>
        <v>0</v>
      </c>
      <c r="F1156" s="115">
        <f t="shared" ref="F1156:J1164" si="389">F1168</f>
        <v>0</v>
      </c>
      <c r="G1156" s="115">
        <f t="shared" si="389"/>
        <v>0</v>
      </c>
      <c r="H1156" s="115">
        <f t="shared" si="389"/>
        <v>0</v>
      </c>
      <c r="I1156" s="115">
        <f t="shared" si="389"/>
        <v>0</v>
      </c>
      <c r="J1156" s="115">
        <f t="shared" si="389"/>
        <v>0</v>
      </c>
      <c r="K1156" s="86">
        <f t="shared" si="388"/>
        <v>0</v>
      </c>
      <c r="L1156" s="292"/>
      <c r="M1156" s="349"/>
      <c r="N1156" s="196"/>
      <c r="O1156" s="93"/>
    </row>
    <row r="1157" spans="1:15">
      <c r="A1157" s="944"/>
      <c r="B1157" s="957"/>
      <c r="C1157" s="1061"/>
      <c r="D1157" s="114">
        <v>2023</v>
      </c>
      <c r="E1157" s="115">
        <f t="shared" si="387"/>
        <v>0</v>
      </c>
      <c r="F1157" s="115">
        <f t="shared" si="389"/>
        <v>0</v>
      </c>
      <c r="G1157" s="115">
        <f t="shared" si="389"/>
        <v>0</v>
      </c>
      <c r="H1157" s="115">
        <f t="shared" si="389"/>
        <v>0</v>
      </c>
      <c r="I1157" s="115">
        <f t="shared" si="389"/>
        <v>0</v>
      </c>
      <c r="J1157" s="115">
        <f t="shared" si="389"/>
        <v>0</v>
      </c>
      <c r="K1157" s="86">
        <f t="shared" si="388"/>
        <v>0</v>
      </c>
      <c r="L1157" s="292"/>
      <c r="M1157" s="349"/>
      <c r="N1157" s="196"/>
      <c r="O1157" s="93"/>
    </row>
    <row r="1158" spans="1:15">
      <c r="A1158" s="944"/>
      <c r="B1158" s="957"/>
      <c r="C1158" s="1061"/>
      <c r="D1158" s="114">
        <v>2024</v>
      </c>
      <c r="E1158" s="115">
        <f t="shared" si="387"/>
        <v>0</v>
      </c>
      <c r="F1158" s="115">
        <f t="shared" si="389"/>
        <v>0</v>
      </c>
      <c r="G1158" s="115">
        <f t="shared" si="389"/>
        <v>0</v>
      </c>
      <c r="H1158" s="115">
        <f t="shared" si="389"/>
        <v>0</v>
      </c>
      <c r="I1158" s="115">
        <f t="shared" si="389"/>
        <v>0</v>
      </c>
      <c r="J1158" s="115">
        <f t="shared" si="389"/>
        <v>0</v>
      </c>
      <c r="K1158" s="86">
        <f t="shared" si="388"/>
        <v>0</v>
      </c>
      <c r="L1158" s="292"/>
      <c r="M1158" s="349"/>
      <c r="N1158" s="196"/>
      <c r="O1158" s="93"/>
    </row>
    <row r="1159" spans="1:15">
      <c r="A1159" s="944"/>
      <c r="B1159" s="957"/>
      <c r="C1159" s="1061"/>
      <c r="D1159" s="114">
        <v>2025</v>
      </c>
      <c r="E1159" s="115">
        <f t="shared" si="387"/>
        <v>0</v>
      </c>
      <c r="F1159" s="115">
        <f t="shared" si="389"/>
        <v>0</v>
      </c>
      <c r="G1159" s="115">
        <f t="shared" si="389"/>
        <v>0</v>
      </c>
      <c r="H1159" s="115">
        <f t="shared" si="389"/>
        <v>0</v>
      </c>
      <c r="I1159" s="115">
        <f t="shared" si="389"/>
        <v>0</v>
      </c>
      <c r="J1159" s="115">
        <f t="shared" si="389"/>
        <v>0</v>
      </c>
      <c r="K1159" s="86">
        <f t="shared" si="388"/>
        <v>0</v>
      </c>
      <c r="L1159" s="292"/>
      <c r="M1159" s="349"/>
      <c r="N1159" s="196"/>
      <c r="O1159" s="93"/>
    </row>
    <row r="1160" spans="1:15">
      <c r="A1160" s="944"/>
      <c r="B1160" s="957"/>
      <c r="C1160" s="1061"/>
      <c r="D1160" s="114">
        <v>2026</v>
      </c>
      <c r="E1160" s="115">
        <f t="shared" si="387"/>
        <v>0</v>
      </c>
      <c r="F1160" s="115">
        <f t="shared" si="389"/>
        <v>0</v>
      </c>
      <c r="G1160" s="115">
        <f t="shared" si="389"/>
        <v>0</v>
      </c>
      <c r="H1160" s="115">
        <f t="shared" si="389"/>
        <v>0</v>
      </c>
      <c r="I1160" s="115">
        <f t="shared" si="389"/>
        <v>0</v>
      </c>
      <c r="J1160" s="115">
        <f t="shared" si="389"/>
        <v>0</v>
      </c>
      <c r="K1160" s="86">
        <f t="shared" si="388"/>
        <v>0</v>
      </c>
      <c r="L1160" s="292"/>
      <c r="M1160" s="349"/>
      <c r="N1160" s="196"/>
      <c r="O1160" s="93"/>
    </row>
    <row r="1161" spans="1:15">
      <c r="A1161" s="944"/>
      <c r="B1161" s="957"/>
      <c r="C1161" s="1061"/>
      <c r="D1161" s="114">
        <v>2027</v>
      </c>
      <c r="E1161" s="115">
        <f t="shared" si="387"/>
        <v>0</v>
      </c>
      <c r="F1161" s="115">
        <f t="shared" si="389"/>
        <v>0</v>
      </c>
      <c r="G1161" s="115">
        <f t="shared" si="389"/>
        <v>0</v>
      </c>
      <c r="H1161" s="115">
        <f t="shared" si="389"/>
        <v>0</v>
      </c>
      <c r="I1161" s="115">
        <f t="shared" si="389"/>
        <v>0</v>
      </c>
      <c r="J1161" s="115">
        <f t="shared" si="389"/>
        <v>0</v>
      </c>
      <c r="K1161" s="86">
        <f t="shared" si="388"/>
        <v>0</v>
      </c>
      <c r="L1161" s="292"/>
      <c r="M1161" s="349"/>
      <c r="N1161" s="196"/>
      <c r="O1161" s="93"/>
    </row>
    <row r="1162" spans="1:15">
      <c r="A1162" s="944"/>
      <c r="B1162" s="957"/>
      <c r="C1162" s="1061"/>
      <c r="D1162" s="114">
        <v>2028</v>
      </c>
      <c r="E1162" s="115">
        <f t="shared" si="387"/>
        <v>0</v>
      </c>
      <c r="F1162" s="115">
        <f t="shared" si="389"/>
        <v>0</v>
      </c>
      <c r="G1162" s="115">
        <f t="shared" si="389"/>
        <v>0</v>
      </c>
      <c r="H1162" s="115">
        <f t="shared" si="389"/>
        <v>0</v>
      </c>
      <c r="I1162" s="115">
        <f t="shared" si="389"/>
        <v>0</v>
      </c>
      <c r="J1162" s="115">
        <f t="shared" si="389"/>
        <v>0</v>
      </c>
      <c r="K1162" s="86">
        <f t="shared" si="388"/>
        <v>0</v>
      </c>
      <c r="L1162" s="292"/>
      <c r="M1162" s="349"/>
      <c r="N1162" s="196"/>
      <c r="O1162" s="93"/>
    </row>
    <row r="1163" spans="1:15">
      <c r="A1163" s="944"/>
      <c r="B1163" s="957"/>
      <c r="C1163" s="1061"/>
      <c r="D1163" s="114">
        <v>2029</v>
      </c>
      <c r="E1163" s="115">
        <f t="shared" si="387"/>
        <v>0</v>
      </c>
      <c r="F1163" s="115">
        <f t="shared" si="389"/>
        <v>0</v>
      </c>
      <c r="G1163" s="115">
        <f t="shared" si="389"/>
        <v>0</v>
      </c>
      <c r="H1163" s="115">
        <f t="shared" si="389"/>
        <v>0</v>
      </c>
      <c r="I1163" s="115">
        <f t="shared" si="389"/>
        <v>0</v>
      </c>
      <c r="J1163" s="115">
        <f t="shared" si="389"/>
        <v>0</v>
      </c>
      <c r="K1163" s="86">
        <f t="shared" si="388"/>
        <v>0</v>
      </c>
      <c r="L1163" s="292"/>
      <c r="M1163" s="349"/>
      <c r="N1163" s="196"/>
      <c r="O1163" s="93"/>
    </row>
    <row r="1164" spans="1:15">
      <c r="A1164" s="945"/>
      <c r="B1164" s="859"/>
      <c r="C1164" s="1062"/>
      <c r="D1164" s="114">
        <v>2030</v>
      </c>
      <c r="E1164" s="115">
        <f t="shared" si="387"/>
        <v>0</v>
      </c>
      <c r="F1164" s="115">
        <f t="shared" si="389"/>
        <v>0</v>
      </c>
      <c r="G1164" s="115">
        <f t="shared" si="389"/>
        <v>0</v>
      </c>
      <c r="H1164" s="115">
        <f t="shared" si="389"/>
        <v>0</v>
      </c>
      <c r="I1164" s="115">
        <f t="shared" si="389"/>
        <v>0</v>
      </c>
      <c r="J1164" s="115">
        <f t="shared" si="389"/>
        <v>0</v>
      </c>
      <c r="K1164" s="86">
        <f t="shared" si="388"/>
        <v>0</v>
      </c>
      <c r="L1164" s="292"/>
      <c r="M1164" s="349"/>
      <c r="N1164" s="196"/>
      <c r="O1164" s="93"/>
    </row>
    <row r="1165" spans="1:15">
      <c r="A1165" s="1083" t="s">
        <v>1076</v>
      </c>
      <c r="B1165" s="867" t="s">
        <v>1077</v>
      </c>
      <c r="C1165" s="405"/>
      <c r="D1165" s="114" t="s">
        <v>16</v>
      </c>
      <c r="E1165" s="115">
        <f t="shared" ref="E1165:J1165" si="390">SUM(E1166:E1176)</f>
        <v>0</v>
      </c>
      <c r="F1165" s="115">
        <f t="shared" si="390"/>
        <v>0</v>
      </c>
      <c r="G1165" s="115">
        <f t="shared" si="390"/>
        <v>0</v>
      </c>
      <c r="H1165" s="115">
        <f t="shared" si="390"/>
        <v>0</v>
      </c>
      <c r="I1165" s="115">
        <f t="shared" si="390"/>
        <v>0</v>
      </c>
      <c r="J1165" s="115">
        <f t="shared" si="390"/>
        <v>0</v>
      </c>
      <c r="K1165" s="86">
        <f t="shared" si="388"/>
        <v>0</v>
      </c>
      <c r="L1165" s="292"/>
      <c r="M1165" s="349"/>
      <c r="N1165" s="196"/>
      <c r="O1165" s="914" t="s">
        <v>527</v>
      </c>
    </row>
    <row r="1166" spans="1:15">
      <c r="A1166" s="1084"/>
      <c r="B1166" s="872"/>
      <c r="C1166" s="1094"/>
      <c r="D1166" s="103">
        <v>2020</v>
      </c>
      <c r="E1166" s="108">
        <f t="shared" ref="E1166:E1176" si="391">F1166+G1166+H1166+I1166+J1166</f>
        <v>0</v>
      </c>
      <c r="F1166" s="108">
        <v>0</v>
      </c>
      <c r="G1166" s="108">
        <v>0</v>
      </c>
      <c r="H1166" s="108">
        <v>0</v>
      </c>
      <c r="I1166" s="108">
        <v>0</v>
      </c>
      <c r="J1166" s="108">
        <v>0</v>
      </c>
      <c r="K1166" s="86">
        <f t="shared" si="388"/>
        <v>0</v>
      </c>
      <c r="L1166" s="292"/>
      <c r="M1166" s="349"/>
      <c r="N1166" s="196"/>
      <c r="O1166" s="826"/>
    </row>
    <row r="1167" spans="1:15" ht="12.75" customHeight="1">
      <c r="A1167" s="1084"/>
      <c r="B1167" s="872"/>
      <c r="C1167" s="1094"/>
      <c r="D1167" s="103">
        <v>2021</v>
      </c>
      <c r="E1167" s="108">
        <f t="shared" si="391"/>
        <v>0</v>
      </c>
      <c r="F1167" s="108">
        <v>0</v>
      </c>
      <c r="G1167" s="108">
        <v>0</v>
      </c>
      <c r="H1167" s="108">
        <v>0</v>
      </c>
      <c r="I1167" s="108">
        <v>0</v>
      </c>
      <c r="J1167" s="108">
        <v>0</v>
      </c>
      <c r="K1167" s="86">
        <f t="shared" si="388"/>
        <v>0</v>
      </c>
      <c r="L1167" s="292"/>
      <c r="M1167" s="349"/>
      <c r="N1167" s="196"/>
      <c r="O1167" s="826"/>
    </row>
    <row r="1168" spans="1:15">
      <c r="A1168" s="1084"/>
      <c r="B1168" s="872"/>
      <c r="C1168" s="1094"/>
      <c r="D1168" s="103">
        <v>2022</v>
      </c>
      <c r="E1168" s="108">
        <f t="shared" si="391"/>
        <v>0</v>
      </c>
      <c r="F1168" s="108">
        <v>0</v>
      </c>
      <c r="G1168" s="108">
        <v>0</v>
      </c>
      <c r="H1168" s="108">
        <v>0</v>
      </c>
      <c r="I1168" s="108">
        <v>0</v>
      </c>
      <c r="J1168" s="108">
        <v>0</v>
      </c>
      <c r="K1168" s="86">
        <f t="shared" si="388"/>
        <v>0</v>
      </c>
      <c r="L1168" s="292"/>
      <c r="M1168" s="349"/>
      <c r="N1168" s="196"/>
      <c r="O1168" s="826"/>
    </row>
    <row r="1169" spans="1:15">
      <c r="A1169" s="1084"/>
      <c r="B1169" s="872"/>
      <c r="C1169" s="1094"/>
      <c r="D1169" s="103">
        <v>2023</v>
      </c>
      <c r="E1169" s="108">
        <f t="shared" si="391"/>
        <v>0</v>
      </c>
      <c r="F1169" s="108">
        <v>0</v>
      </c>
      <c r="G1169" s="108">
        <v>0</v>
      </c>
      <c r="H1169" s="108">
        <v>0</v>
      </c>
      <c r="I1169" s="108">
        <v>0</v>
      </c>
      <c r="J1169" s="108">
        <v>0</v>
      </c>
      <c r="K1169" s="86">
        <f t="shared" si="388"/>
        <v>0</v>
      </c>
      <c r="L1169" s="292"/>
      <c r="M1169" s="349"/>
      <c r="N1169" s="196"/>
      <c r="O1169" s="826"/>
    </row>
    <row r="1170" spans="1:15">
      <c r="A1170" s="1084"/>
      <c r="B1170" s="872"/>
      <c r="C1170" s="1094"/>
      <c r="D1170" s="103">
        <v>2024</v>
      </c>
      <c r="E1170" s="108">
        <f t="shared" si="391"/>
        <v>0</v>
      </c>
      <c r="F1170" s="108">
        <v>0</v>
      </c>
      <c r="G1170" s="108">
        <v>0</v>
      </c>
      <c r="H1170" s="108">
        <v>0</v>
      </c>
      <c r="I1170" s="108">
        <v>0</v>
      </c>
      <c r="J1170" s="108">
        <v>0</v>
      </c>
      <c r="K1170" s="86">
        <f t="shared" si="388"/>
        <v>0</v>
      </c>
      <c r="L1170" s="292"/>
      <c r="M1170" s="349"/>
      <c r="N1170" s="196"/>
      <c r="O1170" s="826"/>
    </row>
    <row r="1171" spans="1:15">
      <c r="A1171" s="1084"/>
      <c r="B1171" s="872"/>
      <c r="C1171" s="1095"/>
      <c r="D1171" s="103">
        <v>2025</v>
      </c>
      <c r="E1171" s="108">
        <f t="shared" si="391"/>
        <v>0</v>
      </c>
      <c r="F1171" s="108">
        <v>0</v>
      </c>
      <c r="G1171" s="108">
        <v>0</v>
      </c>
      <c r="H1171" s="108">
        <v>0</v>
      </c>
      <c r="I1171" s="108">
        <v>0</v>
      </c>
      <c r="J1171" s="108">
        <v>0</v>
      </c>
      <c r="K1171" s="86">
        <f t="shared" si="388"/>
        <v>0</v>
      </c>
      <c r="L1171" s="292"/>
      <c r="M1171" s="349"/>
      <c r="N1171" s="196"/>
      <c r="O1171" s="826"/>
    </row>
    <row r="1172" spans="1:15">
      <c r="A1172" s="1084"/>
      <c r="B1172" s="872"/>
      <c r="C1172" s="870" t="s">
        <v>1078</v>
      </c>
      <c r="D1172" s="103">
        <v>2026</v>
      </c>
      <c r="E1172" s="108">
        <f t="shared" si="391"/>
        <v>0</v>
      </c>
      <c r="F1172" s="108">
        <v>0</v>
      </c>
      <c r="G1172" s="108">
        <v>0</v>
      </c>
      <c r="H1172" s="108">
        <v>0</v>
      </c>
      <c r="I1172" s="108">
        <v>0</v>
      </c>
      <c r="J1172" s="108">
        <v>0</v>
      </c>
      <c r="K1172" s="86">
        <f t="shared" si="388"/>
        <v>0</v>
      </c>
      <c r="L1172" s="292"/>
      <c r="M1172" s="349"/>
      <c r="N1172" s="196"/>
      <c r="O1172" s="826"/>
    </row>
    <row r="1173" spans="1:15">
      <c r="A1173" s="1084"/>
      <c r="B1173" s="872"/>
      <c r="C1173" s="870"/>
      <c r="D1173" s="103">
        <v>2027</v>
      </c>
      <c r="E1173" s="108">
        <f t="shared" si="391"/>
        <v>0</v>
      </c>
      <c r="F1173" s="108">
        <v>0</v>
      </c>
      <c r="G1173" s="108">
        <v>0</v>
      </c>
      <c r="H1173" s="108">
        <v>0</v>
      </c>
      <c r="I1173" s="108">
        <v>0</v>
      </c>
      <c r="J1173" s="108">
        <v>0</v>
      </c>
      <c r="K1173" s="86">
        <f t="shared" si="388"/>
        <v>0</v>
      </c>
      <c r="L1173" s="292"/>
      <c r="M1173" s="349"/>
      <c r="N1173" s="196"/>
      <c r="O1173" s="826"/>
    </row>
    <row r="1174" spans="1:15">
      <c r="A1174" s="1084"/>
      <c r="B1174" s="872"/>
      <c r="C1174" s="870"/>
      <c r="D1174" s="103">
        <v>2028</v>
      </c>
      <c r="E1174" s="108">
        <f t="shared" si="391"/>
        <v>0</v>
      </c>
      <c r="F1174" s="108">
        <v>0</v>
      </c>
      <c r="G1174" s="108">
        <v>0</v>
      </c>
      <c r="H1174" s="108">
        <v>0</v>
      </c>
      <c r="I1174" s="108">
        <v>0</v>
      </c>
      <c r="J1174" s="108">
        <v>0</v>
      </c>
      <c r="K1174" s="86">
        <f t="shared" si="388"/>
        <v>0</v>
      </c>
      <c r="L1174" s="292"/>
      <c r="M1174" s="349"/>
      <c r="N1174" s="196"/>
      <c r="O1174" s="826"/>
    </row>
    <row r="1175" spans="1:15">
      <c r="A1175" s="1084"/>
      <c r="B1175" s="872"/>
      <c r="C1175" s="870"/>
      <c r="D1175" s="103">
        <v>2029</v>
      </c>
      <c r="E1175" s="108">
        <f t="shared" si="391"/>
        <v>0</v>
      </c>
      <c r="F1175" s="108">
        <v>0</v>
      </c>
      <c r="G1175" s="108">
        <v>0</v>
      </c>
      <c r="H1175" s="108">
        <v>0</v>
      </c>
      <c r="I1175" s="108">
        <v>0</v>
      </c>
      <c r="J1175" s="108">
        <v>0</v>
      </c>
      <c r="K1175" s="86">
        <f t="shared" si="388"/>
        <v>0</v>
      </c>
      <c r="L1175" s="292"/>
      <c r="M1175" s="349"/>
      <c r="N1175" s="196"/>
      <c r="O1175" s="826"/>
    </row>
    <row r="1176" spans="1:15">
      <c r="A1176" s="1085"/>
      <c r="B1176" s="873"/>
      <c r="C1176" s="870"/>
      <c r="D1176" s="103">
        <v>2030</v>
      </c>
      <c r="E1176" s="108">
        <f t="shared" si="391"/>
        <v>0</v>
      </c>
      <c r="F1176" s="108">
        <v>0</v>
      </c>
      <c r="G1176" s="108">
        <v>0</v>
      </c>
      <c r="H1176" s="108">
        <v>0</v>
      </c>
      <c r="I1176" s="108">
        <v>0</v>
      </c>
      <c r="J1176" s="108">
        <v>0</v>
      </c>
      <c r="K1176" s="86">
        <f t="shared" si="388"/>
        <v>0</v>
      </c>
      <c r="L1176" s="292"/>
      <c r="M1176" s="349"/>
      <c r="N1176" s="196"/>
      <c r="O1176" s="952"/>
    </row>
    <row r="1177" spans="1:15" ht="63.75">
      <c r="A1177" s="447" t="s">
        <v>1079</v>
      </c>
      <c r="B1177" s="60" t="s">
        <v>1080</v>
      </c>
      <c r="C1177" s="446" t="s">
        <v>955</v>
      </c>
      <c r="D1177" s="103">
        <v>2019</v>
      </c>
      <c r="E1177" s="108">
        <v>0.11700000000000001</v>
      </c>
      <c r="F1177" s="108">
        <v>0.11700000000000001</v>
      </c>
      <c r="G1177" s="108">
        <v>0</v>
      </c>
      <c r="H1177" s="108">
        <v>0</v>
      </c>
      <c r="I1177" s="108">
        <v>0</v>
      </c>
      <c r="J1177" s="108">
        <v>0</v>
      </c>
      <c r="K1177" s="86">
        <f t="shared" si="388"/>
        <v>0.11700000000000001</v>
      </c>
      <c r="L1177" s="292"/>
      <c r="M1177" s="349"/>
      <c r="N1177" s="196"/>
      <c r="O1177" s="922" t="s">
        <v>1081</v>
      </c>
    </row>
    <row r="1178" spans="1:15" ht="18" customHeight="1">
      <c r="A1178" s="1087" t="s">
        <v>1082</v>
      </c>
      <c r="B1178" s="867" t="s">
        <v>1083</v>
      </c>
      <c r="C1178" s="445"/>
      <c r="D1178" s="114" t="s">
        <v>16</v>
      </c>
      <c r="E1178" s="115">
        <f t="shared" ref="E1178:J1178" si="392">E1179</f>
        <v>0</v>
      </c>
      <c r="F1178" s="115">
        <f t="shared" si="392"/>
        <v>0</v>
      </c>
      <c r="G1178" s="115">
        <f t="shared" si="392"/>
        <v>0</v>
      </c>
      <c r="H1178" s="115">
        <f t="shared" si="392"/>
        <v>0</v>
      </c>
      <c r="I1178" s="115">
        <f t="shared" si="392"/>
        <v>0</v>
      </c>
      <c r="J1178" s="115">
        <f t="shared" si="392"/>
        <v>0</v>
      </c>
      <c r="K1178" s="86">
        <f t="shared" si="388"/>
        <v>0</v>
      </c>
      <c r="L1178" s="292"/>
      <c r="M1178" s="349"/>
      <c r="N1178" s="196"/>
      <c r="O1178" s="922"/>
    </row>
    <row r="1179" spans="1:15" ht="27.75" customHeight="1">
      <c r="A1179" s="1087"/>
      <c r="B1179" s="873"/>
      <c r="C1179" s="446" t="s">
        <v>955</v>
      </c>
      <c r="D1179" s="103">
        <v>2019</v>
      </c>
      <c r="E1179" s="108">
        <f>F1179+G1179+H1179+I1179+J1179</f>
        <v>0</v>
      </c>
      <c r="F1179" s="108">
        <v>0</v>
      </c>
      <c r="G1179" s="108">
        <v>0</v>
      </c>
      <c r="H1179" s="108">
        <v>0</v>
      </c>
      <c r="I1179" s="108">
        <v>0</v>
      </c>
      <c r="J1179" s="108">
        <v>0</v>
      </c>
      <c r="K1179" s="86">
        <f t="shared" si="388"/>
        <v>0</v>
      </c>
      <c r="L1179" s="292"/>
      <c r="M1179" s="349"/>
      <c r="N1179" s="196"/>
      <c r="O1179" s="922"/>
    </row>
    <row r="1180" spans="1:15" ht="23.25" customHeight="1">
      <c r="A1180" s="1090" t="s">
        <v>1084</v>
      </c>
      <c r="B1180" s="929" t="s">
        <v>1085</v>
      </c>
      <c r="C1180" s="881" t="s">
        <v>1086</v>
      </c>
      <c r="D1180" s="114" t="s">
        <v>16</v>
      </c>
      <c r="E1180" s="115">
        <f t="shared" ref="E1180:J1180" si="393">E1181+E1182+E1183+E1184+E1185+E1186+E1187+E1188+E1189+E1190+E1191</f>
        <v>42.221675363553281</v>
      </c>
      <c r="F1180" s="115">
        <f t="shared" si="393"/>
        <v>42.221675363553281</v>
      </c>
      <c r="G1180" s="115">
        <f t="shared" si="393"/>
        <v>0</v>
      </c>
      <c r="H1180" s="115">
        <f t="shared" si="393"/>
        <v>0</v>
      </c>
      <c r="I1180" s="115">
        <f t="shared" si="393"/>
        <v>0</v>
      </c>
      <c r="J1180" s="115">
        <f t="shared" si="393"/>
        <v>0</v>
      </c>
      <c r="K1180" s="86">
        <f t="shared" si="388"/>
        <v>42.221675363553281</v>
      </c>
      <c r="L1180" s="292"/>
      <c r="M1180" s="349"/>
      <c r="N1180" s="196"/>
      <c r="O1180" s="914" t="s">
        <v>1081</v>
      </c>
    </row>
    <row r="1181" spans="1:15">
      <c r="A1181" s="1091"/>
      <c r="B1181" s="953"/>
      <c r="C1181" s="882"/>
      <c r="D1181" s="103">
        <v>2020</v>
      </c>
      <c r="E1181" s="108">
        <f t="shared" ref="E1181:J1181" si="394">E1193+E1195+E1207</f>
        <v>7.4136959999999998</v>
      </c>
      <c r="F1181" s="108">
        <f t="shared" si="394"/>
        <v>7.4136959999999998</v>
      </c>
      <c r="G1181" s="108">
        <f t="shared" si="394"/>
        <v>0</v>
      </c>
      <c r="H1181" s="108">
        <f t="shared" si="394"/>
        <v>0</v>
      </c>
      <c r="I1181" s="108">
        <f t="shared" si="394"/>
        <v>0</v>
      </c>
      <c r="J1181" s="108">
        <f t="shared" si="394"/>
        <v>0</v>
      </c>
      <c r="K1181" s="86">
        <f t="shared" si="388"/>
        <v>7.4136959999999998</v>
      </c>
      <c r="L1181" s="292"/>
      <c r="M1181" s="349"/>
      <c r="N1181" s="196"/>
      <c r="O1181" s="826"/>
    </row>
    <row r="1182" spans="1:15">
      <c r="A1182" s="1091"/>
      <c r="B1182" s="953"/>
      <c r="C1182" s="882"/>
      <c r="D1182" s="103">
        <v>2021</v>
      </c>
      <c r="E1182" s="108">
        <f t="shared" ref="E1182:E1191" si="395">F1182+G1182+H1182+I1182+J1182</f>
        <v>2.8969</v>
      </c>
      <c r="F1182" s="108">
        <f t="shared" ref="F1182:F1191" si="396">F1196</f>
        <v>2.8969</v>
      </c>
      <c r="G1182" s="108">
        <f t="shared" ref="G1182:J1191" si="397">G1194+G1196</f>
        <v>0</v>
      </c>
      <c r="H1182" s="108">
        <f t="shared" si="397"/>
        <v>0</v>
      </c>
      <c r="I1182" s="108">
        <f t="shared" si="397"/>
        <v>0</v>
      </c>
      <c r="J1182" s="108">
        <f t="shared" si="397"/>
        <v>0</v>
      </c>
      <c r="K1182" s="86">
        <f t="shared" si="388"/>
        <v>2.8969</v>
      </c>
      <c r="L1182" s="292"/>
      <c r="M1182" s="349"/>
      <c r="N1182" s="196"/>
      <c r="O1182" s="826"/>
    </row>
    <row r="1183" spans="1:15">
      <c r="A1183" s="1091"/>
      <c r="B1183" s="953"/>
      <c r="C1183" s="882"/>
      <c r="D1183" s="103">
        <v>2022</v>
      </c>
      <c r="E1183" s="108">
        <f t="shared" si="395"/>
        <v>3.0127000000000002</v>
      </c>
      <c r="F1183" s="108">
        <f t="shared" si="396"/>
        <v>3.0127000000000002</v>
      </c>
      <c r="G1183" s="108">
        <f t="shared" si="397"/>
        <v>0</v>
      </c>
      <c r="H1183" s="108">
        <f t="shared" si="397"/>
        <v>0</v>
      </c>
      <c r="I1183" s="108">
        <f t="shared" si="397"/>
        <v>0</v>
      </c>
      <c r="J1183" s="108">
        <f t="shared" si="397"/>
        <v>0</v>
      </c>
      <c r="K1183" s="86">
        <f t="shared" si="388"/>
        <v>3.0127000000000002</v>
      </c>
      <c r="L1183" s="292"/>
      <c r="M1183" s="349"/>
      <c r="N1183" s="196"/>
      <c r="O1183" s="826"/>
    </row>
    <row r="1184" spans="1:15">
      <c r="A1184" s="1091"/>
      <c r="B1184" s="953"/>
      <c r="C1184" s="882"/>
      <c r="D1184" s="103">
        <v>2023</v>
      </c>
      <c r="E1184" s="108">
        <f t="shared" si="395"/>
        <v>3.1362999999999999</v>
      </c>
      <c r="F1184" s="108">
        <f t="shared" si="396"/>
        <v>3.1362999999999999</v>
      </c>
      <c r="G1184" s="108">
        <f t="shared" si="397"/>
        <v>0</v>
      </c>
      <c r="H1184" s="108">
        <f t="shared" si="397"/>
        <v>0</v>
      </c>
      <c r="I1184" s="108">
        <f t="shared" si="397"/>
        <v>0</v>
      </c>
      <c r="J1184" s="108">
        <f t="shared" si="397"/>
        <v>0</v>
      </c>
      <c r="K1184" s="86">
        <f t="shared" si="388"/>
        <v>3.1362999999999999</v>
      </c>
      <c r="L1184" s="292"/>
      <c r="M1184" s="349"/>
      <c r="N1184" s="196"/>
      <c r="O1184" s="826"/>
    </row>
    <row r="1185" spans="1:15">
      <c r="A1185" s="1091"/>
      <c r="B1185" s="953"/>
      <c r="C1185" s="882"/>
      <c r="D1185" s="103">
        <v>2024</v>
      </c>
      <c r="E1185" s="108">
        <f t="shared" si="395"/>
        <v>3.2616999999999998</v>
      </c>
      <c r="F1185" s="108">
        <f t="shared" si="396"/>
        <v>3.2616999999999998</v>
      </c>
      <c r="G1185" s="108">
        <f t="shared" si="397"/>
        <v>0</v>
      </c>
      <c r="H1185" s="108">
        <f t="shared" si="397"/>
        <v>0</v>
      </c>
      <c r="I1185" s="108">
        <f t="shared" si="397"/>
        <v>0</v>
      </c>
      <c r="J1185" s="108">
        <f t="shared" si="397"/>
        <v>0</v>
      </c>
      <c r="K1185" s="86">
        <f t="shared" si="388"/>
        <v>3.2616999999999998</v>
      </c>
      <c r="L1185" s="292"/>
      <c r="M1185" s="349"/>
      <c r="N1185" s="196"/>
      <c r="O1185" s="826"/>
    </row>
    <row r="1186" spans="1:15">
      <c r="A1186" s="1091"/>
      <c r="B1186" s="953"/>
      <c r="C1186" s="882"/>
      <c r="D1186" s="103">
        <v>2025</v>
      </c>
      <c r="E1186" s="108">
        <f t="shared" si="395"/>
        <v>3.3921999999999999</v>
      </c>
      <c r="F1186" s="108">
        <f t="shared" si="396"/>
        <v>3.3921999999999999</v>
      </c>
      <c r="G1186" s="108">
        <f t="shared" si="397"/>
        <v>0</v>
      </c>
      <c r="H1186" s="108">
        <f t="shared" si="397"/>
        <v>0</v>
      </c>
      <c r="I1186" s="108">
        <f t="shared" si="397"/>
        <v>0</v>
      </c>
      <c r="J1186" s="108">
        <f t="shared" si="397"/>
        <v>0</v>
      </c>
      <c r="K1186" s="86">
        <f t="shared" ref="K1186:K1205" si="398">F1186+G1186+H1186+I1186+J1186</f>
        <v>3.3921999999999999</v>
      </c>
      <c r="L1186" s="292"/>
      <c r="M1186" s="349"/>
      <c r="N1186" s="196"/>
      <c r="O1186" s="826"/>
    </row>
    <row r="1187" spans="1:15">
      <c r="A1187" s="1091"/>
      <c r="B1187" s="953"/>
      <c r="C1187" s="882"/>
      <c r="D1187" s="103">
        <v>2026</v>
      </c>
      <c r="E1187" s="108">
        <f t="shared" si="395"/>
        <v>3.5278879999999999</v>
      </c>
      <c r="F1187" s="108">
        <f t="shared" si="396"/>
        <v>3.5278879999999999</v>
      </c>
      <c r="G1187" s="108">
        <f t="shared" si="397"/>
        <v>0</v>
      </c>
      <c r="H1187" s="108">
        <f t="shared" si="397"/>
        <v>0</v>
      </c>
      <c r="I1187" s="108">
        <f t="shared" si="397"/>
        <v>0</v>
      </c>
      <c r="J1187" s="108">
        <f t="shared" si="397"/>
        <v>0</v>
      </c>
      <c r="K1187" s="86">
        <f t="shared" si="398"/>
        <v>3.5278879999999999</v>
      </c>
      <c r="L1187" s="292"/>
      <c r="M1187" s="349"/>
      <c r="N1187" s="196"/>
      <c r="O1187" s="826"/>
    </row>
    <row r="1188" spans="1:15">
      <c r="A1188" s="1091"/>
      <c r="B1188" s="953"/>
      <c r="C1188" s="882"/>
      <c r="D1188" s="103">
        <v>2027</v>
      </c>
      <c r="E1188" s="108">
        <f t="shared" si="395"/>
        <v>3.66900352</v>
      </c>
      <c r="F1188" s="108">
        <f t="shared" si="396"/>
        <v>3.66900352</v>
      </c>
      <c r="G1188" s="108">
        <f t="shared" si="397"/>
        <v>0</v>
      </c>
      <c r="H1188" s="108">
        <f t="shared" si="397"/>
        <v>0</v>
      </c>
      <c r="I1188" s="108">
        <f t="shared" si="397"/>
        <v>0</v>
      </c>
      <c r="J1188" s="108">
        <f t="shared" si="397"/>
        <v>0</v>
      </c>
      <c r="K1188" s="86">
        <f t="shared" si="398"/>
        <v>3.66900352</v>
      </c>
      <c r="L1188" s="292"/>
      <c r="M1188" s="349"/>
      <c r="N1188" s="196"/>
      <c r="O1188" s="826"/>
    </row>
    <row r="1189" spans="1:15">
      <c r="A1189" s="1091"/>
      <c r="B1189" s="953"/>
      <c r="C1189" s="882"/>
      <c r="D1189" s="103">
        <v>2028</v>
      </c>
      <c r="E1189" s="108">
        <f t="shared" si="395"/>
        <v>3.8157636608000001</v>
      </c>
      <c r="F1189" s="108">
        <f t="shared" si="396"/>
        <v>3.8157636608000001</v>
      </c>
      <c r="G1189" s="108">
        <f t="shared" si="397"/>
        <v>0</v>
      </c>
      <c r="H1189" s="108">
        <f t="shared" si="397"/>
        <v>0</v>
      </c>
      <c r="I1189" s="108">
        <f t="shared" si="397"/>
        <v>0</v>
      </c>
      <c r="J1189" s="108">
        <f t="shared" si="397"/>
        <v>0</v>
      </c>
      <c r="K1189" s="86">
        <f t="shared" si="398"/>
        <v>3.8157636608000001</v>
      </c>
      <c r="L1189" s="292"/>
      <c r="M1189" s="349"/>
      <c r="N1189" s="196"/>
      <c r="O1189" s="826"/>
    </row>
    <row r="1190" spans="1:15">
      <c r="A1190" s="1091"/>
      <c r="B1190" s="953"/>
      <c r="C1190" s="882"/>
      <c r="D1190" s="103">
        <v>2029</v>
      </c>
      <c r="E1190" s="108">
        <f t="shared" si="395"/>
        <v>3.9683942072320004</v>
      </c>
      <c r="F1190" s="108">
        <f t="shared" si="396"/>
        <v>3.9683942072320004</v>
      </c>
      <c r="G1190" s="108">
        <f t="shared" si="397"/>
        <v>0</v>
      </c>
      <c r="H1190" s="108">
        <f t="shared" si="397"/>
        <v>0</v>
      </c>
      <c r="I1190" s="108">
        <f t="shared" si="397"/>
        <v>0</v>
      </c>
      <c r="J1190" s="108">
        <f t="shared" si="397"/>
        <v>0</v>
      </c>
      <c r="K1190" s="86">
        <f t="shared" si="398"/>
        <v>3.9683942072320004</v>
      </c>
      <c r="L1190" s="292"/>
      <c r="M1190" s="349"/>
      <c r="N1190" s="196"/>
      <c r="O1190" s="826"/>
    </row>
    <row r="1191" spans="1:15">
      <c r="A1191" s="1092"/>
      <c r="B1191" s="954"/>
      <c r="C1191" s="882"/>
      <c r="D1191" s="103">
        <v>2030</v>
      </c>
      <c r="E1191" s="108">
        <f t="shared" si="395"/>
        <v>4.1271299755212807</v>
      </c>
      <c r="F1191" s="108">
        <f t="shared" si="396"/>
        <v>4.1271299755212807</v>
      </c>
      <c r="G1191" s="108">
        <f t="shared" si="397"/>
        <v>0</v>
      </c>
      <c r="H1191" s="108">
        <f t="shared" si="397"/>
        <v>0</v>
      </c>
      <c r="I1191" s="108">
        <f t="shared" si="397"/>
        <v>0</v>
      </c>
      <c r="J1191" s="108">
        <f t="shared" si="397"/>
        <v>0</v>
      </c>
      <c r="K1191" s="86">
        <f t="shared" si="398"/>
        <v>4.1271299755212807</v>
      </c>
      <c r="L1191" s="292"/>
      <c r="M1191" s="349"/>
      <c r="N1191" s="196"/>
      <c r="O1191" s="826"/>
    </row>
    <row r="1192" spans="1:15">
      <c r="A1192" s="1083" t="s">
        <v>1087</v>
      </c>
      <c r="B1192" s="867" t="s">
        <v>1088</v>
      </c>
      <c r="C1192" s="882"/>
      <c r="D1192" s="114" t="s">
        <v>16</v>
      </c>
      <c r="E1192" s="115">
        <f t="shared" ref="E1192:J1192" si="399">E1193</f>
        <v>4.62</v>
      </c>
      <c r="F1192" s="115">
        <f t="shared" si="399"/>
        <v>4.62</v>
      </c>
      <c r="G1192" s="115">
        <f t="shared" si="399"/>
        <v>0</v>
      </c>
      <c r="H1192" s="115">
        <f t="shared" si="399"/>
        <v>0</v>
      </c>
      <c r="I1192" s="115">
        <f t="shared" si="399"/>
        <v>0</v>
      </c>
      <c r="J1192" s="115">
        <f t="shared" si="399"/>
        <v>0</v>
      </c>
      <c r="K1192" s="86">
        <f t="shared" si="398"/>
        <v>4.62</v>
      </c>
      <c r="L1192" s="292"/>
      <c r="M1192" s="349"/>
      <c r="N1192" s="196"/>
      <c r="O1192" s="826"/>
    </row>
    <row r="1193" spans="1:15" ht="20.25" customHeight="1">
      <c r="A1193" s="1085"/>
      <c r="B1193" s="873"/>
      <c r="C1193" s="882"/>
      <c r="D1193" s="62">
        <v>2020</v>
      </c>
      <c r="E1193" s="63">
        <f>F1193+G1193+H1193+I1193+J1193</f>
        <v>4.62</v>
      </c>
      <c r="F1193" s="63">
        <v>4.62</v>
      </c>
      <c r="G1193" s="63">
        <v>0</v>
      </c>
      <c r="H1193" s="63">
        <v>0</v>
      </c>
      <c r="I1193" s="63">
        <v>0</v>
      </c>
      <c r="J1193" s="63">
        <v>0</v>
      </c>
      <c r="K1193" s="86">
        <f t="shared" si="398"/>
        <v>4.62</v>
      </c>
      <c r="L1193" s="347"/>
      <c r="M1193" s="90"/>
      <c r="N1193" s="137"/>
      <c r="O1193" s="826"/>
    </row>
    <row r="1194" spans="1:15">
      <c r="A1194" s="1048" t="s">
        <v>1089</v>
      </c>
      <c r="B1194" s="867" t="s">
        <v>1090</v>
      </c>
      <c r="C1194" s="882"/>
      <c r="D1194" s="114" t="s">
        <v>429</v>
      </c>
      <c r="E1194" s="85">
        <f t="shared" ref="E1194:J1194" si="400">E1195+E1196+E1197+E1198+E1199+E1200+E1201+E1202+E1203+E1204+E1205</f>
        <v>37.593379363553282</v>
      </c>
      <c r="F1194" s="85">
        <f t="shared" si="400"/>
        <v>37.593379363553282</v>
      </c>
      <c r="G1194" s="85">
        <f t="shared" si="400"/>
        <v>0</v>
      </c>
      <c r="H1194" s="85">
        <f t="shared" si="400"/>
        <v>0</v>
      </c>
      <c r="I1194" s="85">
        <f t="shared" si="400"/>
        <v>0</v>
      </c>
      <c r="J1194" s="85">
        <f t="shared" si="400"/>
        <v>0</v>
      </c>
      <c r="K1194" s="86">
        <f t="shared" si="398"/>
        <v>37.593379363553282</v>
      </c>
      <c r="L1194" s="347"/>
      <c r="M1194" s="90"/>
      <c r="N1194" s="137"/>
      <c r="O1194" s="826"/>
    </row>
    <row r="1195" spans="1:15" s="448" customFormat="1">
      <c r="A1195" s="1049"/>
      <c r="B1195" s="872"/>
      <c r="C1195" s="882"/>
      <c r="D1195" s="62">
        <v>2020</v>
      </c>
      <c r="E1195" s="63">
        <v>2.7854000000000001</v>
      </c>
      <c r="F1195" s="63">
        <v>2.7854000000000001</v>
      </c>
      <c r="G1195" s="63">
        <v>0</v>
      </c>
      <c r="H1195" s="63">
        <v>0</v>
      </c>
      <c r="I1195" s="63">
        <v>0</v>
      </c>
      <c r="J1195" s="63">
        <v>0</v>
      </c>
      <c r="K1195" s="86">
        <f t="shared" si="398"/>
        <v>2.7854000000000001</v>
      </c>
      <c r="L1195" s="449"/>
      <c r="M1195" s="450"/>
      <c r="N1195" s="450"/>
      <c r="O1195" s="826"/>
    </row>
    <row r="1196" spans="1:15" s="448" customFormat="1">
      <c r="A1196" s="1049"/>
      <c r="B1196" s="872"/>
      <c r="C1196" s="882"/>
      <c r="D1196" s="62">
        <v>2021</v>
      </c>
      <c r="E1196" s="63">
        <f t="shared" ref="E1196:E1205" si="401">F1196</f>
        <v>2.8969</v>
      </c>
      <c r="F1196" s="63">
        <v>2.8969</v>
      </c>
      <c r="G1196" s="63">
        <v>0</v>
      </c>
      <c r="H1196" s="63">
        <v>0</v>
      </c>
      <c r="I1196" s="63">
        <v>0</v>
      </c>
      <c r="J1196" s="63">
        <v>0</v>
      </c>
      <c r="K1196" s="86">
        <f t="shared" si="398"/>
        <v>2.8969</v>
      </c>
      <c r="L1196" s="449"/>
      <c r="M1196" s="450"/>
      <c r="N1196" s="450"/>
      <c r="O1196" s="826"/>
    </row>
    <row r="1197" spans="1:15" s="448" customFormat="1">
      <c r="A1197" s="1049"/>
      <c r="B1197" s="872"/>
      <c r="C1197" s="882"/>
      <c r="D1197" s="62">
        <v>2022</v>
      </c>
      <c r="E1197" s="63">
        <f t="shared" si="401"/>
        <v>3.0127000000000002</v>
      </c>
      <c r="F1197" s="63">
        <v>3.0127000000000002</v>
      </c>
      <c r="G1197" s="63">
        <v>0</v>
      </c>
      <c r="H1197" s="63">
        <v>0</v>
      </c>
      <c r="I1197" s="63">
        <v>0</v>
      </c>
      <c r="J1197" s="63">
        <v>0</v>
      </c>
      <c r="K1197" s="86">
        <f t="shared" si="398"/>
        <v>3.0127000000000002</v>
      </c>
      <c r="L1197" s="449"/>
      <c r="M1197" s="450"/>
      <c r="N1197" s="450"/>
      <c r="O1197" s="826"/>
    </row>
    <row r="1198" spans="1:15" s="448" customFormat="1">
      <c r="A1198" s="1049"/>
      <c r="B1198" s="872"/>
      <c r="C1198" s="882"/>
      <c r="D1198" s="62">
        <v>2023</v>
      </c>
      <c r="E1198" s="63">
        <f t="shared" si="401"/>
        <v>3.1362999999999999</v>
      </c>
      <c r="F1198" s="385">
        <v>3.1362999999999999</v>
      </c>
      <c r="G1198" s="63">
        <v>0</v>
      </c>
      <c r="H1198" s="63">
        <v>0</v>
      </c>
      <c r="I1198" s="63">
        <v>0</v>
      </c>
      <c r="J1198" s="63">
        <v>0</v>
      </c>
      <c r="K1198" s="86">
        <f t="shared" si="398"/>
        <v>3.1362999999999999</v>
      </c>
      <c r="L1198" s="449"/>
      <c r="M1198" s="450"/>
      <c r="N1198" s="450"/>
      <c r="O1198" s="826"/>
    </row>
    <row r="1199" spans="1:15" s="448" customFormat="1">
      <c r="A1199" s="1049"/>
      <c r="B1199" s="872"/>
      <c r="C1199" s="882"/>
      <c r="D1199" s="62">
        <v>2024</v>
      </c>
      <c r="E1199" s="63">
        <f t="shared" si="401"/>
        <v>3.2616999999999998</v>
      </c>
      <c r="F1199" s="63">
        <v>3.2616999999999998</v>
      </c>
      <c r="G1199" s="63">
        <v>0</v>
      </c>
      <c r="H1199" s="63">
        <v>0</v>
      </c>
      <c r="I1199" s="63">
        <v>0</v>
      </c>
      <c r="J1199" s="63">
        <v>0</v>
      </c>
      <c r="K1199" s="86">
        <f t="shared" si="398"/>
        <v>3.2616999999999998</v>
      </c>
      <c r="L1199" s="449"/>
      <c r="M1199" s="450"/>
      <c r="N1199" s="450"/>
      <c r="O1199" s="826"/>
    </row>
    <row r="1200" spans="1:15" s="448" customFormat="1">
      <c r="A1200" s="1049"/>
      <c r="B1200" s="872"/>
      <c r="C1200" s="964"/>
      <c r="D1200" s="62">
        <v>2025</v>
      </c>
      <c r="E1200" s="63">
        <f t="shared" si="401"/>
        <v>3.3921999999999999</v>
      </c>
      <c r="F1200" s="63">
        <v>3.3921999999999999</v>
      </c>
      <c r="G1200" s="63">
        <v>0</v>
      </c>
      <c r="H1200" s="63">
        <v>0</v>
      </c>
      <c r="I1200" s="63">
        <v>0</v>
      </c>
      <c r="J1200" s="63">
        <v>0</v>
      </c>
      <c r="K1200" s="86">
        <f t="shared" si="398"/>
        <v>3.3921999999999999</v>
      </c>
      <c r="L1200" s="449"/>
      <c r="M1200" s="450"/>
      <c r="N1200" s="450"/>
      <c r="O1200" s="826"/>
    </row>
    <row r="1201" spans="1:15" s="448" customFormat="1">
      <c r="A1201" s="1049"/>
      <c r="B1201" s="168"/>
      <c r="C1201" s="870" t="s">
        <v>1091</v>
      </c>
      <c r="D1201" s="62">
        <v>2026</v>
      </c>
      <c r="E1201" s="63">
        <f t="shared" si="401"/>
        <v>3.5278879999999999</v>
      </c>
      <c r="F1201" s="63">
        <f>F1200*1.04</f>
        <v>3.5278879999999999</v>
      </c>
      <c r="G1201" s="63">
        <v>0</v>
      </c>
      <c r="H1201" s="63">
        <v>0</v>
      </c>
      <c r="I1201" s="63">
        <v>0</v>
      </c>
      <c r="J1201" s="63">
        <v>0</v>
      </c>
      <c r="K1201" s="86">
        <f t="shared" si="398"/>
        <v>3.5278879999999999</v>
      </c>
      <c r="L1201" s="449"/>
      <c r="M1201" s="450"/>
      <c r="N1201" s="450"/>
      <c r="O1201" s="826"/>
    </row>
    <row r="1202" spans="1:15" s="448" customFormat="1">
      <c r="A1202" s="1049"/>
      <c r="B1202" s="168"/>
      <c r="C1202" s="870"/>
      <c r="D1202" s="62">
        <v>2027</v>
      </c>
      <c r="E1202" s="63">
        <f t="shared" si="401"/>
        <v>3.66900352</v>
      </c>
      <c r="F1202" s="63">
        <f>F1201*1.04</f>
        <v>3.66900352</v>
      </c>
      <c r="G1202" s="63">
        <v>0</v>
      </c>
      <c r="H1202" s="63">
        <v>0</v>
      </c>
      <c r="I1202" s="63">
        <v>0</v>
      </c>
      <c r="J1202" s="63">
        <v>0</v>
      </c>
      <c r="K1202" s="86">
        <f t="shared" si="398"/>
        <v>3.66900352</v>
      </c>
      <c r="L1202" s="449"/>
      <c r="M1202" s="450"/>
      <c r="N1202" s="450"/>
      <c r="O1202" s="826"/>
    </row>
    <row r="1203" spans="1:15" s="448" customFormat="1">
      <c r="A1203" s="1049"/>
      <c r="B1203" s="168"/>
      <c r="C1203" s="870"/>
      <c r="D1203" s="62">
        <v>2028</v>
      </c>
      <c r="E1203" s="63">
        <f t="shared" si="401"/>
        <v>3.8157636608000001</v>
      </c>
      <c r="F1203" s="63">
        <f>F1202*1.04</f>
        <v>3.8157636608000001</v>
      </c>
      <c r="G1203" s="63">
        <v>0</v>
      </c>
      <c r="H1203" s="63">
        <v>0</v>
      </c>
      <c r="I1203" s="63">
        <v>0</v>
      </c>
      <c r="J1203" s="63">
        <v>0</v>
      </c>
      <c r="K1203" s="86">
        <f t="shared" si="398"/>
        <v>3.8157636608000001</v>
      </c>
      <c r="L1203" s="449"/>
      <c r="M1203" s="450"/>
      <c r="N1203" s="450"/>
      <c r="O1203" s="826"/>
    </row>
    <row r="1204" spans="1:15" s="448" customFormat="1">
      <c r="A1204" s="1049"/>
      <c r="B1204" s="168"/>
      <c r="C1204" s="870"/>
      <c r="D1204" s="62">
        <v>2029</v>
      </c>
      <c r="E1204" s="63">
        <f t="shared" si="401"/>
        <v>3.9683942072320004</v>
      </c>
      <c r="F1204" s="63">
        <f>F1203*1.04</f>
        <v>3.9683942072320004</v>
      </c>
      <c r="G1204" s="63">
        <v>0</v>
      </c>
      <c r="H1204" s="63">
        <v>0</v>
      </c>
      <c r="I1204" s="63">
        <v>0</v>
      </c>
      <c r="J1204" s="63">
        <v>0</v>
      </c>
      <c r="K1204" s="86">
        <f t="shared" si="398"/>
        <v>3.9683942072320004</v>
      </c>
      <c r="L1204" s="449"/>
      <c r="M1204" s="450"/>
      <c r="N1204" s="450"/>
      <c r="O1204" s="826"/>
    </row>
    <row r="1205" spans="1:15" s="448" customFormat="1">
      <c r="A1205" s="1050"/>
      <c r="B1205" s="180"/>
      <c r="C1205" s="870"/>
      <c r="D1205" s="62">
        <v>2030</v>
      </c>
      <c r="E1205" s="63">
        <f t="shared" si="401"/>
        <v>4.1271299755212807</v>
      </c>
      <c r="F1205" s="63">
        <f>F1204*1.04</f>
        <v>4.1271299755212807</v>
      </c>
      <c r="G1205" s="63">
        <v>0</v>
      </c>
      <c r="H1205" s="63">
        <v>0</v>
      </c>
      <c r="I1205" s="63">
        <v>0</v>
      </c>
      <c r="J1205" s="63">
        <v>0</v>
      </c>
      <c r="K1205" s="86">
        <f t="shared" si="398"/>
        <v>4.1271299755212807</v>
      </c>
      <c r="L1205" s="449"/>
      <c r="M1205" s="450"/>
      <c r="N1205" s="450"/>
      <c r="O1205" s="952"/>
    </row>
    <row r="1206" spans="1:15" s="448" customFormat="1" ht="25.5" customHeight="1">
      <c r="A1206" s="1063" t="s">
        <v>1092</v>
      </c>
      <c r="B1206" s="1093" t="s">
        <v>1093</v>
      </c>
      <c r="C1206" s="1019" t="s">
        <v>1086</v>
      </c>
      <c r="D1206" s="84" t="s">
        <v>429</v>
      </c>
      <c r="E1206" s="63">
        <f t="shared" ref="E1206:J1206" si="402">E1207</f>
        <v>8.2959999999999996E-3</v>
      </c>
      <c r="F1206" s="63">
        <f t="shared" si="402"/>
        <v>8.2959999999999996E-3</v>
      </c>
      <c r="G1206" s="63">
        <f t="shared" si="402"/>
        <v>0</v>
      </c>
      <c r="H1206" s="63">
        <f t="shared" si="402"/>
        <v>0</v>
      </c>
      <c r="I1206" s="63">
        <f t="shared" si="402"/>
        <v>0</v>
      </c>
      <c r="J1206" s="63">
        <f t="shared" si="402"/>
        <v>0</v>
      </c>
      <c r="K1206" s="451"/>
      <c r="L1206" s="449"/>
      <c r="M1206" s="450"/>
      <c r="N1206" s="450"/>
      <c r="O1206" s="62"/>
    </row>
    <row r="1207" spans="1:15" s="448" customFormat="1">
      <c r="A1207" s="1063"/>
      <c r="B1207" s="1093"/>
      <c r="C1207" s="1019"/>
      <c r="D1207" s="62">
        <v>2020</v>
      </c>
      <c r="E1207" s="63">
        <f>F1207</f>
        <v>8.2959999999999996E-3</v>
      </c>
      <c r="F1207" s="63">
        <v>8.2959999999999996E-3</v>
      </c>
      <c r="G1207" s="63">
        <v>0</v>
      </c>
      <c r="H1207" s="63">
        <v>0</v>
      </c>
      <c r="I1207" s="63">
        <v>0</v>
      </c>
      <c r="J1207" s="63">
        <v>0</v>
      </c>
      <c r="K1207" s="451"/>
      <c r="L1207" s="449"/>
      <c r="M1207" s="450"/>
      <c r="N1207" s="450"/>
      <c r="O1207" s="62"/>
    </row>
    <row r="1208" spans="1:15" s="448" customFormat="1" ht="42" customHeight="1">
      <c r="B1208" s="452" t="s">
        <v>1094</v>
      </c>
      <c r="C1208" s="452"/>
      <c r="I1208" s="1089" t="s">
        <v>1095</v>
      </c>
      <c r="J1208" s="1089"/>
      <c r="K1208" s="454"/>
      <c r="L1208" s="455"/>
    </row>
    <row r="1209" spans="1:15" s="448" customFormat="1" ht="15.75">
      <c r="B1209" s="452"/>
      <c r="C1209" s="452"/>
      <c r="J1209" s="452"/>
      <c r="K1209" s="454"/>
      <c r="L1209" s="455"/>
    </row>
    <row r="1210" spans="1:15" s="448" customFormat="1" ht="15.75">
      <c r="B1210" s="452"/>
      <c r="C1210" s="452"/>
      <c r="J1210" s="452"/>
      <c r="K1210" s="454"/>
      <c r="L1210" s="455"/>
    </row>
    <row r="1211" spans="1:15" s="448" customFormat="1" ht="24" customHeight="1">
      <c r="B1211" s="452"/>
      <c r="C1211" s="452"/>
      <c r="J1211" s="452"/>
      <c r="K1211" s="454"/>
      <c r="L1211" s="455"/>
    </row>
    <row r="1212" spans="1:15" s="448" customFormat="1" ht="15.75">
      <c r="B1212" s="452"/>
      <c r="C1212" s="452"/>
      <c r="J1212" s="452"/>
      <c r="K1212" s="454"/>
      <c r="L1212" s="455"/>
    </row>
    <row r="1213" spans="1:15" s="448" customFormat="1" ht="15.75">
      <c r="B1213" s="452"/>
      <c r="C1213" s="452"/>
      <c r="J1213" s="452"/>
      <c r="K1213" s="454"/>
      <c r="L1213" s="455"/>
    </row>
    <row r="1214" spans="1:15" s="448" customFormat="1" ht="15.75">
      <c r="B1214" s="452"/>
      <c r="C1214" s="452"/>
      <c r="J1214" s="452"/>
      <c r="K1214" s="454"/>
      <c r="L1214" s="455"/>
    </row>
    <row r="1215" spans="1:15" s="448" customFormat="1" ht="15.75">
      <c r="B1215" s="452"/>
      <c r="C1215" s="452"/>
      <c r="J1215" s="452"/>
      <c r="K1215" s="454"/>
      <c r="L1215" s="455"/>
    </row>
    <row r="1216" spans="1:15" s="448" customFormat="1" ht="31.5" customHeight="1">
      <c r="B1216" s="452"/>
      <c r="C1216" s="452"/>
      <c r="J1216" s="452"/>
      <c r="K1216" s="454"/>
      <c r="L1216" s="455"/>
    </row>
    <row r="1217" spans="1:12" s="448" customFormat="1" ht="49.5" customHeight="1">
      <c r="A1217" s="452"/>
      <c r="B1217" s="452"/>
      <c r="C1217" s="452"/>
      <c r="J1217" s="452"/>
      <c r="K1217" s="454"/>
      <c r="L1217" s="455"/>
    </row>
    <row r="1218" spans="1:12" s="448" customFormat="1">
      <c r="A1218" s="456"/>
      <c r="K1218" s="457"/>
      <c r="L1218" s="455"/>
    </row>
    <row r="1219" spans="1:12" s="448" customFormat="1">
      <c r="A1219" s="456"/>
      <c r="K1219" s="457"/>
      <c r="L1219" s="455"/>
    </row>
    <row r="1220" spans="1:12" s="448" customFormat="1">
      <c r="A1220" s="456"/>
      <c r="K1220" s="457"/>
      <c r="L1220" s="455"/>
    </row>
    <row r="1221" spans="1:12" s="448" customFormat="1">
      <c r="A1221" s="456"/>
      <c r="K1221" s="457"/>
      <c r="L1221" s="455"/>
    </row>
    <row r="1222" spans="1:12" s="448" customFormat="1">
      <c r="A1222" s="456"/>
      <c r="K1222" s="457"/>
      <c r="L1222" s="455"/>
    </row>
    <row r="1223" spans="1:12" s="448" customFormat="1">
      <c r="A1223" s="456"/>
      <c r="K1223" s="457"/>
      <c r="L1223" s="455"/>
    </row>
    <row r="1224" spans="1:12" s="448" customFormat="1">
      <c r="A1224" s="456"/>
      <c r="K1224" s="457"/>
      <c r="L1224" s="455"/>
    </row>
    <row r="1225" spans="1:12" s="448" customFormat="1">
      <c r="A1225" s="456"/>
      <c r="K1225" s="457"/>
      <c r="L1225" s="455"/>
    </row>
    <row r="1226" spans="1:12" s="448" customFormat="1">
      <c r="A1226" s="456"/>
      <c r="K1226" s="457"/>
      <c r="L1226" s="455"/>
    </row>
    <row r="1227" spans="1:12" s="448" customFormat="1">
      <c r="A1227" s="456"/>
      <c r="K1227" s="457"/>
      <c r="L1227" s="455"/>
    </row>
    <row r="1228" spans="1:12" s="448" customFormat="1">
      <c r="A1228" s="456"/>
      <c r="K1228" s="457"/>
      <c r="L1228" s="455"/>
    </row>
    <row r="1229" spans="1:12" s="448" customFormat="1">
      <c r="A1229" s="456"/>
      <c r="K1229" s="457"/>
      <c r="L1229" s="455"/>
    </row>
    <row r="1230" spans="1:12" s="448" customFormat="1">
      <c r="A1230" s="456"/>
      <c r="K1230" s="457"/>
      <c r="L1230" s="455"/>
    </row>
    <row r="1231" spans="1:12" s="448" customFormat="1">
      <c r="A1231" s="456"/>
      <c r="K1231" s="457"/>
      <c r="L1231" s="455"/>
    </row>
    <row r="1232" spans="1:12" s="448" customFormat="1">
      <c r="A1232" s="456"/>
      <c r="K1232" s="457"/>
      <c r="L1232" s="455"/>
    </row>
    <row r="1233" spans="1:12" s="448" customFormat="1">
      <c r="A1233" s="456"/>
      <c r="K1233" s="457"/>
      <c r="L1233" s="455"/>
    </row>
    <row r="1234" spans="1:12" s="448" customFormat="1">
      <c r="A1234" s="456"/>
      <c r="K1234" s="457"/>
      <c r="L1234" s="455"/>
    </row>
    <row r="1235" spans="1:12" s="448" customFormat="1">
      <c r="A1235" s="456"/>
      <c r="K1235" s="457"/>
      <c r="L1235" s="455"/>
    </row>
    <row r="1236" spans="1:12" s="448" customFormat="1">
      <c r="A1236" s="456"/>
      <c r="K1236" s="457"/>
      <c r="L1236" s="455"/>
    </row>
    <row r="1237" spans="1:12" s="448" customFormat="1">
      <c r="A1237" s="456"/>
      <c r="K1237" s="457"/>
      <c r="L1237" s="455"/>
    </row>
    <row r="1238" spans="1:12" s="448" customFormat="1">
      <c r="A1238" s="456"/>
      <c r="K1238" s="457"/>
      <c r="L1238" s="455"/>
    </row>
    <row r="1239" spans="1:12" s="448" customFormat="1">
      <c r="A1239" s="456"/>
      <c r="K1239" s="457"/>
      <c r="L1239" s="455"/>
    </row>
    <row r="1240" spans="1:12" s="448" customFormat="1">
      <c r="A1240" s="456"/>
      <c r="K1240" s="457"/>
      <c r="L1240" s="455"/>
    </row>
    <row r="1241" spans="1:12" s="448" customFormat="1">
      <c r="A1241" s="456"/>
      <c r="K1241" s="457"/>
      <c r="L1241" s="455"/>
    </row>
    <row r="1242" spans="1:12" s="448" customFormat="1">
      <c r="A1242" s="456"/>
      <c r="K1242" s="457"/>
      <c r="L1242" s="455"/>
    </row>
    <row r="1243" spans="1:12" s="448" customFormat="1">
      <c r="A1243" s="456"/>
      <c r="K1243" s="457"/>
      <c r="L1243" s="455"/>
    </row>
    <row r="1244" spans="1:12" s="448" customFormat="1">
      <c r="A1244" s="456"/>
      <c r="K1244" s="457"/>
      <c r="L1244" s="455"/>
    </row>
    <row r="1245" spans="1:12" s="448" customFormat="1">
      <c r="A1245" s="456"/>
      <c r="K1245" s="457"/>
      <c r="L1245" s="455"/>
    </row>
    <row r="1246" spans="1:12" s="448" customFormat="1">
      <c r="A1246" s="456"/>
      <c r="K1246" s="457"/>
      <c r="L1246" s="455"/>
    </row>
    <row r="1247" spans="1:12" s="448" customFormat="1">
      <c r="A1247" s="456"/>
      <c r="K1247" s="457"/>
      <c r="L1247" s="455"/>
    </row>
    <row r="1248" spans="1:12" s="448" customFormat="1">
      <c r="A1248" s="456"/>
      <c r="K1248" s="457"/>
      <c r="L1248" s="455"/>
    </row>
    <row r="1249" spans="1:12" s="448" customFormat="1">
      <c r="A1249" s="456"/>
      <c r="K1249" s="457"/>
      <c r="L1249" s="455"/>
    </row>
    <row r="1250" spans="1:12" s="448" customFormat="1">
      <c r="A1250" s="456"/>
      <c r="K1250" s="457"/>
      <c r="L1250" s="455"/>
    </row>
    <row r="1251" spans="1:12" s="448" customFormat="1">
      <c r="A1251" s="456"/>
      <c r="K1251" s="457"/>
      <c r="L1251" s="455"/>
    </row>
    <row r="1252" spans="1:12" s="448" customFormat="1">
      <c r="A1252" s="456"/>
      <c r="K1252" s="457"/>
      <c r="L1252" s="455"/>
    </row>
    <row r="1253" spans="1:12" s="448" customFormat="1">
      <c r="A1253" s="456"/>
      <c r="K1253" s="457"/>
      <c r="L1253" s="455"/>
    </row>
    <row r="1254" spans="1:12" s="448" customFormat="1">
      <c r="A1254" s="456"/>
      <c r="K1254" s="457"/>
      <c r="L1254" s="455"/>
    </row>
    <row r="1255" spans="1:12" s="448" customFormat="1">
      <c r="A1255" s="456"/>
      <c r="K1255" s="457"/>
      <c r="L1255" s="455"/>
    </row>
    <row r="1256" spans="1:12" s="448" customFormat="1">
      <c r="A1256" s="456"/>
      <c r="K1256" s="457"/>
      <c r="L1256" s="455"/>
    </row>
    <row r="1257" spans="1:12" s="448" customFormat="1">
      <c r="A1257" s="456"/>
      <c r="K1257" s="457"/>
      <c r="L1257" s="455"/>
    </row>
    <row r="1258" spans="1:12" s="448" customFormat="1">
      <c r="A1258" s="456"/>
      <c r="K1258" s="457"/>
      <c r="L1258" s="455"/>
    </row>
    <row r="1259" spans="1:12" s="448" customFormat="1">
      <c r="A1259" s="456"/>
      <c r="K1259" s="457"/>
      <c r="L1259" s="455"/>
    </row>
    <row r="1260" spans="1:12" s="448" customFormat="1">
      <c r="A1260" s="456"/>
      <c r="K1260" s="457"/>
      <c r="L1260" s="455"/>
    </row>
    <row r="1261" spans="1:12" s="448" customFormat="1">
      <c r="A1261" s="456"/>
      <c r="K1261" s="457"/>
      <c r="L1261" s="455"/>
    </row>
    <row r="1262" spans="1:12" s="448" customFormat="1">
      <c r="A1262" s="456"/>
      <c r="K1262" s="457"/>
      <c r="L1262" s="455"/>
    </row>
    <row r="1263" spans="1:12" s="448" customFormat="1">
      <c r="A1263" s="456"/>
      <c r="K1263" s="457"/>
      <c r="L1263" s="455"/>
    </row>
    <row r="1264" spans="1:12" s="448" customFormat="1">
      <c r="A1264" s="456"/>
      <c r="K1264" s="457"/>
      <c r="L1264" s="455"/>
    </row>
    <row r="1265" spans="1:12" s="448" customFormat="1">
      <c r="A1265" s="456"/>
      <c r="K1265" s="457"/>
      <c r="L1265" s="455"/>
    </row>
    <row r="1266" spans="1:12" s="448" customFormat="1">
      <c r="A1266" s="456"/>
      <c r="K1266" s="457"/>
      <c r="L1266" s="455"/>
    </row>
    <row r="1267" spans="1:12" s="448" customFormat="1">
      <c r="A1267" s="456"/>
      <c r="K1267" s="457"/>
      <c r="L1267" s="455"/>
    </row>
    <row r="1268" spans="1:12" s="448" customFormat="1">
      <c r="A1268" s="456"/>
      <c r="K1268" s="457"/>
      <c r="L1268" s="455"/>
    </row>
    <row r="1269" spans="1:12" s="448" customFormat="1">
      <c r="A1269" s="456"/>
      <c r="K1269" s="457"/>
      <c r="L1269" s="455"/>
    </row>
    <row r="1270" spans="1:12" s="448" customFormat="1">
      <c r="A1270" s="456"/>
      <c r="K1270" s="457"/>
      <c r="L1270" s="455"/>
    </row>
    <row r="1271" spans="1:12" s="448" customFormat="1">
      <c r="A1271" s="456"/>
      <c r="K1271" s="457"/>
      <c r="L1271" s="455"/>
    </row>
    <row r="1272" spans="1:12" s="448" customFormat="1">
      <c r="A1272" s="456"/>
      <c r="K1272" s="457"/>
      <c r="L1272" s="455"/>
    </row>
    <row r="1273" spans="1:12" s="448" customFormat="1">
      <c r="A1273" s="456"/>
      <c r="K1273" s="457"/>
      <c r="L1273" s="455"/>
    </row>
    <row r="1274" spans="1:12" s="448" customFormat="1">
      <c r="A1274" s="456"/>
      <c r="K1274" s="457"/>
      <c r="L1274" s="455"/>
    </row>
    <row r="1275" spans="1:12" s="448" customFormat="1">
      <c r="A1275" s="456"/>
      <c r="K1275" s="457"/>
      <c r="L1275" s="455"/>
    </row>
    <row r="1276" spans="1:12" s="448" customFormat="1">
      <c r="A1276" s="456"/>
      <c r="K1276" s="457"/>
      <c r="L1276" s="455"/>
    </row>
    <row r="1277" spans="1:12" s="448" customFormat="1">
      <c r="A1277" s="456"/>
      <c r="K1277" s="457"/>
      <c r="L1277" s="455"/>
    </row>
    <row r="1278" spans="1:12" s="448" customFormat="1">
      <c r="A1278" s="456"/>
      <c r="K1278" s="457"/>
      <c r="L1278" s="455"/>
    </row>
    <row r="1279" spans="1:12" s="448" customFormat="1">
      <c r="A1279" s="456"/>
      <c r="K1279" s="457"/>
      <c r="L1279" s="455"/>
    </row>
    <row r="1280" spans="1:12" s="448" customFormat="1">
      <c r="A1280" s="456"/>
      <c r="K1280" s="457"/>
      <c r="L1280" s="455"/>
    </row>
    <row r="1281" spans="1:12" s="448" customFormat="1">
      <c r="A1281" s="456"/>
      <c r="K1281" s="457"/>
      <c r="L1281" s="455"/>
    </row>
    <row r="1282" spans="1:12" s="448" customFormat="1">
      <c r="A1282" s="456"/>
      <c r="K1282" s="457"/>
      <c r="L1282" s="455"/>
    </row>
    <row r="1283" spans="1:12" s="448" customFormat="1">
      <c r="A1283" s="456"/>
      <c r="K1283" s="457"/>
      <c r="L1283" s="455"/>
    </row>
    <row r="1284" spans="1:12" s="448" customFormat="1">
      <c r="A1284" s="456"/>
      <c r="K1284" s="457"/>
      <c r="L1284" s="455"/>
    </row>
    <row r="1285" spans="1:12" s="448" customFormat="1">
      <c r="A1285" s="456"/>
      <c r="K1285" s="457"/>
      <c r="L1285" s="455"/>
    </row>
    <row r="1286" spans="1:12" s="448" customFormat="1">
      <c r="A1286" s="456"/>
      <c r="K1286" s="457"/>
      <c r="L1286" s="455"/>
    </row>
    <row r="1287" spans="1:12" s="448" customFormat="1">
      <c r="A1287" s="456"/>
      <c r="K1287" s="457"/>
      <c r="L1287" s="455"/>
    </row>
    <row r="1288" spans="1:12" s="448" customFormat="1">
      <c r="A1288" s="456"/>
      <c r="K1288" s="457"/>
      <c r="L1288" s="455"/>
    </row>
    <row r="1289" spans="1:12" s="448" customFormat="1">
      <c r="A1289" s="456"/>
      <c r="K1289" s="457"/>
      <c r="L1289" s="455"/>
    </row>
    <row r="1290" spans="1:12" s="448" customFormat="1">
      <c r="A1290" s="456"/>
      <c r="K1290" s="457"/>
      <c r="L1290" s="455"/>
    </row>
    <row r="1291" spans="1:12" s="448" customFormat="1">
      <c r="A1291" s="456"/>
      <c r="K1291" s="457"/>
      <c r="L1291" s="455"/>
    </row>
    <row r="1292" spans="1:12" s="448" customFormat="1">
      <c r="A1292" s="456"/>
      <c r="K1292" s="457"/>
      <c r="L1292" s="455"/>
    </row>
    <row r="1293" spans="1:12" s="448" customFormat="1">
      <c r="A1293" s="456"/>
      <c r="K1293" s="457"/>
      <c r="L1293" s="455"/>
    </row>
    <row r="1294" spans="1:12" s="448" customFormat="1">
      <c r="A1294" s="456"/>
      <c r="K1294" s="457"/>
      <c r="L1294" s="455"/>
    </row>
    <row r="1295" spans="1:12" s="448" customFormat="1">
      <c r="A1295" s="456"/>
      <c r="K1295" s="457"/>
      <c r="L1295" s="455"/>
    </row>
    <row r="1296" spans="1:12" s="448" customFormat="1">
      <c r="A1296" s="456"/>
      <c r="K1296" s="457"/>
      <c r="L1296" s="455"/>
    </row>
    <row r="1297" spans="1:12" s="448" customFormat="1">
      <c r="A1297" s="456"/>
      <c r="K1297" s="457"/>
      <c r="L1297" s="455"/>
    </row>
    <row r="1298" spans="1:12" s="448" customFormat="1">
      <c r="A1298" s="456"/>
      <c r="K1298" s="457"/>
      <c r="L1298" s="455"/>
    </row>
    <row r="1299" spans="1:12" s="448" customFormat="1">
      <c r="A1299" s="456"/>
      <c r="K1299" s="457"/>
      <c r="L1299" s="455"/>
    </row>
    <row r="1300" spans="1:12" s="448" customFormat="1">
      <c r="A1300" s="456"/>
      <c r="K1300" s="457"/>
      <c r="L1300" s="455"/>
    </row>
    <row r="1301" spans="1:12" s="448" customFormat="1">
      <c r="A1301" s="456"/>
      <c r="K1301" s="457"/>
      <c r="L1301" s="455"/>
    </row>
    <row r="1302" spans="1:12" s="448" customFormat="1">
      <c r="A1302" s="456"/>
      <c r="K1302" s="457"/>
      <c r="L1302" s="455"/>
    </row>
    <row r="1303" spans="1:12" s="448" customFormat="1">
      <c r="A1303" s="456"/>
      <c r="K1303" s="457"/>
      <c r="L1303" s="455"/>
    </row>
    <row r="1304" spans="1:12" s="448" customFormat="1">
      <c r="A1304" s="456"/>
      <c r="K1304" s="457"/>
      <c r="L1304" s="455"/>
    </row>
    <row r="1305" spans="1:12" s="448" customFormat="1">
      <c r="A1305" s="456"/>
      <c r="K1305" s="457"/>
      <c r="L1305" s="455"/>
    </row>
    <row r="1306" spans="1:12" s="448" customFormat="1">
      <c r="A1306" s="456"/>
      <c r="K1306" s="457"/>
      <c r="L1306" s="455"/>
    </row>
    <row r="1307" spans="1:12" s="448" customFormat="1">
      <c r="A1307" s="456"/>
      <c r="K1307" s="457"/>
      <c r="L1307" s="455"/>
    </row>
    <row r="1308" spans="1:12" s="448" customFormat="1">
      <c r="A1308" s="456"/>
      <c r="K1308" s="457"/>
      <c r="L1308" s="455"/>
    </row>
    <row r="1309" spans="1:12" s="448" customFormat="1">
      <c r="A1309" s="456"/>
      <c r="K1309" s="457"/>
      <c r="L1309" s="455"/>
    </row>
    <row r="1310" spans="1:12" s="448" customFormat="1">
      <c r="A1310" s="456"/>
      <c r="K1310" s="457"/>
      <c r="L1310" s="455"/>
    </row>
    <row r="1311" spans="1:12" s="448" customFormat="1">
      <c r="A1311" s="456"/>
      <c r="K1311" s="457"/>
      <c r="L1311" s="455"/>
    </row>
    <row r="1312" spans="1:12" s="448" customFormat="1">
      <c r="A1312" s="456"/>
      <c r="K1312" s="457"/>
      <c r="L1312" s="455"/>
    </row>
    <row r="1313" spans="1:12" s="448" customFormat="1">
      <c r="A1313" s="456"/>
      <c r="K1313" s="457"/>
      <c r="L1313" s="455"/>
    </row>
    <row r="1314" spans="1:12" s="448" customFormat="1">
      <c r="A1314" s="456"/>
      <c r="K1314" s="457"/>
      <c r="L1314" s="455"/>
    </row>
    <row r="1315" spans="1:12" s="448" customFormat="1">
      <c r="A1315" s="456"/>
      <c r="K1315" s="457"/>
      <c r="L1315" s="455"/>
    </row>
    <row r="1316" spans="1:12" s="448" customFormat="1">
      <c r="A1316" s="456"/>
      <c r="K1316" s="457"/>
      <c r="L1316" s="455"/>
    </row>
    <row r="1317" spans="1:12" s="448" customFormat="1">
      <c r="A1317" s="456"/>
      <c r="K1317" s="457"/>
      <c r="L1317" s="455"/>
    </row>
    <row r="1318" spans="1:12" s="448" customFormat="1">
      <c r="A1318" s="456"/>
      <c r="K1318" s="457"/>
      <c r="L1318" s="455"/>
    </row>
    <row r="1319" spans="1:12" s="448" customFormat="1">
      <c r="A1319" s="456"/>
      <c r="K1319" s="457"/>
      <c r="L1319" s="455"/>
    </row>
    <row r="1320" spans="1:12" s="448" customFormat="1">
      <c r="A1320" s="456"/>
      <c r="K1320" s="457"/>
      <c r="L1320" s="455"/>
    </row>
    <row r="1321" spans="1:12" s="448" customFormat="1">
      <c r="A1321" s="456"/>
      <c r="K1321" s="457"/>
      <c r="L1321" s="455"/>
    </row>
    <row r="1322" spans="1:12" s="448" customFormat="1">
      <c r="A1322" s="456"/>
      <c r="K1322" s="457"/>
      <c r="L1322" s="455"/>
    </row>
    <row r="1323" spans="1:12" s="448" customFormat="1">
      <c r="A1323" s="456"/>
      <c r="K1323" s="457"/>
      <c r="L1323" s="455"/>
    </row>
    <row r="1324" spans="1:12" s="448" customFormat="1">
      <c r="A1324" s="456"/>
      <c r="K1324" s="457"/>
      <c r="L1324" s="455"/>
    </row>
    <row r="1325" spans="1:12" s="448" customFormat="1">
      <c r="A1325" s="456"/>
      <c r="K1325" s="457"/>
      <c r="L1325" s="455"/>
    </row>
    <row r="1326" spans="1:12" s="448" customFormat="1">
      <c r="A1326" s="456"/>
      <c r="K1326" s="457"/>
      <c r="L1326" s="455"/>
    </row>
    <row r="1327" spans="1:12" s="448" customFormat="1">
      <c r="A1327" s="456"/>
      <c r="K1327" s="457"/>
      <c r="L1327" s="455"/>
    </row>
    <row r="1328" spans="1:12" s="448" customFormat="1">
      <c r="A1328" s="456"/>
      <c r="K1328" s="457"/>
      <c r="L1328" s="455"/>
    </row>
    <row r="1329" spans="1:12" s="448" customFormat="1">
      <c r="A1329" s="456"/>
      <c r="K1329" s="457"/>
      <c r="L1329" s="455"/>
    </row>
    <row r="1330" spans="1:12" s="448" customFormat="1">
      <c r="A1330" s="456"/>
      <c r="K1330" s="457"/>
      <c r="L1330" s="455"/>
    </row>
    <row r="1331" spans="1:12" s="448" customFormat="1">
      <c r="A1331" s="456"/>
      <c r="K1331" s="457"/>
      <c r="L1331" s="455"/>
    </row>
    <row r="1332" spans="1:12" s="448" customFormat="1">
      <c r="A1332" s="456"/>
      <c r="K1332" s="457"/>
      <c r="L1332" s="455"/>
    </row>
    <row r="1333" spans="1:12" s="448" customFormat="1">
      <c r="A1333" s="456"/>
      <c r="K1333" s="457"/>
      <c r="L1333" s="455"/>
    </row>
    <row r="1334" spans="1:12" s="448" customFormat="1">
      <c r="A1334" s="456"/>
      <c r="K1334" s="457"/>
      <c r="L1334" s="455"/>
    </row>
    <row r="1335" spans="1:12" s="448" customFormat="1">
      <c r="A1335" s="456"/>
      <c r="K1335" s="457"/>
      <c r="L1335" s="455"/>
    </row>
    <row r="1336" spans="1:12" s="448" customFormat="1">
      <c r="A1336" s="456"/>
      <c r="K1336" s="457"/>
      <c r="L1336" s="455"/>
    </row>
    <row r="1337" spans="1:12" s="448" customFormat="1">
      <c r="A1337" s="456"/>
      <c r="K1337" s="457"/>
      <c r="L1337" s="455"/>
    </row>
    <row r="1338" spans="1:12" s="448" customFormat="1">
      <c r="A1338" s="456"/>
      <c r="K1338" s="457"/>
      <c r="L1338" s="455"/>
    </row>
    <row r="1339" spans="1:12" s="448" customFormat="1">
      <c r="A1339" s="456"/>
      <c r="K1339" s="457"/>
      <c r="L1339" s="455"/>
    </row>
    <row r="1340" spans="1:12" s="448" customFormat="1">
      <c r="A1340" s="456"/>
      <c r="K1340" s="457"/>
      <c r="L1340" s="455"/>
    </row>
    <row r="1341" spans="1:12" s="448" customFormat="1">
      <c r="A1341" s="456"/>
      <c r="K1341" s="457"/>
      <c r="L1341" s="455"/>
    </row>
    <row r="1342" spans="1:12" s="448" customFormat="1">
      <c r="A1342" s="456"/>
      <c r="K1342" s="457"/>
      <c r="L1342" s="455"/>
    </row>
    <row r="1343" spans="1:12" s="448" customFormat="1">
      <c r="A1343" s="456"/>
      <c r="K1343" s="457"/>
      <c r="L1343" s="455"/>
    </row>
    <row r="1344" spans="1:12" s="448" customFormat="1">
      <c r="A1344" s="456"/>
      <c r="K1344" s="457"/>
      <c r="L1344" s="455"/>
    </row>
    <row r="1345" spans="1:12" s="448" customFormat="1">
      <c r="A1345" s="456"/>
      <c r="K1345" s="457"/>
      <c r="L1345" s="455"/>
    </row>
    <row r="1346" spans="1:12" s="448" customFormat="1">
      <c r="A1346" s="456"/>
      <c r="K1346" s="457"/>
      <c r="L1346" s="455"/>
    </row>
    <row r="1347" spans="1:12" s="448" customFormat="1">
      <c r="A1347" s="456"/>
      <c r="K1347" s="457"/>
      <c r="L1347" s="455"/>
    </row>
    <row r="1348" spans="1:12" s="448" customFormat="1">
      <c r="A1348" s="456"/>
      <c r="K1348" s="457"/>
      <c r="L1348" s="455"/>
    </row>
    <row r="1349" spans="1:12" s="448" customFormat="1">
      <c r="A1349" s="456"/>
      <c r="K1349" s="457"/>
      <c r="L1349" s="455"/>
    </row>
    <row r="1350" spans="1:12" s="448" customFormat="1">
      <c r="A1350" s="456"/>
      <c r="K1350" s="457"/>
      <c r="L1350" s="455"/>
    </row>
    <row r="1351" spans="1:12" s="448" customFormat="1">
      <c r="A1351" s="456"/>
      <c r="K1351" s="457"/>
      <c r="L1351" s="455"/>
    </row>
    <row r="1352" spans="1:12" s="448" customFormat="1">
      <c r="A1352" s="456"/>
      <c r="K1352" s="457"/>
      <c r="L1352" s="455"/>
    </row>
    <row r="1353" spans="1:12" s="448" customFormat="1">
      <c r="A1353" s="456"/>
      <c r="K1353" s="457"/>
      <c r="L1353" s="455"/>
    </row>
    <row r="1354" spans="1:12" s="448" customFormat="1">
      <c r="A1354" s="456"/>
      <c r="K1354" s="457"/>
      <c r="L1354" s="455"/>
    </row>
    <row r="1355" spans="1:12" s="448" customFormat="1">
      <c r="A1355" s="456"/>
      <c r="K1355" s="457"/>
      <c r="L1355" s="455"/>
    </row>
    <row r="1356" spans="1:12" s="448" customFormat="1">
      <c r="A1356" s="456"/>
      <c r="K1356" s="457"/>
      <c r="L1356" s="455"/>
    </row>
    <row r="1357" spans="1:12" s="448" customFormat="1">
      <c r="A1357" s="456"/>
      <c r="K1357" s="457"/>
      <c r="L1357" s="455"/>
    </row>
    <row r="1358" spans="1:12" s="448" customFormat="1">
      <c r="A1358" s="456"/>
      <c r="K1358" s="457"/>
      <c r="L1358" s="455"/>
    </row>
    <row r="1359" spans="1:12" s="448" customFormat="1">
      <c r="A1359" s="456"/>
      <c r="K1359" s="457"/>
      <c r="L1359" s="455"/>
    </row>
    <row r="1360" spans="1:12" s="448" customFormat="1">
      <c r="A1360" s="456"/>
      <c r="K1360" s="457"/>
      <c r="L1360" s="455"/>
    </row>
    <row r="1361" spans="1:12" s="448" customFormat="1">
      <c r="A1361" s="456"/>
      <c r="K1361" s="457"/>
      <c r="L1361" s="455"/>
    </row>
    <row r="1362" spans="1:12" s="448" customFormat="1">
      <c r="A1362" s="456"/>
      <c r="K1362" s="457"/>
      <c r="L1362" s="455"/>
    </row>
    <row r="1363" spans="1:12" s="448" customFormat="1">
      <c r="A1363" s="456"/>
      <c r="K1363" s="457"/>
      <c r="L1363" s="455"/>
    </row>
    <row r="1364" spans="1:12" s="448" customFormat="1">
      <c r="A1364" s="456"/>
      <c r="K1364" s="457"/>
      <c r="L1364" s="455"/>
    </row>
    <row r="1365" spans="1:12" s="448" customFormat="1">
      <c r="A1365" s="456"/>
      <c r="K1365" s="457"/>
      <c r="L1365" s="455"/>
    </row>
    <row r="1366" spans="1:12" s="448" customFormat="1">
      <c r="A1366" s="456"/>
      <c r="K1366" s="457"/>
      <c r="L1366" s="455"/>
    </row>
    <row r="1367" spans="1:12" s="448" customFormat="1">
      <c r="A1367" s="456"/>
      <c r="K1367" s="457"/>
      <c r="L1367" s="455"/>
    </row>
    <row r="1368" spans="1:12" s="448" customFormat="1">
      <c r="A1368" s="456"/>
      <c r="K1368" s="457"/>
      <c r="L1368" s="455"/>
    </row>
    <row r="1369" spans="1:12" s="448" customFormat="1">
      <c r="A1369" s="456"/>
      <c r="K1369" s="457"/>
      <c r="L1369" s="455"/>
    </row>
    <row r="1370" spans="1:12" s="448" customFormat="1">
      <c r="A1370" s="456"/>
      <c r="K1370" s="457"/>
      <c r="L1370" s="455"/>
    </row>
    <row r="1371" spans="1:12" s="448" customFormat="1">
      <c r="A1371" s="456"/>
      <c r="K1371" s="457"/>
      <c r="L1371" s="455"/>
    </row>
    <row r="1372" spans="1:12" s="448" customFormat="1">
      <c r="A1372" s="456"/>
      <c r="K1372" s="457"/>
      <c r="L1372" s="455"/>
    </row>
    <row r="1373" spans="1:12" s="448" customFormat="1">
      <c r="A1373" s="456"/>
      <c r="K1373" s="457"/>
      <c r="L1373" s="455"/>
    </row>
    <row r="1374" spans="1:12" s="448" customFormat="1">
      <c r="A1374" s="456"/>
      <c r="K1374" s="457"/>
      <c r="L1374" s="455"/>
    </row>
    <row r="1375" spans="1:12" s="448" customFormat="1">
      <c r="A1375" s="456"/>
      <c r="K1375" s="457"/>
      <c r="L1375" s="455"/>
    </row>
    <row r="1376" spans="1:12" s="448" customFormat="1">
      <c r="A1376" s="456"/>
      <c r="K1376" s="457"/>
      <c r="L1376" s="455"/>
    </row>
    <row r="1377" spans="1:12" s="448" customFormat="1">
      <c r="A1377" s="456"/>
      <c r="K1377" s="457"/>
      <c r="L1377" s="455"/>
    </row>
    <row r="1378" spans="1:12" s="448" customFormat="1">
      <c r="A1378" s="456"/>
      <c r="K1378" s="457"/>
      <c r="L1378" s="455"/>
    </row>
    <row r="1379" spans="1:12" s="448" customFormat="1">
      <c r="A1379" s="456"/>
      <c r="K1379" s="457"/>
      <c r="L1379" s="455"/>
    </row>
    <row r="1380" spans="1:12" s="448" customFormat="1">
      <c r="A1380" s="456"/>
      <c r="K1380" s="457"/>
      <c r="L1380" s="455"/>
    </row>
    <row r="1381" spans="1:12" s="448" customFormat="1">
      <c r="A1381" s="456"/>
      <c r="K1381" s="457"/>
      <c r="L1381" s="455"/>
    </row>
    <row r="1382" spans="1:12" s="448" customFormat="1">
      <c r="A1382" s="456"/>
      <c r="K1382" s="457"/>
      <c r="L1382" s="455"/>
    </row>
    <row r="1383" spans="1:12" s="448" customFormat="1">
      <c r="A1383" s="456"/>
      <c r="K1383" s="457"/>
      <c r="L1383" s="455"/>
    </row>
    <row r="1384" spans="1:12" s="448" customFormat="1">
      <c r="A1384" s="456"/>
      <c r="K1384" s="457"/>
      <c r="L1384" s="455"/>
    </row>
    <row r="1385" spans="1:12" s="448" customFormat="1">
      <c r="A1385" s="456"/>
      <c r="K1385" s="457"/>
      <c r="L1385" s="455"/>
    </row>
    <row r="1386" spans="1:12" s="448" customFormat="1">
      <c r="A1386" s="456"/>
      <c r="K1386" s="457"/>
      <c r="L1386" s="455"/>
    </row>
    <row r="1387" spans="1:12" s="448" customFormat="1">
      <c r="A1387" s="456"/>
      <c r="K1387" s="457"/>
      <c r="L1387" s="455"/>
    </row>
    <row r="1388" spans="1:12" s="448" customFormat="1">
      <c r="A1388" s="456"/>
      <c r="K1388" s="457"/>
      <c r="L1388" s="455"/>
    </row>
    <row r="1389" spans="1:12" s="448" customFormat="1">
      <c r="A1389" s="456"/>
      <c r="K1389" s="457"/>
      <c r="L1389" s="455"/>
    </row>
    <row r="1390" spans="1:12" s="448" customFormat="1">
      <c r="A1390" s="456"/>
      <c r="K1390" s="457"/>
      <c r="L1390" s="455"/>
    </row>
    <row r="1391" spans="1:12" s="448" customFormat="1">
      <c r="A1391" s="456"/>
      <c r="K1391" s="457"/>
      <c r="L1391" s="455"/>
    </row>
    <row r="1392" spans="1:12" s="448" customFormat="1">
      <c r="A1392" s="456"/>
      <c r="K1392" s="457"/>
      <c r="L1392" s="455"/>
    </row>
    <row r="1393" spans="1:12" s="448" customFormat="1">
      <c r="A1393" s="456"/>
      <c r="K1393" s="457"/>
      <c r="L1393" s="455"/>
    </row>
    <row r="1394" spans="1:12" s="448" customFormat="1">
      <c r="A1394" s="456"/>
      <c r="K1394" s="457"/>
      <c r="L1394" s="455"/>
    </row>
    <row r="1395" spans="1:12" s="448" customFormat="1">
      <c r="A1395" s="456"/>
      <c r="K1395" s="457"/>
      <c r="L1395" s="455"/>
    </row>
    <row r="1396" spans="1:12" s="448" customFormat="1">
      <c r="A1396" s="456"/>
      <c r="K1396" s="457"/>
      <c r="L1396" s="455"/>
    </row>
    <row r="1397" spans="1:12" s="448" customFormat="1">
      <c r="A1397" s="456"/>
      <c r="K1397" s="457"/>
      <c r="L1397" s="455"/>
    </row>
    <row r="1398" spans="1:12" s="448" customFormat="1">
      <c r="A1398" s="456"/>
      <c r="K1398" s="457"/>
      <c r="L1398" s="455"/>
    </row>
    <row r="1399" spans="1:12" s="448" customFormat="1">
      <c r="A1399" s="456"/>
      <c r="K1399" s="457"/>
      <c r="L1399" s="455"/>
    </row>
    <row r="1400" spans="1:12" s="448" customFormat="1">
      <c r="A1400" s="456"/>
      <c r="K1400" s="457"/>
      <c r="L1400" s="455"/>
    </row>
    <row r="1401" spans="1:12" s="448" customFormat="1">
      <c r="A1401" s="456"/>
      <c r="K1401" s="457"/>
      <c r="L1401" s="455"/>
    </row>
    <row r="1402" spans="1:12" s="448" customFormat="1">
      <c r="A1402" s="456"/>
      <c r="K1402" s="457"/>
      <c r="L1402" s="455"/>
    </row>
    <row r="1403" spans="1:12" s="448" customFormat="1">
      <c r="A1403" s="456"/>
      <c r="K1403" s="457"/>
      <c r="L1403" s="455"/>
    </row>
    <row r="1404" spans="1:12" s="448" customFormat="1">
      <c r="A1404" s="456"/>
      <c r="K1404" s="457"/>
      <c r="L1404" s="455"/>
    </row>
    <row r="1405" spans="1:12" s="448" customFormat="1">
      <c r="A1405" s="456"/>
      <c r="K1405" s="457"/>
      <c r="L1405" s="455"/>
    </row>
    <row r="1406" spans="1:12" s="448" customFormat="1">
      <c r="A1406" s="456"/>
      <c r="K1406" s="457"/>
      <c r="L1406" s="455"/>
    </row>
    <row r="1407" spans="1:12" s="448" customFormat="1">
      <c r="A1407" s="456"/>
      <c r="K1407" s="457"/>
      <c r="L1407" s="455"/>
    </row>
    <row r="1408" spans="1:12" s="448" customFormat="1">
      <c r="A1408" s="456"/>
      <c r="K1408" s="457"/>
      <c r="L1408" s="455"/>
    </row>
    <row r="1409" spans="1:12" s="448" customFormat="1">
      <c r="A1409" s="456"/>
      <c r="K1409" s="457"/>
      <c r="L1409" s="455"/>
    </row>
    <row r="1410" spans="1:12" s="448" customFormat="1">
      <c r="A1410" s="456"/>
      <c r="K1410" s="457"/>
      <c r="L1410" s="455"/>
    </row>
    <row r="1411" spans="1:12" s="448" customFormat="1">
      <c r="A1411" s="456"/>
      <c r="K1411" s="457"/>
      <c r="L1411" s="455"/>
    </row>
    <row r="1412" spans="1:12" s="448" customFormat="1">
      <c r="A1412" s="456"/>
      <c r="K1412" s="457"/>
      <c r="L1412" s="455"/>
    </row>
    <row r="1413" spans="1:12" s="448" customFormat="1">
      <c r="A1413" s="456"/>
      <c r="K1413" s="457"/>
      <c r="L1413" s="455"/>
    </row>
    <row r="1414" spans="1:12" s="448" customFormat="1">
      <c r="A1414" s="456"/>
      <c r="K1414" s="457"/>
      <c r="L1414" s="455"/>
    </row>
    <row r="1415" spans="1:12" s="448" customFormat="1">
      <c r="A1415" s="456"/>
      <c r="K1415" s="457"/>
      <c r="L1415" s="455"/>
    </row>
    <row r="1416" spans="1:12" s="448" customFormat="1">
      <c r="A1416" s="456"/>
      <c r="K1416" s="457"/>
      <c r="L1416" s="455"/>
    </row>
    <row r="1417" spans="1:12" s="448" customFormat="1">
      <c r="A1417" s="456"/>
      <c r="K1417" s="457"/>
      <c r="L1417" s="455"/>
    </row>
    <row r="1418" spans="1:12" s="448" customFormat="1">
      <c r="A1418" s="456"/>
      <c r="K1418" s="457"/>
      <c r="L1418" s="455"/>
    </row>
    <row r="1419" spans="1:12" s="458" customFormat="1">
      <c r="A1419" s="459"/>
      <c r="K1419" s="460"/>
      <c r="L1419" s="461"/>
    </row>
  </sheetData>
  <mergeCells count="827">
    <mergeCell ref="C128:C130"/>
    <mergeCell ref="B242:B243"/>
    <mergeCell ref="C242:C243"/>
    <mergeCell ref="A242:A243"/>
    <mergeCell ref="A244:A245"/>
    <mergeCell ref="B246:B247"/>
    <mergeCell ref="A238:A239"/>
    <mergeCell ref="B238:B239"/>
    <mergeCell ref="C238:C239"/>
    <mergeCell ref="A236:A237"/>
    <mergeCell ref="B236:B237"/>
    <mergeCell ref="C236:C237"/>
    <mergeCell ref="A224:A225"/>
    <mergeCell ref="B224:B225"/>
    <mergeCell ref="A234:A235"/>
    <mergeCell ref="B234:B235"/>
    <mergeCell ref="C234:C235"/>
    <mergeCell ref="A227:A230"/>
    <mergeCell ref="B227:B230"/>
    <mergeCell ref="A196:A197"/>
    <mergeCell ref="B196:B197"/>
    <mergeCell ref="A198:A200"/>
    <mergeCell ref="B198:B199"/>
    <mergeCell ref="B244:B245"/>
    <mergeCell ref="O1177:O1179"/>
    <mergeCell ref="A1178:A1179"/>
    <mergeCell ref="B1178:B1179"/>
    <mergeCell ref="L1135:L1143"/>
    <mergeCell ref="A1152:A1164"/>
    <mergeCell ref="I1208:J1208"/>
    <mergeCell ref="A1180:A1191"/>
    <mergeCell ref="B1180:B1191"/>
    <mergeCell ref="O1180:O1205"/>
    <mergeCell ref="A1192:A1193"/>
    <mergeCell ref="B1192:B1193"/>
    <mergeCell ref="A1194:A1205"/>
    <mergeCell ref="B1194:B1200"/>
    <mergeCell ref="C1201:C1205"/>
    <mergeCell ref="C1180:C1200"/>
    <mergeCell ref="B1206:B1207"/>
    <mergeCell ref="A1206:A1207"/>
    <mergeCell ref="C1206:C1207"/>
    <mergeCell ref="O1165:O1176"/>
    <mergeCell ref="C1166:C1171"/>
    <mergeCell ref="C1172:C1176"/>
    <mergeCell ref="B1152:B1164"/>
    <mergeCell ref="B1105:B1108"/>
    <mergeCell ref="A1105:A1108"/>
    <mergeCell ref="A398:A399"/>
    <mergeCell ref="O398:O399"/>
    <mergeCell ref="A710:A713"/>
    <mergeCell ref="B705:B707"/>
    <mergeCell ref="O1046:O1078"/>
    <mergeCell ref="A1053:A1060"/>
    <mergeCell ref="B1053:B1060"/>
    <mergeCell ref="C1053:C1060"/>
    <mergeCell ref="C1061:C1065"/>
    <mergeCell ref="A1066:A1070"/>
    <mergeCell ref="B1066:B1070"/>
    <mergeCell ref="C1066:C1078"/>
    <mergeCell ref="A1071:A1072"/>
    <mergeCell ref="B1071:B1072"/>
    <mergeCell ref="A498:A499"/>
    <mergeCell ref="A500:A505"/>
    <mergeCell ref="C1021:C1027"/>
    <mergeCell ref="O1020:O1032"/>
    <mergeCell ref="B1022:B1032"/>
    <mergeCell ref="C1028:C1032"/>
    <mergeCell ref="A982:A994"/>
    <mergeCell ref="B982:B994"/>
    <mergeCell ref="C1109:C1117"/>
    <mergeCell ref="O1109:O1151"/>
    <mergeCell ref="A1118:A1126"/>
    <mergeCell ref="B1118:B1126"/>
    <mergeCell ref="A1135:A1143"/>
    <mergeCell ref="B1135:B1143"/>
    <mergeCell ref="C1152:C1164"/>
    <mergeCell ref="A1165:A1176"/>
    <mergeCell ref="B1165:B1176"/>
    <mergeCell ref="A1109:A1117"/>
    <mergeCell ref="B1109:B1117"/>
    <mergeCell ref="A1099:A1100"/>
    <mergeCell ref="B1089:B1090"/>
    <mergeCell ref="O1079:O1090"/>
    <mergeCell ref="A1081:A1086"/>
    <mergeCell ref="B1081:B1086"/>
    <mergeCell ref="A1087:A1088"/>
    <mergeCell ref="B1087:B1088"/>
    <mergeCell ref="A1089:A1090"/>
    <mergeCell ref="B1095:B1096"/>
    <mergeCell ref="C1079:C1104"/>
    <mergeCell ref="A1103:A1104"/>
    <mergeCell ref="B1103:B1104"/>
    <mergeCell ref="A1033:A1045"/>
    <mergeCell ref="B1033:B1045"/>
    <mergeCell ref="C1042:C1045"/>
    <mergeCell ref="A1046:A1049"/>
    <mergeCell ref="B1046:B1049"/>
    <mergeCell ref="C1046:C1052"/>
    <mergeCell ref="B1099:B1100"/>
    <mergeCell ref="A1101:A1102"/>
    <mergeCell ref="B1101:B1102"/>
    <mergeCell ref="A1091:A1092"/>
    <mergeCell ref="B1091:B1092"/>
    <mergeCell ref="A1093:A1094"/>
    <mergeCell ref="B1093:B1094"/>
    <mergeCell ref="A1095:A1096"/>
    <mergeCell ref="A1079:A1080"/>
    <mergeCell ref="B1079:B1080"/>
    <mergeCell ref="A1073:A1074"/>
    <mergeCell ref="B1073:B1074"/>
    <mergeCell ref="A1075:A1076"/>
    <mergeCell ref="B1075:B1076"/>
    <mergeCell ref="A1077:A1078"/>
    <mergeCell ref="B1077:B1078"/>
    <mergeCell ref="A1097:A1098"/>
    <mergeCell ref="B1097:B1098"/>
    <mergeCell ref="O995:O1007"/>
    <mergeCell ref="C996:C1002"/>
    <mergeCell ref="C1003:C1007"/>
    <mergeCell ref="A1008:A1011"/>
    <mergeCell ref="B1008:B1019"/>
    <mergeCell ref="C1009:C1014"/>
    <mergeCell ref="C1015:C1019"/>
    <mergeCell ref="A1020:A1021"/>
    <mergeCell ref="B1020:B1021"/>
    <mergeCell ref="A995:A1007"/>
    <mergeCell ref="B995:B1007"/>
    <mergeCell ref="O969:O981"/>
    <mergeCell ref="A930:A942"/>
    <mergeCell ref="B930:B942"/>
    <mergeCell ref="A943:A955"/>
    <mergeCell ref="B943:B955"/>
    <mergeCell ref="O943:O955"/>
    <mergeCell ref="C945:C950"/>
    <mergeCell ref="C951:C955"/>
    <mergeCell ref="C932:C937"/>
    <mergeCell ref="C939:C942"/>
    <mergeCell ref="A956:A968"/>
    <mergeCell ref="B956:B968"/>
    <mergeCell ref="A969:A981"/>
    <mergeCell ref="B969:B981"/>
    <mergeCell ref="C969:C981"/>
    <mergeCell ref="A917:A929"/>
    <mergeCell ref="B917:B929"/>
    <mergeCell ref="O917:O929"/>
    <mergeCell ref="C919:C924"/>
    <mergeCell ref="C925:C929"/>
    <mergeCell ref="A865:A877"/>
    <mergeCell ref="B865:B877"/>
    <mergeCell ref="C865:C877"/>
    <mergeCell ref="O865:O877"/>
    <mergeCell ref="A904:A916"/>
    <mergeCell ref="B904:B916"/>
    <mergeCell ref="C904:C916"/>
    <mergeCell ref="A878:A890"/>
    <mergeCell ref="B878:B890"/>
    <mergeCell ref="C878:C890"/>
    <mergeCell ref="A891:A903"/>
    <mergeCell ref="B891:B903"/>
    <mergeCell ref="O891:O903"/>
    <mergeCell ref="C893:C898"/>
    <mergeCell ref="C899:C903"/>
    <mergeCell ref="A798:A801"/>
    <mergeCell ref="B798:B801"/>
    <mergeCell ref="A852:A864"/>
    <mergeCell ref="B852:B864"/>
    <mergeCell ref="O852:O864"/>
    <mergeCell ref="C854:C859"/>
    <mergeCell ref="C860:C864"/>
    <mergeCell ref="O848:O849"/>
    <mergeCell ref="A842:A847"/>
    <mergeCell ref="B842:B847"/>
    <mergeCell ref="C842:C847"/>
    <mergeCell ref="L842:L846"/>
    <mergeCell ref="N842:N846"/>
    <mergeCell ref="O842:O846"/>
    <mergeCell ref="A848:A849"/>
    <mergeCell ref="B848:B849"/>
    <mergeCell ref="C848:C849"/>
    <mergeCell ref="L848:L849"/>
    <mergeCell ref="N848:N851"/>
    <mergeCell ref="A816:A828"/>
    <mergeCell ref="B816:B828"/>
    <mergeCell ref="C816:C828"/>
    <mergeCell ref="O810:O812"/>
    <mergeCell ref="O813:O815"/>
    <mergeCell ref="B802:B805"/>
    <mergeCell ref="A802:A805"/>
    <mergeCell ref="A829:A841"/>
    <mergeCell ref="B829:B841"/>
    <mergeCell ref="C829:C841"/>
    <mergeCell ref="A810:A812"/>
    <mergeCell ref="B810:B812"/>
    <mergeCell ref="A813:A815"/>
    <mergeCell ref="B813:B815"/>
    <mergeCell ref="A784:A785"/>
    <mergeCell ref="B784:B785"/>
    <mergeCell ref="C784:C815"/>
    <mergeCell ref="O784:O785"/>
    <mergeCell ref="A786:A788"/>
    <mergeCell ref="B786:B788"/>
    <mergeCell ref="O786:O788"/>
    <mergeCell ref="A789:A791"/>
    <mergeCell ref="B789:B791"/>
    <mergeCell ref="O789:O791"/>
    <mergeCell ref="A806:A807"/>
    <mergeCell ref="B806:B807"/>
    <mergeCell ref="O806:O807"/>
    <mergeCell ref="A808:A809"/>
    <mergeCell ref="B808:B809"/>
    <mergeCell ref="O808:O809"/>
    <mergeCell ref="A792:A793"/>
    <mergeCell ref="B792:B793"/>
    <mergeCell ref="O792:O793"/>
    <mergeCell ref="A794:A797"/>
    <mergeCell ref="B794:B797"/>
    <mergeCell ref="O794:O797"/>
    <mergeCell ref="O798:O801"/>
    <mergeCell ref="O802:O803"/>
    <mergeCell ref="O777:O779"/>
    <mergeCell ref="A781:A783"/>
    <mergeCell ref="B781:B783"/>
    <mergeCell ref="C781:C783"/>
    <mergeCell ref="O781:O783"/>
    <mergeCell ref="B777:B780"/>
    <mergeCell ref="A777:A780"/>
    <mergeCell ref="C777:C780"/>
    <mergeCell ref="A755:A762"/>
    <mergeCell ref="B755:B762"/>
    <mergeCell ref="C755:C762"/>
    <mergeCell ref="O763:O769"/>
    <mergeCell ref="O770:O772"/>
    <mergeCell ref="A774:A775"/>
    <mergeCell ref="B774:B775"/>
    <mergeCell ref="O774:O775"/>
    <mergeCell ref="A763:A766"/>
    <mergeCell ref="B763:B766"/>
    <mergeCell ref="C763:C775"/>
    <mergeCell ref="L763:L766"/>
    <mergeCell ref="M763:M766"/>
    <mergeCell ref="N763:N766"/>
    <mergeCell ref="B770:B773"/>
    <mergeCell ref="A770:A773"/>
    <mergeCell ref="A740:A741"/>
    <mergeCell ref="B740:B741"/>
    <mergeCell ref="O705:O709"/>
    <mergeCell ref="O697:O700"/>
    <mergeCell ref="A701:A704"/>
    <mergeCell ref="B701:B704"/>
    <mergeCell ref="C701:C704"/>
    <mergeCell ref="O701:O704"/>
    <mergeCell ref="O742:O754"/>
    <mergeCell ref="A743:A754"/>
    <mergeCell ref="B743:B754"/>
    <mergeCell ref="C744:C749"/>
    <mergeCell ref="C750:C754"/>
    <mergeCell ref="O728:O739"/>
    <mergeCell ref="O740:O741"/>
    <mergeCell ref="A708:A709"/>
    <mergeCell ref="B710:B713"/>
    <mergeCell ref="A714:A726"/>
    <mergeCell ref="B714:B726"/>
    <mergeCell ref="B680:B681"/>
    <mergeCell ref="B682:B683"/>
    <mergeCell ref="C687:C691"/>
    <mergeCell ref="C697:C700"/>
    <mergeCell ref="A705:A707"/>
    <mergeCell ref="B708:B709"/>
    <mergeCell ref="A727:A739"/>
    <mergeCell ref="B727:B739"/>
    <mergeCell ref="C729:C739"/>
    <mergeCell ref="A692:A696"/>
    <mergeCell ref="B692:B696"/>
    <mergeCell ref="C692:C696"/>
    <mergeCell ref="A697:A700"/>
    <mergeCell ref="B697:B700"/>
    <mergeCell ref="A664:A665"/>
    <mergeCell ref="B664:B665"/>
    <mergeCell ref="C664:C665"/>
    <mergeCell ref="O664:O665"/>
    <mergeCell ref="A666:A672"/>
    <mergeCell ref="B666:B672"/>
    <mergeCell ref="C666:C672"/>
    <mergeCell ref="O666:O672"/>
    <mergeCell ref="A673:A679"/>
    <mergeCell ref="B673:B679"/>
    <mergeCell ref="C673:C679"/>
    <mergeCell ref="O673:O679"/>
    <mergeCell ref="A684:A686"/>
    <mergeCell ref="B684:B686"/>
    <mergeCell ref="C684:C686"/>
    <mergeCell ref="O684:O691"/>
    <mergeCell ref="A687:A691"/>
    <mergeCell ref="B687:B691"/>
    <mergeCell ref="C680:C683"/>
    <mergeCell ref="O621:O663"/>
    <mergeCell ref="A630:A632"/>
    <mergeCell ref="B630:B632"/>
    <mergeCell ref="A635:A637"/>
    <mergeCell ref="B635:B637"/>
    <mergeCell ref="A640:A642"/>
    <mergeCell ref="B640:B642"/>
    <mergeCell ref="A645:A652"/>
    <mergeCell ref="B645:B652"/>
    <mergeCell ref="A656:A659"/>
    <mergeCell ref="B656:B659"/>
    <mergeCell ref="A621:A629"/>
    <mergeCell ref="B621:B629"/>
    <mergeCell ref="C621:C629"/>
    <mergeCell ref="M621:M663"/>
    <mergeCell ref="N621:N623"/>
    <mergeCell ref="O611:O620"/>
    <mergeCell ref="N593:N594"/>
    <mergeCell ref="O593:O594"/>
    <mergeCell ref="A595:A596"/>
    <mergeCell ref="B595:B596"/>
    <mergeCell ref="C595:C606"/>
    <mergeCell ref="O595:O606"/>
    <mergeCell ref="A611:A620"/>
    <mergeCell ref="B611:B620"/>
    <mergeCell ref="C611:C620"/>
    <mergeCell ref="M611:M620"/>
    <mergeCell ref="N611:N620"/>
    <mergeCell ref="A593:A594"/>
    <mergeCell ref="B593:B594"/>
    <mergeCell ref="C593:C594"/>
    <mergeCell ref="L593:L594"/>
    <mergeCell ref="M593:M594"/>
    <mergeCell ref="A591:A592"/>
    <mergeCell ref="B591:B592"/>
    <mergeCell ref="C591:C592"/>
    <mergeCell ref="L591:L592"/>
    <mergeCell ref="O591:O592"/>
    <mergeCell ref="A589:A590"/>
    <mergeCell ref="B589:B590"/>
    <mergeCell ref="C589:C590"/>
    <mergeCell ref="L589:L590"/>
    <mergeCell ref="O589:O590"/>
    <mergeCell ref="A587:A588"/>
    <mergeCell ref="B587:B588"/>
    <mergeCell ref="C587:C588"/>
    <mergeCell ref="L587:L588"/>
    <mergeCell ref="O587:O588"/>
    <mergeCell ref="A585:A586"/>
    <mergeCell ref="B585:B586"/>
    <mergeCell ref="C585:C586"/>
    <mergeCell ref="L585:L586"/>
    <mergeCell ref="O585:O586"/>
    <mergeCell ref="A583:A584"/>
    <mergeCell ref="B583:B584"/>
    <mergeCell ref="C583:C584"/>
    <mergeCell ref="L583:L584"/>
    <mergeCell ref="O583:O584"/>
    <mergeCell ref="O579:O580"/>
    <mergeCell ref="A581:A582"/>
    <mergeCell ref="B581:B582"/>
    <mergeCell ref="C581:C582"/>
    <mergeCell ref="L581:L582"/>
    <mergeCell ref="M581:M582"/>
    <mergeCell ref="N581:N582"/>
    <mergeCell ref="O581:O582"/>
    <mergeCell ref="A579:A580"/>
    <mergeCell ref="B579:B580"/>
    <mergeCell ref="C579:C580"/>
    <mergeCell ref="L579:L580"/>
    <mergeCell ref="M579:M580"/>
    <mergeCell ref="N579:N580"/>
    <mergeCell ref="O575:O576"/>
    <mergeCell ref="A577:A578"/>
    <mergeCell ref="B577:B578"/>
    <mergeCell ref="C577:C578"/>
    <mergeCell ref="L577:L578"/>
    <mergeCell ref="M577:M578"/>
    <mergeCell ref="N577:N578"/>
    <mergeCell ref="O577:O578"/>
    <mergeCell ref="A575:A576"/>
    <mergeCell ref="B575:B576"/>
    <mergeCell ref="C575:C576"/>
    <mergeCell ref="L575:L576"/>
    <mergeCell ref="M575:M576"/>
    <mergeCell ref="N575:N576"/>
    <mergeCell ref="A555:A567"/>
    <mergeCell ref="B555:B567"/>
    <mergeCell ref="C556:C567"/>
    <mergeCell ref="A568:A572"/>
    <mergeCell ref="B568:B572"/>
    <mergeCell ref="C568:C572"/>
    <mergeCell ref="O568:O572"/>
    <mergeCell ref="A573:A574"/>
    <mergeCell ref="B573:B574"/>
    <mergeCell ref="C573:C574"/>
    <mergeCell ref="L573:L574"/>
    <mergeCell ref="M573:M574"/>
    <mergeCell ref="N573:N574"/>
    <mergeCell ref="O573:O574"/>
    <mergeCell ref="O548:O552"/>
    <mergeCell ref="A526:A538"/>
    <mergeCell ref="B526:B538"/>
    <mergeCell ref="O526:O538"/>
    <mergeCell ref="C527:C533"/>
    <mergeCell ref="C534:C538"/>
    <mergeCell ref="C547:C554"/>
    <mergeCell ref="A539:A545"/>
    <mergeCell ref="B539:B545"/>
    <mergeCell ref="C539:C545"/>
    <mergeCell ref="A547:A554"/>
    <mergeCell ref="B547:B554"/>
    <mergeCell ref="A513:A525"/>
    <mergeCell ref="B513:B525"/>
    <mergeCell ref="C513:C525"/>
    <mergeCell ref="O498:O505"/>
    <mergeCell ref="A506:A507"/>
    <mergeCell ref="B506:B507"/>
    <mergeCell ref="C506:C507"/>
    <mergeCell ref="O506:O507"/>
    <mergeCell ref="C500:C505"/>
    <mergeCell ref="B498:B499"/>
    <mergeCell ref="B500:B505"/>
    <mergeCell ref="L495:L497"/>
    <mergeCell ref="O495:O497"/>
    <mergeCell ref="A511:A512"/>
    <mergeCell ref="B511:B512"/>
    <mergeCell ref="C511:C512"/>
    <mergeCell ref="O511:O512"/>
    <mergeCell ref="A493:A494"/>
    <mergeCell ref="B493:B494"/>
    <mergeCell ref="C493:C494"/>
    <mergeCell ref="A495:A497"/>
    <mergeCell ref="B495:B497"/>
    <mergeCell ref="C495:C497"/>
    <mergeCell ref="N486:N487"/>
    <mergeCell ref="O486:O487"/>
    <mergeCell ref="O461:O481"/>
    <mergeCell ref="A468:A474"/>
    <mergeCell ref="B468:B474"/>
    <mergeCell ref="L468:L474"/>
    <mergeCell ref="A475:A481"/>
    <mergeCell ref="B475:B481"/>
    <mergeCell ref="L475:L481"/>
    <mergeCell ref="A461:A467"/>
    <mergeCell ref="B461:B467"/>
    <mergeCell ref="C461:C485"/>
    <mergeCell ref="A482:A485"/>
    <mergeCell ref="B482:B485"/>
    <mergeCell ref="A486:A487"/>
    <mergeCell ref="B486:B492"/>
    <mergeCell ref="C486:C487"/>
    <mergeCell ref="L486:L487"/>
    <mergeCell ref="M486:M487"/>
    <mergeCell ref="O482:O485"/>
    <mergeCell ref="B453:B460"/>
    <mergeCell ref="A453:A460"/>
    <mergeCell ref="C453:C460"/>
    <mergeCell ref="O440:O452"/>
    <mergeCell ref="C442:C447"/>
    <mergeCell ref="C448:C452"/>
    <mergeCell ref="A427:A439"/>
    <mergeCell ref="B427:B439"/>
    <mergeCell ref="C427:C439"/>
    <mergeCell ref="A440:A452"/>
    <mergeCell ref="B440:B452"/>
    <mergeCell ref="A416:A418"/>
    <mergeCell ref="B416:B418"/>
    <mergeCell ref="O416:O418"/>
    <mergeCell ref="C417:C418"/>
    <mergeCell ref="B419:B426"/>
    <mergeCell ref="O419:O422"/>
    <mergeCell ref="C421:C426"/>
    <mergeCell ref="A396:A397"/>
    <mergeCell ref="B396:B397"/>
    <mergeCell ref="C396:C397"/>
    <mergeCell ref="O396:O397"/>
    <mergeCell ref="A400:A406"/>
    <mergeCell ref="B400:B406"/>
    <mergeCell ref="C400:C406"/>
    <mergeCell ref="O400:O406"/>
    <mergeCell ref="A408:A414"/>
    <mergeCell ref="B408:B414"/>
    <mergeCell ref="C408:C409"/>
    <mergeCell ref="O408:O414"/>
    <mergeCell ref="C410:C415"/>
    <mergeCell ref="A389:A391"/>
    <mergeCell ref="B389:B391"/>
    <mergeCell ref="C389:C391"/>
    <mergeCell ref="L389:L391"/>
    <mergeCell ref="O389:O391"/>
    <mergeCell ref="A392:A393"/>
    <mergeCell ref="B392:B393"/>
    <mergeCell ref="C392:C393"/>
    <mergeCell ref="O392:O393"/>
    <mergeCell ref="O387:O388"/>
    <mergeCell ref="N383:N384"/>
    <mergeCell ref="A385:A386"/>
    <mergeCell ref="B385:B386"/>
    <mergeCell ref="C385:C386"/>
    <mergeCell ref="N385:N386"/>
    <mergeCell ref="O385:O386"/>
    <mergeCell ref="A387:A388"/>
    <mergeCell ref="B387:B388"/>
    <mergeCell ref="C387:C388"/>
    <mergeCell ref="L387:L388"/>
    <mergeCell ref="N387:N388"/>
    <mergeCell ref="O381:O384"/>
    <mergeCell ref="A383:A384"/>
    <mergeCell ref="B383:B384"/>
    <mergeCell ref="C383:C384"/>
    <mergeCell ref="L383:L384"/>
    <mergeCell ref="A381:A382"/>
    <mergeCell ref="B381:B382"/>
    <mergeCell ref="C381:C382"/>
    <mergeCell ref="L381:L382"/>
    <mergeCell ref="N381:N382"/>
    <mergeCell ref="O374:O375"/>
    <mergeCell ref="A376:A377"/>
    <mergeCell ref="B376:B377"/>
    <mergeCell ref="C376:C377"/>
    <mergeCell ref="N376:N377"/>
    <mergeCell ref="O376:O379"/>
    <mergeCell ref="A378:A380"/>
    <mergeCell ref="B378:B380"/>
    <mergeCell ref="C378:C380"/>
    <mergeCell ref="L378:L379"/>
    <mergeCell ref="A374:A375"/>
    <mergeCell ref="B374:B375"/>
    <mergeCell ref="C374:C375"/>
    <mergeCell ref="L374:L375"/>
    <mergeCell ref="N374:N375"/>
    <mergeCell ref="A372:A373"/>
    <mergeCell ref="B372:B373"/>
    <mergeCell ref="C372:C373"/>
    <mergeCell ref="N372:N373"/>
    <mergeCell ref="O372:O373"/>
    <mergeCell ref="A370:A371"/>
    <mergeCell ref="B370:B371"/>
    <mergeCell ref="L370:L371"/>
    <mergeCell ref="N370:N371"/>
    <mergeCell ref="A358:A367"/>
    <mergeCell ref="B358:B367"/>
    <mergeCell ref="C358:C367"/>
    <mergeCell ref="A368:A369"/>
    <mergeCell ref="B368:B369"/>
    <mergeCell ref="C368:C371"/>
    <mergeCell ref="L368:L369"/>
    <mergeCell ref="N368:N369"/>
    <mergeCell ref="O356:O357"/>
    <mergeCell ref="A356:A357"/>
    <mergeCell ref="B356:B357"/>
    <mergeCell ref="C356:C357"/>
    <mergeCell ref="O368:O371"/>
    <mergeCell ref="A352:A353"/>
    <mergeCell ref="B352:B353"/>
    <mergeCell ref="C352:C353"/>
    <mergeCell ref="A354:A355"/>
    <mergeCell ref="B354:B355"/>
    <mergeCell ref="C354:C355"/>
    <mergeCell ref="L354:L355"/>
    <mergeCell ref="O354:O355"/>
    <mergeCell ref="C342:C345"/>
    <mergeCell ref="C346:C348"/>
    <mergeCell ref="A347:A348"/>
    <mergeCell ref="B347:B348"/>
    <mergeCell ref="O347:O348"/>
    <mergeCell ref="A349:A351"/>
    <mergeCell ref="B349:B351"/>
    <mergeCell ref="C349:C351"/>
    <mergeCell ref="O350:O351"/>
    <mergeCell ref="C324:C328"/>
    <mergeCell ref="A336:A339"/>
    <mergeCell ref="B336:B339"/>
    <mergeCell ref="O336:O345"/>
    <mergeCell ref="A331:A332"/>
    <mergeCell ref="B331:B332"/>
    <mergeCell ref="C331:C332"/>
    <mergeCell ref="L331:L332"/>
    <mergeCell ref="N331:N332"/>
    <mergeCell ref="O331:O332"/>
    <mergeCell ref="C337:C339"/>
    <mergeCell ref="A340:A341"/>
    <mergeCell ref="B340:B341"/>
    <mergeCell ref="L340:L341"/>
    <mergeCell ref="N340:N341"/>
    <mergeCell ref="A342:A345"/>
    <mergeCell ref="B342:B345"/>
    <mergeCell ref="A302:A303"/>
    <mergeCell ref="B302:B303"/>
    <mergeCell ref="C302:C303"/>
    <mergeCell ref="L302:L303"/>
    <mergeCell ref="N302:N303"/>
    <mergeCell ref="O304:O308"/>
    <mergeCell ref="A307:A309"/>
    <mergeCell ref="B307:B309"/>
    <mergeCell ref="A333:A335"/>
    <mergeCell ref="B333:B335"/>
    <mergeCell ref="C333:C335"/>
    <mergeCell ref="L333:L335"/>
    <mergeCell ref="O333:O335"/>
    <mergeCell ref="B310:B311"/>
    <mergeCell ref="A310:A311"/>
    <mergeCell ref="C310:C311"/>
    <mergeCell ref="B312:B316"/>
    <mergeCell ref="A304:A306"/>
    <mergeCell ref="B304:B306"/>
    <mergeCell ref="C304:C309"/>
    <mergeCell ref="L304:L308"/>
    <mergeCell ref="N304:N308"/>
    <mergeCell ref="A317:A328"/>
    <mergeCell ref="B317:B328"/>
    <mergeCell ref="A298:A299"/>
    <mergeCell ref="B298:B299"/>
    <mergeCell ref="C298:C299"/>
    <mergeCell ref="L298:L299"/>
    <mergeCell ref="O298:O301"/>
    <mergeCell ref="A300:A301"/>
    <mergeCell ref="B300:B301"/>
    <mergeCell ref="C300:C301"/>
    <mergeCell ref="L300:L301"/>
    <mergeCell ref="A294:A295"/>
    <mergeCell ref="B294:B295"/>
    <mergeCell ref="C294:C295"/>
    <mergeCell ref="L294:L295"/>
    <mergeCell ref="N294:N295"/>
    <mergeCell ref="A296:A297"/>
    <mergeCell ref="B296:B297"/>
    <mergeCell ref="C296:C297"/>
    <mergeCell ref="L296:L297"/>
    <mergeCell ref="N296:N297"/>
    <mergeCell ref="A290:A291"/>
    <mergeCell ref="B290:B291"/>
    <mergeCell ref="C290:C291"/>
    <mergeCell ref="O290:O293"/>
    <mergeCell ref="A292:A293"/>
    <mergeCell ref="B292:B293"/>
    <mergeCell ref="C292:C293"/>
    <mergeCell ref="L292:L293"/>
    <mergeCell ref="A275:A287"/>
    <mergeCell ref="B275:B287"/>
    <mergeCell ref="C275:C287"/>
    <mergeCell ref="A288:A289"/>
    <mergeCell ref="B288:B289"/>
    <mergeCell ref="C288:C289"/>
    <mergeCell ref="N292:N293"/>
    <mergeCell ref="C263:C266"/>
    <mergeCell ref="A267:A274"/>
    <mergeCell ref="B267:B274"/>
    <mergeCell ref="C267:C274"/>
    <mergeCell ref="C255:C258"/>
    <mergeCell ref="B255:B262"/>
    <mergeCell ref="A255:A258"/>
    <mergeCell ref="A251:A254"/>
    <mergeCell ref="B251:B254"/>
    <mergeCell ref="C251:C254"/>
    <mergeCell ref="A240:A241"/>
    <mergeCell ref="B240:B241"/>
    <mergeCell ref="C240:C241"/>
    <mergeCell ref="L155:L157"/>
    <mergeCell ref="A184:A187"/>
    <mergeCell ref="B184:B187"/>
    <mergeCell ref="L184:L187"/>
    <mergeCell ref="A158:A160"/>
    <mergeCell ref="A161:A163"/>
    <mergeCell ref="A164:A166"/>
    <mergeCell ref="A167:A169"/>
    <mergeCell ref="A170:A172"/>
    <mergeCell ref="A181:A183"/>
    <mergeCell ref="B181:B183"/>
    <mergeCell ref="C181:C183"/>
    <mergeCell ref="L181:L183"/>
    <mergeCell ref="B179:B180"/>
    <mergeCell ref="C179:C180"/>
    <mergeCell ref="B175:B176"/>
    <mergeCell ref="A173:A174"/>
    <mergeCell ref="A175:A176"/>
    <mergeCell ref="C196:C197"/>
    <mergeCell ref="A155:A157"/>
    <mergeCell ref="B155:B157"/>
    <mergeCell ref="A131:A134"/>
    <mergeCell ref="B131:B134"/>
    <mergeCell ref="A139:A142"/>
    <mergeCell ref="B139:B142"/>
    <mergeCell ref="L139:L142"/>
    <mergeCell ref="N143:N147"/>
    <mergeCell ref="A148:A151"/>
    <mergeCell ref="B148:B151"/>
    <mergeCell ref="L148:L151"/>
    <mergeCell ref="N148:N151"/>
    <mergeCell ref="A143:A147"/>
    <mergeCell ref="B143:B147"/>
    <mergeCell ref="L143:L147"/>
    <mergeCell ref="C135:C138"/>
    <mergeCell ref="A135:A138"/>
    <mergeCell ref="B135:B138"/>
    <mergeCell ref="B90:B98"/>
    <mergeCell ref="A123:A128"/>
    <mergeCell ref="B123:B128"/>
    <mergeCell ref="A102:A104"/>
    <mergeCell ref="B102:B104"/>
    <mergeCell ref="A105:A109"/>
    <mergeCell ref="B105:B109"/>
    <mergeCell ref="A114:A118"/>
    <mergeCell ref="B114:B118"/>
    <mergeCell ref="A99:A101"/>
    <mergeCell ref="B99:B101"/>
    <mergeCell ref="C102:C104"/>
    <mergeCell ref="C105:C107"/>
    <mergeCell ref="M1:O1"/>
    <mergeCell ref="M2:O2"/>
    <mergeCell ref="A3:J3"/>
    <mergeCell ref="H4:J4"/>
    <mergeCell ref="A5:A8"/>
    <mergeCell ref="B5:B8"/>
    <mergeCell ref="C5:C8"/>
    <mergeCell ref="D5:D8"/>
    <mergeCell ref="E5:E8"/>
    <mergeCell ref="L5:L8"/>
    <mergeCell ref="C63:C68"/>
    <mergeCell ref="C69:C73"/>
    <mergeCell ref="C50:C55"/>
    <mergeCell ref="C56:C60"/>
    <mergeCell ref="A87:A89"/>
    <mergeCell ref="B87:B89"/>
    <mergeCell ref="A61:A73"/>
    <mergeCell ref="A74:A86"/>
    <mergeCell ref="B74:B86"/>
    <mergeCell ref="A90:A98"/>
    <mergeCell ref="C74:C86"/>
    <mergeCell ref="B62:B73"/>
    <mergeCell ref="A48:A60"/>
    <mergeCell ref="N5:N8"/>
    <mergeCell ref="O5:O8"/>
    <mergeCell ref="F7:F8"/>
    <mergeCell ref="G7:I7"/>
    <mergeCell ref="O87:O89"/>
    <mergeCell ref="O61:O73"/>
    <mergeCell ref="O36:O60"/>
    <mergeCell ref="C43:C47"/>
    <mergeCell ref="A9:A21"/>
    <mergeCell ref="B9:B21"/>
    <mergeCell ref="B48:B60"/>
    <mergeCell ref="M5:M8"/>
    <mergeCell ref="A35:A47"/>
    <mergeCell ref="B35:B47"/>
    <mergeCell ref="C9:C21"/>
    <mergeCell ref="C37:C42"/>
    <mergeCell ref="O90:O122"/>
    <mergeCell ref="C96:C98"/>
    <mergeCell ref="O123:O241"/>
    <mergeCell ref="N131:N132"/>
    <mergeCell ref="N135:N138"/>
    <mergeCell ref="C155:C156"/>
    <mergeCell ref="C92:C95"/>
    <mergeCell ref="C189:C190"/>
    <mergeCell ref="C125:C127"/>
    <mergeCell ref="C139:C142"/>
    <mergeCell ref="C145:C147"/>
    <mergeCell ref="C198:C200"/>
    <mergeCell ref="C100:C101"/>
    <mergeCell ref="C175:C176"/>
    <mergeCell ref="L194:L195"/>
    <mergeCell ref="C114:C122"/>
    <mergeCell ref="C131:C134"/>
    <mergeCell ref="L131:L132"/>
    <mergeCell ref="L135:L138"/>
    <mergeCell ref="C152:C154"/>
    <mergeCell ref="L152:L154"/>
    <mergeCell ref="N152:N154"/>
    <mergeCell ref="L188:L189"/>
    <mergeCell ref="L191:L192"/>
    <mergeCell ref="C394:C395"/>
    <mergeCell ref="L394:L395"/>
    <mergeCell ref="O394:O395"/>
    <mergeCell ref="N184:N187"/>
    <mergeCell ref="N191:N192"/>
    <mergeCell ref="B201:B202"/>
    <mergeCell ref="L229:L230"/>
    <mergeCell ref="L231:L233"/>
    <mergeCell ref="O263:O266"/>
    <mergeCell ref="O268:O270"/>
    <mergeCell ref="O288:O289"/>
    <mergeCell ref="O294:O295"/>
    <mergeCell ref="B188:B189"/>
    <mergeCell ref="B191:B193"/>
    <mergeCell ref="C227:C230"/>
    <mergeCell ref="B231:B233"/>
    <mergeCell ref="C231:C232"/>
    <mergeCell ref="B204:B206"/>
    <mergeCell ref="B207:B208"/>
    <mergeCell ref="O296:O297"/>
    <mergeCell ref="O302:O303"/>
    <mergeCell ref="C317:C318"/>
    <mergeCell ref="O317:O328"/>
    <mergeCell ref="C319:C323"/>
    <mergeCell ref="C173:C174"/>
    <mergeCell ref="C177:C178"/>
    <mergeCell ref="B170:B172"/>
    <mergeCell ref="C158:C172"/>
    <mergeCell ref="A246:A247"/>
    <mergeCell ref="C246:C247"/>
    <mergeCell ref="A248:A250"/>
    <mergeCell ref="C248:C250"/>
    <mergeCell ref="C201:C203"/>
    <mergeCell ref="A216:A218"/>
    <mergeCell ref="B216:B218"/>
    <mergeCell ref="A210:A212"/>
    <mergeCell ref="B210:B212"/>
    <mergeCell ref="A213:A215"/>
    <mergeCell ref="B213:B215"/>
    <mergeCell ref="A219:A221"/>
    <mergeCell ref="B219:B221"/>
    <mergeCell ref="A222:A223"/>
    <mergeCell ref="B222:B223"/>
    <mergeCell ref="A201:A202"/>
    <mergeCell ref="A231:A233"/>
    <mergeCell ref="A203:A206"/>
    <mergeCell ref="A207:A208"/>
    <mergeCell ref="C222:C223"/>
    <mergeCell ref="A152:A154"/>
    <mergeCell ref="B152:B154"/>
    <mergeCell ref="A188:A189"/>
    <mergeCell ref="A191:A193"/>
    <mergeCell ref="B158:B160"/>
    <mergeCell ref="B161:B163"/>
    <mergeCell ref="A194:A195"/>
    <mergeCell ref="B194:B195"/>
    <mergeCell ref="B164:B166"/>
    <mergeCell ref="B173:B174"/>
    <mergeCell ref="B177:B178"/>
  </mergeCells>
  <pageMargins left="0.25" right="0.25" top="0.75" bottom="0.75" header="0.30000001192092901" footer="0.30000001192092901"/>
  <pageSetup paperSize="9" scale="55" fitToHeight="0" orientation="landscape"/>
  <headerFooter alignWithMargins="0"/>
  <rowBreaks count="10" manualBreakCount="10">
    <brk id="250" max="1418" man="1"/>
    <brk id="418" max="1418" man="1"/>
    <brk id="452" max="1418" man="1"/>
    <brk id="499" max="1418" man="1"/>
    <brk id="586" max="1418" man="1"/>
    <brk id="644" max="1418" man="1"/>
    <brk id="742" max="1418" man="1"/>
    <brk id="784" max="1418" man="1"/>
    <brk id="1093" max="1418" man="1"/>
    <brk id="1126" max="1418" man="1"/>
  </rowBreaks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EP1519"/>
  <sheetViews>
    <sheetView tabSelected="1" view="pageBreakPreview" topLeftCell="A2" zoomScaleNormal="125" zoomScaleSheetLayoutView="100" workbookViewId="0">
      <selection activeCell="B1289" sqref="B1289:B1290"/>
    </sheetView>
  </sheetViews>
  <sheetFormatPr defaultColWidth="9.140625" defaultRowHeight="12.75" customHeight="1"/>
  <cols>
    <col min="1" max="1" width="7.5703125" style="43" customWidth="1"/>
    <col min="2" max="2" width="40.140625" style="44" customWidth="1"/>
    <col min="3" max="3" width="33.42578125" style="462" hidden="1" customWidth="1"/>
    <col min="4" max="4" width="13.5703125" style="45" customWidth="1"/>
    <col min="5" max="5" width="14.85546875" style="46" customWidth="1"/>
    <col min="6" max="6" width="13.42578125" style="46" customWidth="1"/>
    <col min="7" max="7" width="11.85546875" style="46" customWidth="1"/>
    <col min="8" max="8" width="14.7109375" style="46" customWidth="1"/>
    <col min="9" max="9" width="15.28515625" style="47" customWidth="1"/>
    <col min="10" max="10" width="12" style="47" customWidth="1"/>
    <col min="11" max="11" width="17.42578125" style="47" customWidth="1"/>
    <col min="12" max="12" width="17.140625" style="463" hidden="1" customWidth="1"/>
    <col min="13" max="13" width="15.42578125" style="45" customWidth="1"/>
    <col min="14" max="14" width="14.85546875" style="49" customWidth="1"/>
    <col min="15" max="15" width="9.5703125" style="50" customWidth="1"/>
    <col min="16" max="16" width="26" style="464" customWidth="1"/>
    <col min="17" max="137" width="0" style="49" hidden="1" customWidth="1"/>
    <col min="138" max="138" width="5.85546875" style="49" hidden="1" customWidth="1"/>
    <col min="139" max="140" width="0" style="49" hidden="1" customWidth="1"/>
    <col min="141" max="141" width="10.85546875" style="49" hidden="1" customWidth="1"/>
    <col min="142" max="16384" width="9.140625" style="49"/>
  </cols>
  <sheetData>
    <row r="1" spans="1:58" ht="18.75" hidden="1" customHeight="1">
      <c r="N1" s="917"/>
      <c r="O1" s="917"/>
      <c r="P1" s="917"/>
    </row>
    <row r="2" spans="1:58" ht="51" customHeight="1">
      <c r="N2" s="1134" t="s">
        <v>1096</v>
      </c>
      <c r="O2" s="1134"/>
      <c r="P2" s="1134"/>
    </row>
    <row r="3" spans="1:58" ht="12.75" customHeight="1">
      <c r="A3" s="919" t="s">
        <v>340</v>
      </c>
      <c r="B3" s="919"/>
      <c r="C3" s="919"/>
      <c r="D3" s="919"/>
      <c r="E3" s="919"/>
      <c r="F3" s="919"/>
      <c r="G3" s="919"/>
      <c r="H3" s="919"/>
      <c r="I3" s="919"/>
      <c r="J3" s="919"/>
      <c r="K3" s="45"/>
      <c r="L3" s="465"/>
      <c r="P3" s="466"/>
    </row>
    <row r="4" spans="1:58">
      <c r="A4" s="54"/>
      <c r="B4" s="55"/>
      <c r="C4" s="467"/>
      <c r="D4" s="56"/>
      <c r="E4" s="57"/>
      <c r="F4" s="57"/>
      <c r="G4" s="57"/>
      <c r="H4" s="920" t="s">
        <v>3</v>
      </c>
      <c r="I4" s="920"/>
      <c r="J4" s="920"/>
      <c r="K4" s="57"/>
      <c r="L4" s="468"/>
      <c r="P4" s="466"/>
    </row>
    <row r="5" spans="1:58" s="51" customFormat="1">
      <c r="A5" s="921" t="s">
        <v>4</v>
      </c>
      <c r="B5" s="870" t="s">
        <v>341</v>
      </c>
      <c r="C5" s="881" t="s">
        <v>342</v>
      </c>
      <c r="D5" s="922" t="s">
        <v>6</v>
      </c>
      <c r="E5" s="904" t="s">
        <v>343</v>
      </c>
      <c r="F5" s="1138" t="s">
        <v>8</v>
      </c>
      <c r="G5" s="1139"/>
      <c r="H5" s="1139"/>
      <c r="I5" s="1139"/>
      <c r="J5" s="1139"/>
      <c r="K5" s="1140"/>
      <c r="L5" s="469"/>
      <c r="M5" s="923" t="s">
        <v>344</v>
      </c>
      <c r="N5" s="855" t="s">
        <v>345</v>
      </c>
      <c r="O5" s="901" t="s">
        <v>346</v>
      </c>
      <c r="P5" s="1104" t="s">
        <v>347</v>
      </c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68"/>
    </row>
    <row r="6" spans="1:58" s="51" customFormat="1" ht="12.75" customHeight="1">
      <c r="A6" s="921"/>
      <c r="B6" s="870"/>
      <c r="C6" s="882"/>
      <c r="D6" s="922"/>
      <c r="E6" s="904"/>
      <c r="F6" s="1135"/>
      <c r="G6" s="1136"/>
      <c r="H6" s="1136"/>
      <c r="I6" s="1136"/>
      <c r="J6" s="1136"/>
      <c r="K6" s="1137"/>
      <c r="L6" s="471"/>
      <c r="M6" s="924"/>
      <c r="N6" s="856"/>
      <c r="O6" s="902"/>
      <c r="P6" s="992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68"/>
    </row>
    <row r="7" spans="1:58" s="51" customFormat="1" ht="12.75" customHeight="1">
      <c r="A7" s="921"/>
      <c r="B7" s="870"/>
      <c r="C7" s="882"/>
      <c r="D7" s="922"/>
      <c r="E7" s="904"/>
      <c r="F7" s="1135" t="s">
        <v>10</v>
      </c>
      <c r="G7" s="1136"/>
      <c r="H7" s="1136"/>
      <c r="I7" s="1136"/>
      <c r="J7" s="1136"/>
      <c r="K7" s="1137"/>
      <c r="L7" s="471"/>
      <c r="M7" s="924"/>
      <c r="N7" s="856"/>
      <c r="O7" s="902"/>
      <c r="P7" s="992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68"/>
    </row>
    <row r="8" spans="1:58" s="51" customFormat="1" ht="38.25">
      <c r="A8" s="921"/>
      <c r="B8" s="870"/>
      <c r="C8" s="964"/>
      <c r="D8" s="922"/>
      <c r="E8" s="904"/>
      <c r="F8" s="165" t="s">
        <v>9</v>
      </c>
      <c r="G8" s="63" t="s">
        <v>11</v>
      </c>
      <c r="H8" s="63" t="s">
        <v>12</v>
      </c>
      <c r="I8" s="63" t="s">
        <v>13</v>
      </c>
      <c r="J8" s="63" t="s">
        <v>14</v>
      </c>
      <c r="K8" s="63" t="s">
        <v>1097</v>
      </c>
      <c r="L8" s="472"/>
      <c r="M8" s="925"/>
      <c r="N8" s="857"/>
      <c r="O8" s="903"/>
      <c r="P8" s="993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68"/>
    </row>
    <row r="9" spans="1:58" s="82" customFormat="1" ht="29.25" customHeight="1">
      <c r="A9" s="794"/>
      <c r="B9" s="913" t="s">
        <v>348</v>
      </c>
      <c r="C9" s="1124"/>
      <c r="D9" s="84" t="s">
        <v>16</v>
      </c>
      <c r="E9" s="85">
        <f t="shared" ref="E9:K9" si="0">E10+E11+E12+E13+E14+E15+E16+E17+E18+E19+E20+E21</f>
        <v>150119.87491137997</v>
      </c>
      <c r="F9" s="473">
        <f t="shared" si="0"/>
        <v>2604.6641413799803</v>
      </c>
      <c r="G9" s="473">
        <f t="shared" si="0"/>
        <v>443.73700000000002</v>
      </c>
      <c r="H9" s="473">
        <f t="shared" si="0"/>
        <v>5052.4537699999992</v>
      </c>
      <c r="I9" s="473">
        <f t="shared" si="0"/>
        <v>141849.55889999997</v>
      </c>
      <c r="J9" s="473">
        <f t="shared" si="0"/>
        <v>167.09459999999996</v>
      </c>
      <c r="K9" s="85">
        <f t="shared" si="0"/>
        <v>2.3664999999999998</v>
      </c>
      <c r="L9" s="474">
        <f>SUM(F9:K9)</f>
        <v>150119.87491137997</v>
      </c>
      <c r="M9" s="736"/>
      <c r="N9" s="476"/>
      <c r="O9" s="301"/>
      <c r="P9" s="477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2"/>
    </row>
    <row r="10" spans="1:58" s="82" customFormat="1" ht="13.5" customHeight="1">
      <c r="A10" s="1126"/>
      <c r="B10" s="868"/>
      <c r="C10" s="1125"/>
      <c r="D10" s="84">
        <v>2019</v>
      </c>
      <c r="E10" s="480">
        <f t="shared" ref="E10:J10" si="1">E23+E75+E299+E322+E419+E459+E487+E513+E583+E624+E770+E811+E863+E924+E1091+E1142+E1204+E1250</f>
        <v>30229.214669999994</v>
      </c>
      <c r="F10" s="473">
        <f t="shared" si="1"/>
        <v>253.12636999999998</v>
      </c>
      <c r="G10" s="473">
        <f t="shared" si="1"/>
        <v>106.88159999999999</v>
      </c>
      <c r="H10" s="473">
        <f t="shared" si="1"/>
        <v>965.55240000000003</v>
      </c>
      <c r="I10" s="473">
        <f t="shared" si="1"/>
        <v>28875.748500000002</v>
      </c>
      <c r="J10" s="473">
        <f t="shared" si="1"/>
        <v>27.905799999999999</v>
      </c>
      <c r="K10" s="412">
        <v>0</v>
      </c>
      <c r="L10" s="474">
        <f>F10+G10+H10+I10+J10</f>
        <v>30229.214670000001</v>
      </c>
      <c r="M10" s="736"/>
      <c r="N10" s="476"/>
      <c r="O10" s="301"/>
      <c r="P10" s="477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2"/>
    </row>
    <row r="11" spans="1:58" s="82" customFormat="1" ht="13.5" customHeight="1">
      <c r="A11" s="1126"/>
      <c r="B11" s="868"/>
      <c r="C11" s="1125"/>
      <c r="D11" s="84">
        <v>2020</v>
      </c>
      <c r="E11" s="85">
        <f t="shared" ref="E11:J11" si="2">E24+E76+E300+E323+E460+E488+E514+E584+E609+E625+E771+E812+E864+E925+E1066+E1092+E1143+E1205+E1251+E1278+E420</f>
        <v>47550.542246000012</v>
      </c>
      <c r="F11" s="481">
        <f t="shared" si="2"/>
        <v>235.67344599999998</v>
      </c>
      <c r="G11" s="473">
        <f t="shared" si="2"/>
        <v>172.37690000000001</v>
      </c>
      <c r="H11" s="473">
        <f t="shared" si="2"/>
        <v>1404.4751999999996</v>
      </c>
      <c r="I11" s="473">
        <f t="shared" si="2"/>
        <v>45722.347399999999</v>
      </c>
      <c r="J11" s="473">
        <f t="shared" si="2"/>
        <v>15.669300000000002</v>
      </c>
      <c r="K11" s="412">
        <v>0</v>
      </c>
      <c r="L11" s="474">
        <f>F11+G11+H11+I11+J11</f>
        <v>47550.542245999997</v>
      </c>
      <c r="M11" s="736"/>
      <c r="N11" s="476"/>
      <c r="O11" s="301"/>
      <c r="P11" s="477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2"/>
    </row>
    <row r="12" spans="1:58" s="82" customFormat="1" ht="13.5" customHeight="1">
      <c r="A12" s="1126"/>
      <c r="B12" s="868"/>
      <c r="C12" s="1125"/>
      <c r="D12" s="84">
        <v>2021</v>
      </c>
      <c r="E12" s="85">
        <f t="shared" ref="E12:K12" si="3">E25+E77+E301+E324+E421+E489+E515+E585+E610+E626+E750+E772+E813+E926+E989+E1015+E1041+E1067+E1093+E1144+E1206+E1252+E1279</f>
        <v>37023.488000000005</v>
      </c>
      <c r="F12" s="473">
        <f t="shared" si="3"/>
        <v>256.93669999999997</v>
      </c>
      <c r="G12" s="473">
        <f t="shared" si="3"/>
        <v>155.9648</v>
      </c>
      <c r="H12" s="473">
        <f t="shared" si="3"/>
        <v>553.59749999999997</v>
      </c>
      <c r="I12" s="473">
        <f t="shared" si="3"/>
        <v>36030.667000000001</v>
      </c>
      <c r="J12" s="473">
        <f t="shared" si="3"/>
        <v>23.955500000000001</v>
      </c>
      <c r="K12" s="85">
        <f t="shared" si="3"/>
        <v>2.3664999999999998</v>
      </c>
      <c r="L12" s="482">
        <f>SUM(F12:K12)</f>
        <v>37023.487999999998</v>
      </c>
      <c r="M12" s="736"/>
      <c r="N12" s="476"/>
      <c r="O12" s="301"/>
      <c r="P12" s="477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2"/>
    </row>
    <row r="13" spans="1:58" s="82" customFormat="1" ht="13.5" customHeight="1">
      <c r="A13" s="1126"/>
      <c r="B13" s="868"/>
      <c r="C13" s="1125"/>
      <c r="D13" s="84">
        <v>2022</v>
      </c>
      <c r="E13" s="85">
        <f t="shared" ref="E13:J14" si="4">E26+E78+E302+E325+E422+E462+E490+E516+E627+E751+E773+E814+E865+E927+E990+E1016+E1042+E1094+E1145+E1207+E1253+E1280</f>
        <v>19295.767499999998</v>
      </c>
      <c r="F13" s="473">
        <f t="shared" si="4"/>
        <v>190.94490000000005</v>
      </c>
      <c r="G13" s="473">
        <f t="shared" si="4"/>
        <v>6.5596999999999994</v>
      </c>
      <c r="H13" s="473">
        <f t="shared" si="4"/>
        <v>94.704399999999993</v>
      </c>
      <c r="I13" s="473">
        <f t="shared" si="4"/>
        <v>19001.893</v>
      </c>
      <c r="J13" s="473">
        <f t="shared" si="4"/>
        <v>1.6655</v>
      </c>
      <c r="K13" s="85">
        <v>0</v>
      </c>
      <c r="L13" s="483">
        <f t="shared" ref="L13:L44" si="5">F13+G13+H13+I13+J13</f>
        <v>19295.767499999998</v>
      </c>
      <c r="M13" s="736"/>
      <c r="N13" s="476"/>
      <c r="O13" s="301"/>
      <c r="P13" s="477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2"/>
    </row>
    <row r="14" spans="1:58" s="82" customFormat="1" ht="13.5" customHeight="1">
      <c r="A14" s="1126"/>
      <c r="B14" s="868"/>
      <c r="C14" s="1125"/>
      <c r="D14" s="84">
        <v>2023</v>
      </c>
      <c r="E14" s="85">
        <f t="shared" si="4"/>
        <v>12949.577199999998</v>
      </c>
      <c r="F14" s="85">
        <f t="shared" si="4"/>
        <v>197.57490000000001</v>
      </c>
      <c r="G14" s="85">
        <f t="shared" si="4"/>
        <v>1.954</v>
      </c>
      <c r="H14" s="85">
        <f t="shared" si="4"/>
        <v>711.28729999999996</v>
      </c>
      <c r="I14" s="85">
        <f t="shared" si="4"/>
        <v>12025.569</v>
      </c>
      <c r="J14" s="85">
        <f t="shared" si="4"/>
        <v>13.192</v>
      </c>
      <c r="K14" s="85">
        <v>0</v>
      </c>
      <c r="L14" s="483">
        <f t="shared" si="5"/>
        <v>12949.577199999998</v>
      </c>
      <c r="M14" s="736"/>
      <c r="N14" s="476"/>
      <c r="O14" s="301"/>
      <c r="P14" s="477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2"/>
    </row>
    <row r="15" spans="1:58" s="82" customFormat="1" ht="13.5" customHeight="1">
      <c r="A15" s="1126"/>
      <c r="B15" s="868"/>
      <c r="C15" s="1125"/>
      <c r="D15" s="84">
        <v>2024</v>
      </c>
      <c r="E15" s="85">
        <f t="shared" ref="E15:J15" si="6">E28+E80+E304+E327+E424+E464+E492+E518+E629+E816+E867+E929+E992+E1018+E1044+E1096+E1147+E1209+E1255+E1282</f>
        <v>456.45858999999996</v>
      </c>
      <c r="F15" s="85">
        <f t="shared" si="6"/>
        <v>197.27629000000002</v>
      </c>
      <c r="G15" s="85">
        <f t="shared" si="6"/>
        <v>0</v>
      </c>
      <c r="H15" s="85">
        <f t="shared" si="6"/>
        <v>162.25400000000002</v>
      </c>
      <c r="I15" s="85">
        <f t="shared" si="6"/>
        <v>83.216000000000008</v>
      </c>
      <c r="J15" s="85">
        <f t="shared" si="6"/>
        <v>13.712299999999999</v>
      </c>
      <c r="K15" s="85">
        <v>0</v>
      </c>
      <c r="L15" s="474">
        <f t="shared" si="5"/>
        <v>456.45859000000007</v>
      </c>
      <c r="M15" s="736"/>
      <c r="N15" s="476"/>
      <c r="O15" s="301"/>
      <c r="P15" s="477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2"/>
    </row>
    <row r="16" spans="1:58" s="82" customFormat="1" ht="13.5" customHeight="1">
      <c r="A16" s="1126"/>
      <c r="B16" s="868"/>
      <c r="C16" s="1125"/>
      <c r="D16" s="84">
        <v>2025</v>
      </c>
      <c r="E16" s="85">
        <f t="shared" ref="E16:J16" si="7">E29+E81+E305+E328+E425+E473+E493+E519+E630+E817+E868+E930+E993+E1019+E1045+E1097+E1148+E1210+E1256+E1283</f>
        <v>564.32584999999995</v>
      </c>
      <c r="F16" s="85">
        <f t="shared" si="7"/>
        <v>197.26055000000002</v>
      </c>
      <c r="G16" s="85">
        <f t="shared" si="7"/>
        <v>0</v>
      </c>
      <c r="H16" s="85">
        <f t="shared" si="7"/>
        <v>302.04600000000005</v>
      </c>
      <c r="I16" s="85">
        <f t="shared" si="7"/>
        <v>46.427999999999997</v>
      </c>
      <c r="J16" s="85">
        <f t="shared" si="7"/>
        <v>18.5913</v>
      </c>
      <c r="K16" s="85">
        <v>0</v>
      </c>
      <c r="L16" s="474">
        <f t="shared" si="5"/>
        <v>564.32585000000017</v>
      </c>
      <c r="M16" s="736"/>
      <c r="N16" s="476"/>
      <c r="O16" s="301"/>
      <c r="P16" s="477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2"/>
    </row>
    <row r="17" spans="1:58" s="82" customFormat="1" ht="13.5" customHeight="1">
      <c r="A17" s="1126"/>
      <c r="B17" s="868"/>
      <c r="C17" s="1125"/>
      <c r="D17" s="84">
        <v>2026</v>
      </c>
      <c r="E17" s="85">
        <f t="shared" ref="E17:J17" si="8">E30+E82+E329+E443+E494+E590+E631+E818+E869+E931+E1098+E1149+E1284</f>
        <v>574.75846079999997</v>
      </c>
      <c r="F17" s="85">
        <f t="shared" si="8"/>
        <v>271.14616080000002</v>
      </c>
      <c r="G17" s="85">
        <f t="shared" si="8"/>
        <v>0</v>
      </c>
      <c r="H17" s="85">
        <f t="shared" si="8"/>
        <v>240.52</v>
      </c>
      <c r="I17" s="85">
        <f t="shared" si="8"/>
        <v>45.4</v>
      </c>
      <c r="J17" s="85">
        <f t="shared" si="8"/>
        <v>17.692299999999999</v>
      </c>
      <c r="K17" s="85">
        <v>0</v>
      </c>
      <c r="L17" s="474">
        <f t="shared" si="5"/>
        <v>574.75846080000008</v>
      </c>
      <c r="M17" s="736"/>
      <c r="N17" s="476"/>
      <c r="O17" s="301"/>
      <c r="P17" s="477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2"/>
    </row>
    <row r="18" spans="1:58" s="82" customFormat="1" ht="13.5" customHeight="1">
      <c r="A18" s="1126"/>
      <c r="B18" s="868"/>
      <c r="C18" s="1125"/>
      <c r="D18" s="84">
        <v>2027</v>
      </c>
      <c r="E18" s="85">
        <f t="shared" ref="E18:J18" si="9">E31+E83+E330+E427+E495+E819+E870+E932+E995+E1099+E1150+E1285</f>
        <v>646.85996723199992</v>
      </c>
      <c r="F18" s="85">
        <f t="shared" si="9"/>
        <v>192.18456723200001</v>
      </c>
      <c r="G18" s="85">
        <f t="shared" si="9"/>
        <v>0</v>
      </c>
      <c r="H18" s="85">
        <f t="shared" si="9"/>
        <v>439.8494</v>
      </c>
      <c r="I18" s="85">
        <f t="shared" si="9"/>
        <v>3.25</v>
      </c>
      <c r="J18" s="85">
        <f t="shared" si="9"/>
        <v>11.576000000000001</v>
      </c>
      <c r="K18" s="85">
        <v>0</v>
      </c>
      <c r="L18" s="474">
        <f t="shared" si="5"/>
        <v>646.85996723200003</v>
      </c>
      <c r="M18" s="736"/>
      <c r="N18" s="476"/>
      <c r="O18" s="301"/>
      <c r="P18" s="477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2"/>
    </row>
    <row r="19" spans="1:58" s="82" customFormat="1" ht="13.5" customHeight="1">
      <c r="A19" s="1126"/>
      <c r="B19" s="868"/>
      <c r="C19" s="1125"/>
      <c r="D19" s="84">
        <v>2028</v>
      </c>
      <c r="E19" s="85">
        <f t="shared" ref="E19:J19" si="10">E32+E84+E331+E496+E592+E633+E820+E933+E1100+E1151+E1286</f>
        <v>376.12014592127997</v>
      </c>
      <c r="F19" s="85">
        <f t="shared" si="10"/>
        <v>205.66027592128003</v>
      </c>
      <c r="G19" s="85">
        <f t="shared" si="10"/>
        <v>0</v>
      </c>
      <c r="H19" s="85">
        <f t="shared" si="10"/>
        <v>158.95756999999998</v>
      </c>
      <c r="I19" s="85">
        <f t="shared" si="10"/>
        <v>0</v>
      </c>
      <c r="J19" s="85">
        <f t="shared" si="10"/>
        <v>11.5023</v>
      </c>
      <c r="K19" s="85">
        <v>0</v>
      </c>
      <c r="L19" s="474">
        <f t="shared" si="5"/>
        <v>376.12014592128003</v>
      </c>
      <c r="M19" s="736"/>
      <c r="N19" s="476"/>
      <c r="O19" s="301"/>
      <c r="P19" s="477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2"/>
    </row>
    <row r="20" spans="1:58" s="82" customFormat="1" ht="13.5" customHeight="1">
      <c r="A20" s="1126"/>
      <c r="B20" s="868"/>
      <c r="C20" s="1125"/>
      <c r="D20" s="84">
        <v>2029</v>
      </c>
      <c r="E20" s="85">
        <f t="shared" ref="E20:J20" si="11">E33+E85+E332+E497+E634+E821+E871+E934+E1101+E1152+E1260+E1287</f>
        <v>312.65708295813118</v>
      </c>
      <c r="F20" s="85">
        <f t="shared" si="11"/>
        <v>281.81478295813116</v>
      </c>
      <c r="G20" s="85">
        <f t="shared" si="11"/>
        <v>0</v>
      </c>
      <c r="H20" s="85">
        <f t="shared" si="11"/>
        <v>11.69</v>
      </c>
      <c r="I20" s="85">
        <f t="shared" si="11"/>
        <v>7.52</v>
      </c>
      <c r="J20" s="85">
        <f t="shared" si="11"/>
        <v>11.632300000000001</v>
      </c>
      <c r="K20" s="85">
        <v>0</v>
      </c>
      <c r="L20" s="474">
        <f t="shared" si="5"/>
        <v>312.65708295813113</v>
      </c>
      <c r="M20" s="736"/>
      <c r="N20" s="476"/>
      <c r="O20" s="301"/>
      <c r="P20" s="477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2"/>
    </row>
    <row r="21" spans="1:58" s="82" customFormat="1" ht="13.5" customHeight="1">
      <c r="A21" s="1127"/>
      <c r="B21" s="869"/>
      <c r="C21" s="1103"/>
      <c r="D21" s="84">
        <v>2030</v>
      </c>
      <c r="E21" s="85">
        <f t="shared" ref="E21:K21" si="12">E34+E86+E333+E498+E871+E935+E822</f>
        <v>140.10519846856909</v>
      </c>
      <c r="F21" s="85">
        <f t="shared" si="12"/>
        <v>125.06519846856911</v>
      </c>
      <c r="G21" s="85">
        <f t="shared" si="12"/>
        <v>0</v>
      </c>
      <c r="H21" s="85">
        <f t="shared" si="12"/>
        <v>7.52</v>
      </c>
      <c r="I21" s="85">
        <f t="shared" si="12"/>
        <v>7.52</v>
      </c>
      <c r="J21" s="85">
        <f t="shared" si="12"/>
        <v>0</v>
      </c>
      <c r="K21" s="85">
        <f t="shared" si="12"/>
        <v>0</v>
      </c>
      <c r="L21" s="474">
        <f t="shared" si="5"/>
        <v>140.10519846856911</v>
      </c>
      <c r="M21" s="736"/>
      <c r="N21" s="476"/>
      <c r="O21" s="301"/>
      <c r="P21" s="477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2"/>
    </row>
    <row r="22" spans="1:58" s="82" customFormat="1" ht="15.75">
      <c r="A22" s="485">
        <v>1</v>
      </c>
      <c r="B22" s="98" t="s">
        <v>349</v>
      </c>
      <c r="C22" s="479"/>
      <c r="D22" s="84" t="s">
        <v>16</v>
      </c>
      <c r="E22" s="85">
        <f t="shared" ref="E22:J22" si="13">E23+E24+E25+E26+E27+E28+E29+E30+E31+E32+E33+E34</f>
        <v>55.788799999999995</v>
      </c>
      <c r="F22" s="85">
        <f t="shared" si="13"/>
        <v>55.788799999999995</v>
      </c>
      <c r="G22" s="85">
        <f t="shared" si="13"/>
        <v>0</v>
      </c>
      <c r="H22" s="85">
        <f t="shared" si="13"/>
        <v>0</v>
      </c>
      <c r="I22" s="85">
        <f t="shared" si="13"/>
        <v>0</v>
      </c>
      <c r="J22" s="85">
        <f t="shared" si="13"/>
        <v>0</v>
      </c>
      <c r="K22" s="63">
        <v>0</v>
      </c>
      <c r="L22" s="474">
        <f t="shared" si="5"/>
        <v>55.788799999999995</v>
      </c>
      <c r="M22" s="475"/>
      <c r="N22" s="476"/>
      <c r="O22" s="301"/>
      <c r="P22" s="486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2"/>
    </row>
    <row r="23" spans="1:58" s="82" customFormat="1" ht="13.5" customHeight="1">
      <c r="A23" s="386"/>
      <c r="B23" s="102"/>
      <c r="C23" s="479"/>
      <c r="D23" s="62">
        <v>2019</v>
      </c>
      <c r="E23" s="63">
        <f t="shared" ref="E23:J34" si="14">E36+E49+E62</f>
        <v>2.4135999999999997</v>
      </c>
      <c r="F23" s="63">
        <f t="shared" si="14"/>
        <v>2.4135999999999997</v>
      </c>
      <c r="G23" s="63">
        <f t="shared" si="14"/>
        <v>0</v>
      </c>
      <c r="H23" s="63">
        <f t="shared" si="14"/>
        <v>0</v>
      </c>
      <c r="I23" s="63">
        <f t="shared" si="14"/>
        <v>0</v>
      </c>
      <c r="J23" s="63">
        <f t="shared" si="14"/>
        <v>0</v>
      </c>
      <c r="K23" s="63">
        <v>0</v>
      </c>
      <c r="L23" s="474">
        <f t="shared" si="5"/>
        <v>2.4135999999999997</v>
      </c>
      <c r="M23" s="475"/>
      <c r="N23" s="476"/>
      <c r="O23" s="301"/>
      <c r="P23" s="486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2"/>
    </row>
    <row r="24" spans="1:58" s="82" customFormat="1" ht="13.5" customHeight="1">
      <c r="A24" s="386"/>
      <c r="B24" s="102"/>
      <c r="C24" s="479"/>
      <c r="D24" s="62">
        <v>2020</v>
      </c>
      <c r="E24" s="63">
        <f t="shared" si="14"/>
        <v>1.4824000000000002</v>
      </c>
      <c r="F24" s="63">
        <f t="shared" si="14"/>
        <v>1.4824000000000002</v>
      </c>
      <c r="G24" s="63">
        <f t="shared" si="14"/>
        <v>0</v>
      </c>
      <c r="H24" s="63">
        <f t="shared" si="14"/>
        <v>0</v>
      </c>
      <c r="I24" s="63">
        <f t="shared" si="14"/>
        <v>0</v>
      </c>
      <c r="J24" s="63">
        <f t="shared" si="14"/>
        <v>0</v>
      </c>
      <c r="K24" s="63">
        <v>0</v>
      </c>
      <c r="L24" s="474">
        <f t="shared" si="5"/>
        <v>1.4824000000000002</v>
      </c>
      <c r="M24" s="475"/>
      <c r="N24" s="476"/>
      <c r="O24" s="301"/>
      <c r="P24" s="486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2"/>
    </row>
    <row r="25" spans="1:58" s="82" customFormat="1" ht="13.5" customHeight="1">
      <c r="A25" s="386"/>
      <c r="B25" s="102"/>
      <c r="C25" s="479"/>
      <c r="D25" s="62">
        <v>2021</v>
      </c>
      <c r="E25" s="63">
        <f t="shared" si="14"/>
        <v>2.6791999999999998</v>
      </c>
      <c r="F25" s="63">
        <f t="shared" si="14"/>
        <v>2.6791999999999998</v>
      </c>
      <c r="G25" s="63">
        <f t="shared" si="14"/>
        <v>0</v>
      </c>
      <c r="H25" s="63">
        <f t="shared" si="14"/>
        <v>0</v>
      </c>
      <c r="I25" s="63">
        <f t="shared" si="14"/>
        <v>0</v>
      </c>
      <c r="J25" s="63">
        <f t="shared" si="14"/>
        <v>0</v>
      </c>
      <c r="K25" s="63">
        <v>0</v>
      </c>
      <c r="L25" s="474">
        <f t="shared" si="5"/>
        <v>2.6791999999999998</v>
      </c>
      <c r="M25" s="475"/>
      <c r="N25" s="476"/>
      <c r="O25" s="301"/>
      <c r="P25" s="486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2"/>
    </row>
    <row r="26" spans="1:58" s="82" customFormat="1" ht="13.5" customHeight="1">
      <c r="A26" s="386"/>
      <c r="B26" s="102"/>
      <c r="C26" s="479"/>
      <c r="D26" s="62">
        <v>2022</v>
      </c>
      <c r="E26" s="63">
        <f t="shared" si="14"/>
        <v>2.7810000000000001</v>
      </c>
      <c r="F26" s="63">
        <f t="shared" si="14"/>
        <v>2.7810000000000001</v>
      </c>
      <c r="G26" s="63">
        <f t="shared" si="14"/>
        <v>0</v>
      </c>
      <c r="H26" s="63">
        <f t="shared" si="14"/>
        <v>0</v>
      </c>
      <c r="I26" s="63">
        <f t="shared" si="14"/>
        <v>0</v>
      </c>
      <c r="J26" s="63">
        <f t="shared" si="14"/>
        <v>0</v>
      </c>
      <c r="K26" s="63">
        <v>0</v>
      </c>
      <c r="L26" s="474">
        <f t="shared" si="5"/>
        <v>2.7810000000000001</v>
      </c>
      <c r="M26" s="475"/>
      <c r="N26" s="476"/>
      <c r="O26" s="301"/>
      <c r="P26" s="486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2"/>
    </row>
    <row r="27" spans="1:58" s="82" customFormat="1" ht="13.5" customHeight="1">
      <c r="A27" s="386"/>
      <c r="B27" s="102"/>
      <c r="C27" s="479"/>
      <c r="D27" s="62">
        <v>2023</v>
      </c>
      <c r="E27" s="63">
        <f t="shared" si="14"/>
        <v>3.2321</v>
      </c>
      <c r="F27" s="63">
        <f t="shared" si="14"/>
        <v>3.2321</v>
      </c>
      <c r="G27" s="63">
        <f t="shared" si="14"/>
        <v>0</v>
      </c>
      <c r="H27" s="63">
        <f t="shared" si="14"/>
        <v>0</v>
      </c>
      <c r="I27" s="63">
        <f t="shared" si="14"/>
        <v>0</v>
      </c>
      <c r="J27" s="63">
        <f t="shared" si="14"/>
        <v>0</v>
      </c>
      <c r="K27" s="63">
        <v>0</v>
      </c>
      <c r="L27" s="474">
        <f t="shared" si="5"/>
        <v>3.2321</v>
      </c>
      <c r="M27" s="475"/>
      <c r="N27" s="476"/>
      <c r="O27" s="301"/>
      <c r="P27" s="486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2"/>
    </row>
    <row r="28" spans="1:58" s="82" customFormat="1" ht="13.5" customHeight="1">
      <c r="A28" s="386"/>
      <c r="B28" s="102"/>
      <c r="C28" s="479"/>
      <c r="D28" s="62">
        <v>2024</v>
      </c>
      <c r="E28" s="63">
        <f t="shared" si="14"/>
        <v>5.6774999999999993</v>
      </c>
      <c r="F28" s="63">
        <f t="shared" si="14"/>
        <v>5.6774999999999993</v>
      </c>
      <c r="G28" s="63">
        <f t="shared" si="14"/>
        <v>0</v>
      </c>
      <c r="H28" s="63">
        <f t="shared" si="14"/>
        <v>0</v>
      </c>
      <c r="I28" s="63">
        <f t="shared" si="14"/>
        <v>0</v>
      </c>
      <c r="J28" s="63">
        <f t="shared" si="14"/>
        <v>0</v>
      </c>
      <c r="K28" s="63">
        <v>0</v>
      </c>
      <c r="L28" s="474">
        <f t="shared" si="5"/>
        <v>5.6774999999999993</v>
      </c>
      <c r="M28" s="475"/>
      <c r="N28" s="476"/>
      <c r="O28" s="301"/>
      <c r="P28" s="486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2"/>
    </row>
    <row r="29" spans="1:58" s="82" customFormat="1" ht="13.5" customHeight="1">
      <c r="A29" s="386"/>
      <c r="B29" s="102"/>
      <c r="C29" s="479"/>
      <c r="D29" s="62">
        <v>2025</v>
      </c>
      <c r="E29" s="63">
        <f t="shared" si="14"/>
        <v>5.7424999999999997</v>
      </c>
      <c r="F29" s="63">
        <f t="shared" si="14"/>
        <v>5.7424999999999997</v>
      </c>
      <c r="G29" s="63">
        <f t="shared" si="14"/>
        <v>0</v>
      </c>
      <c r="H29" s="63">
        <f t="shared" si="14"/>
        <v>0</v>
      </c>
      <c r="I29" s="63">
        <f t="shared" si="14"/>
        <v>0</v>
      </c>
      <c r="J29" s="63">
        <f t="shared" si="14"/>
        <v>0</v>
      </c>
      <c r="K29" s="63">
        <v>0</v>
      </c>
      <c r="L29" s="474">
        <f t="shared" si="5"/>
        <v>5.7424999999999997</v>
      </c>
      <c r="M29" s="475"/>
      <c r="N29" s="476"/>
      <c r="O29" s="301"/>
      <c r="P29" s="486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2"/>
    </row>
    <row r="30" spans="1:58" s="82" customFormat="1" ht="13.5" customHeight="1">
      <c r="A30" s="386"/>
      <c r="B30" s="102"/>
      <c r="C30" s="479"/>
      <c r="D30" s="62">
        <v>2026</v>
      </c>
      <c r="E30" s="63">
        <f t="shared" si="14"/>
        <v>6.8720999999999997</v>
      </c>
      <c r="F30" s="63">
        <f t="shared" si="14"/>
        <v>6.8720999999999997</v>
      </c>
      <c r="G30" s="63">
        <f t="shared" si="14"/>
        <v>0</v>
      </c>
      <c r="H30" s="63">
        <f t="shared" si="14"/>
        <v>0</v>
      </c>
      <c r="I30" s="63">
        <f t="shared" si="14"/>
        <v>0</v>
      </c>
      <c r="J30" s="63">
        <f t="shared" si="14"/>
        <v>0</v>
      </c>
      <c r="K30" s="63">
        <v>0</v>
      </c>
      <c r="L30" s="474">
        <f t="shared" si="5"/>
        <v>6.8720999999999997</v>
      </c>
      <c r="M30" s="475"/>
      <c r="N30" s="476"/>
      <c r="O30" s="301"/>
      <c r="P30" s="486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2"/>
    </row>
    <row r="31" spans="1:58" s="82" customFormat="1" ht="13.5" customHeight="1">
      <c r="A31" s="386"/>
      <c r="B31" s="102"/>
      <c r="C31" s="479"/>
      <c r="D31" s="62">
        <v>2027</v>
      </c>
      <c r="E31" s="63">
        <f t="shared" si="14"/>
        <v>5.4920999999999998</v>
      </c>
      <c r="F31" s="63">
        <f t="shared" si="14"/>
        <v>5.4920999999999998</v>
      </c>
      <c r="G31" s="63">
        <f t="shared" si="14"/>
        <v>0</v>
      </c>
      <c r="H31" s="63">
        <f t="shared" si="14"/>
        <v>0</v>
      </c>
      <c r="I31" s="63">
        <f t="shared" si="14"/>
        <v>0</v>
      </c>
      <c r="J31" s="63">
        <f t="shared" si="14"/>
        <v>0</v>
      </c>
      <c r="K31" s="63">
        <v>0</v>
      </c>
      <c r="L31" s="474">
        <f t="shared" si="5"/>
        <v>5.4920999999999998</v>
      </c>
      <c r="M31" s="475"/>
      <c r="N31" s="476"/>
      <c r="O31" s="301"/>
      <c r="P31" s="486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2"/>
    </row>
    <row r="32" spans="1:58" s="82" customFormat="1" ht="13.5" customHeight="1">
      <c r="A32" s="386"/>
      <c r="B32" s="102"/>
      <c r="C32" s="479"/>
      <c r="D32" s="62">
        <v>2028</v>
      </c>
      <c r="E32" s="63">
        <f t="shared" si="14"/>
        <v>7.3921000000000001</v>
      </c>
      <c r="F32" s="63">
        <f t="shared" si="14"/>
        <v>7.3921000000000001</v>
      </c>
      <c r="G32" s="63">
        <f t="shared" si="14"/>
        <v>0</v>
      </c>
      <c r="H32" s="63">
        <f t="shared" si="14"/>
        <v>0</v>
      </c>
      <c r="I32" s="63">
        <f t="shared" si="14"/>
        <v>0</v>
      </c>
      <c r="J32" s="63">
        <f t="shared" si="14"/>
        <v>0</v>
      </c>
      <c r="K32" s="63">
        <v>0</v>
      </c>
      <c r="L32" s="474">
        <f t="shared" si="5"/>
        <v>7.3921000000000001</v>
      </c>
      <c r="M32" s="475"/>
      <c r="N32" s="476"/>
      <c r="O32" s="301"/>
      <c r="P32" s="486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2"/>
    </row>
    <row r="33" spans="1:58" s="82" customFormat="1" ht="13.5" customHeight="1">
      <c r="A33" s="386"/>
      <c r="B33" s="102"/>
      <c r="C33" s="479"/>
      <c r="D33" s="62">
        <v>2029</v>
      </c>
      <c r="E33" s="63">
        <f t="shared" si="14"/>
        <v>5.8921000000000001</v>
      </c>
      <c r="F33" s="63">
        <f t="shared" si="14"/>
        <v>5.8921000000000001</v>
      </c>
      <c r="G33" s="63">
        <f t="shared" si="14"/>
        <v>0</v>
      </c>
      <c r="H33" s="63">
        <f t="shared" si="14"/>
        <v>0</v>
      </c>
      <c r="I33" s="63">
        <f t="shared" si="14"/>
        <v>0</v>
      </c>
      <c r="J33" s="63">
        <f t="shared" si="14"/>
        <v>0</v>
      </c>
      <c r="K33" s="63">
        <v>0</v>
      </c>
      <c r="L33" s="474">
        <f t="shared" si="5"/>
        <v>5.8921000000000001</v>
      </c>
      <c r="M33" s="475"/>
      <c r="N33" s="476"/>
      <c r="O33" s="301"/>
      <c r="P33" s="486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2"/>
    </row>
    <row r="34" spans="1:58" s="82" customFormat="1" ht="13.5" customHeight="1">
      <c r="A34" s="386"/>
      <c r="B34" s="102"/>
      <c r="C34" s="479"/>
      <c r="D34" s="62">
        <v>2030</v>
      </c>
      <c r="E34" s="63">
        <f t="shared" si="14"/>
        <v>6.1321000000000003</v>
      </c>
      <c r="F34" s="63">
        <f t="shared" si="14"/>
        <v>6.1321000000000003</v>
      </c>
      <c r="G34" s="63">
        <f t="shared" si="14"/>
        <v>0</v>
      </c>
      <c r="H34" s="63">
        <f t="shared" si="14"/>
        <v>0</v>
      </c>
      <c r="I34" s="63">
        <f t="shared" si="14"/>
        <v>0</v>
      </c>
      <c r="J34" s="63">
        <f t="shared" si="14"/>
        <v>0</v>
      </c>
      <c r="K34" s="63">
        <v>0</v>
      </c>
      <c r="L34" s="474">
        <f t="shared" si="5"/>
        <v>6.1321000000000003</v>
      </c>
      <c r="M34" s="475"/>
      <c r="N34" s="476"/>
      <c r="O34" s="301"/>
      <c r="P34" s="486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2"/>
    </row>
    <row r="35" spans="1:58" s="82" customFormat="1" ht="13.5" customHeight="1">
      <c r="A35" s="1111" t="s">
        <v>19</v>
      </c>
      <c r="B35" s="867" t="s">
        <v>350</v>
      </c>
      <c r="C35" s="487"/>
      <c r="D35" s="84" t="s">
        <v>16</v>
      </c>
      <c r="E35" s="85">
        <f t="shared" ref="E35:J35" si="15">E36+E37+E38+E39+E40+E41+E42+E43+E44+E45+E46+E47</f>
        <v>1.7550999999999994</v>
      </c>
      <c r="F35" s="85">
        <f t="shared" si="15"/>
        <v>1.7550999999999994</v>
      </c>
      <c r="G35" s="85">
        <f t="shared" si="15"/>
        <v>0</v>
      </c>
      <c r="H35" s="85">
        <f t="shared" si="15"/>
        <v>0</v>
      </c>
      <c r="I35" s="85">
        <f t="shared" si="15"/>
        <v>0</v>
      </c>
      <c r="J35" s="85">
        <f t="shared" si="15"/>
        <v>0</v>
      </c>
      <c r="K35" s="63">
        <v>0</v>
      </c>
      <c r="L35" s="474">
        <f t="shared" si="5"/>
        <v>1.7550999999999994</v>
      </c>
      <c r="M35" s="475"/>
      <c r="N35" s="476"/>
      <c r="O35" s="301"/>
      <c r="P35" s="488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2"/>
    </row>
    <row r="36" spans="1:58" s="82" customFormat="1">
      <c r="A36" s="1126"/>
      <c r="B36" s="868"/>
      <c r="C36" s="358" t="s">
        <v>351</v>
      </c>
      <c r="D36" s="62">
        <v>2019</v>
      </c>
      <c r="E36" s="63">
        <f t="shared" ref="E36:E47" si="16">F36</f>
        <v>0.22639999999999999</v>
      </c>
      <c r="F36" s="489">
        <v>0.22639999999999999</v>
      </c>
      <c r="G36" s="489">
        <v>0</v>
      </c>
      <c r="H36" s="489">
        <v>0</v>
      </c>
      <c r="I36" s="489">
        <v>0</v>
      </c>
      <c r="J36" s="489">
        <v>0</v>
      </c>
      <c r="K36" s="63">
        <v>0</v>
      </c>
      <c r="L36" s="474">
        <f t="shared" si="5"/>
        <v>0.22639999999999999</v>
      </c>
      <c r="M36" s="475"/>
      <c r="N36" s="476"/>
      <c r="O36" s="301"/>
      <c r="P36" s="1121" t="s">
        <v>352</v>
      </c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2"/>
    </row>
    <row r="37" spans="1:58" s="82" customFormat="1">
      <c r="A37" s="1126"/>
      <c r="B37" s="868"/>
      <c r="C37" s="881" t="s">
        <v>1098</v>
      </c>
      <c r="D37" s="62">
        <v>2020</v>
      </c>
      <c r="E37" s="63">
        <f t="shared" si="16"/>
        <v>0.1467</v>
      </c>
      <c r="F37" s="489">
        <v>0.1467</v>
      </c>
      <c r="G37" s="489">
        <v>0</v>
      </c>
      <c r="H37" s="489">
        <v>0</v>
      </c>
      <c r="I37" s="489">
        <v>0</v>
      </c>
      <c r="J37" s="489">
        <v>0</v>
      </c>
      <c r="K37" s="63">
        <v>0</v>
      </c>
      <c r="L37" s="474">
        <f t="shared" si="5"/>
        <v>0.1467</v>
      </c>
      <c r="M37" s="475"/>
      <c r="N37" s="476"/>
      <c r="O37" s="301"/>
      <c r="P37" s="1122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2"/>
    </row>
    <row r="38" spans="1:58" s="82" customFormat="1">
      <c r="A38" s="1126"/>
      <c r="B38" s="868"/>
      <c r="C38" s="882"/>
      <c r="D38" s="62">
        <v>2021</v>
      </c>
      <c r="E38" s="63">
        <f t="shared" si="16"/>
        <v>0.2</v>
      </c>
      <c r="F38" s="489">
        <v>0.2</v>
      </c>
      <c r="G38" s="489">
        <v>0</v>
      </c>
      <c r="H38" s="489">
        <v>0</v>
      </c>
      <c r="I38" s="489">
        <v>0</v>
      </c>
      <c r="J38" s="489">
        <v>0</v>
      </c>
      <c r="K38" s="63">
        <v>0</v>
      </c>
      <c r="L38" s="474">
        <f t="shared" si="5"/>
        <v>0.2</v>
      </c>
      <c r="M38" s="475"/>
      <c r="N38" s="476"/>
      <c r="O38" s="301"/>
      <c r="P38" s="1122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2"/>
    </row>
    <row r="39" spans="1:58" s="82" customFormat="1">
      <c r="A39" s="1126"/>
      <c r="B39" s="868"/>
      <c r="C39" s="882"/>
      <c r="D39" s="62">
        <v>2022</v>
      </c>
      <c r="E39" s="63">
        <f t="shared" si="16"/>
        <v>0.2</v>
      </c>
      <c r="F39" s="489">
        <v>0.2</v>
      </c>
      <c r="G39" s="489">
        <v>0</v>
      </c>
      <c r="H39" s="489">
        <v>0</v>
      </c>
      <c r="I39" s="489">
        <v>0</v>
      </c>
      <c r="J39" s="489">
        <v>0</v>
      </c>
      <c r="K39" s="63">
        <v>0</v>
      </c>
      <c r="L39" s="474">
        <f t="shared" si="5"/>
        <v>0.2</v>
      </c>
      <c r="M39" s="475"/>
      <c r="N39" s="476"/>
      <c r="O39" s="301"/>
      <c r="P39" s="1122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2"/>
    </row>
    <row r="40" spans="1:58" s="82" customFormat="1">
      <c r="A40" s="1126"/>
      <c r="B40" s="868"/>
      <c r="C40" s="882"/>
      <c r="D40" s="62">
        <v>2023</v>
      </c>
      <c r="E40" s="63">
        <f t="shared" si="16"/>
        <v>0.2</v>
      </c>
      <c r="F40" s="489">
        <v>0.2</v>
      </c>
      <c r="G40" s="489">
        <v>0</v>
      </c>
      <c r="H40" s="489">
        <v>0</v>
      </c>
      <c r="I40" s="489">
        <v>0</v>
      </c>
      <c r="J40" s="489">
        <v>0</v>
      </c>
      <c r="K40" s="63">
        <v>0</v>
      </c>
      <c r="L40" s="474">
        <f t="shared" si="5"/>
        <v>0.2</v>
      </c>
      <c r="M40" s="475"/>
      <c r="N40" s="476"/>
      <c r="O40" s="301"/>
      <c r="P40" s="1122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2"/>
    </row>
    <row r="41" spans="1:58" s="82" customFormat="1">
      <c r="A41" s="1126"/>
      <c r="B41" s="868"/>
      <c r="C41" s="882"/>
      <c r="D41" s="62">
        <v>2024</v>
      </c>
      <c r="E41" s="63">
        <f t="shared" si="16"/>
        <v>5.5999999999999999E-3</v>
      </c>
      <c r="F41" s="489">
        <v>5.5999999999999999E-3</v>
      </c>
      <c r="G41" s="489">
        <v>0</v>
      </c>
      <c r="H41" s="489">
        <v>0</v>
      </c>
      <c r="I41" s="489">
        <v>0</v>
      </c>
      <c r="J41" s="489">
        <v>0</v>
      </c>
      <c r="K41" s="63">
        <v>0</v>
      </c>
      <c r="L41" s="474">
        <f t="shared" si="5"/>
        <v>5.5999999999999999E-3</v>
      </c>
      <c r="M41" s="475"/>
      <c r="N41" s="476"/>
      <c r="O41" s="301"/>
      <c r="P41" s="1122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2"/>
    </row>
    <row r="42" spans="1:58" s="82" customFormat="1">
      <c r="A42" s="1126"/>
      <c r="B42" s="868"/>
      <c r="C42" s="964"/>
      <c r="D42" s="62">
        <v>2025</v>
      </c>
      <c r="E42" s="63">
        <f t="shared" si="16"/>
        <v>5.8999999999999999E-3</v>
      </c>
      <c r="F42" s="489">
        <v>5.8999999999999999E-3</v>
      </c>
      <c r="G42" s="489">
        <v>0</v>
      </c>
      <c r="H42" s="489">
        <v>0</v>
      </c>
      <c r="I42" s="489">
        <v>0</v>
      </c>
      <c r="J42" s="489">
        <v>0</v>
      </c>
      <c r="K42" s="63">
        <v>0</v>
      </c>
      <c r="L42" s="474">
        <f t="shared" si="5"/>
        <v>5.8999999999999999E-3</v>
      </c>
      <c r="M42" s="475"/>
      <c r="N42" s="476"/>
      <c r="O42" s="301"/>
      <c r="P42" s="1122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2"/>
    </row>
    <row r="43" spans="1:58" s="82" customFormat="1">
      <c r="A43" s="1126"/>
      <c r="B43" s="868"/>
      <c r="C43" s="881" t="s">
        <v>354</v>
      </c>
      <c r="D43" s="62">
        <v>2026</v>
      </c>
      <c r="E43" s="63">
        <f t="shared" si="16"/>
        <v>0.15409999999999999</v>
      </c>
      <c r="F43" s="489">
        <v>0.15409999999999999</v>
      </c>
      <c r="G43" s="489">
        <v>0</v>
      </c>
      <c r="H43" s="489">
        <v>0</v>
      </c>
      <c r="I43" s="489">
        <v>0</v>
      </c>
      <c r="J43" s="489">
        <v>0</v>
      </c>
      <c r="K43" s="63">
        <v>0</v>
      </c>
      <c r="L43" s="474">
        <f t="shared" si="5"/>
        <v>0.15409999999999999</v>
      </c>
      <c r="M43" s="475"/>
      <c r="N43" s="476"/>
      <c r="O43" s="301"/>
      <c r="P43" s="1122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2"/>
    </row>
    <row r="44" spans="1:58" s="82" customFormat="1">
      <c r="A44" s="1126"/>
      <c r="B44" s="868"/>
      <c r="C44" s="882"/>
      <c r="D44" s="62">
        <v>2027</v>
      </c>
      <c r="E44" s="63">
        <f t="shared" si="16"/>
        <v>0.15409999999999999</v>
      </c>
      <c r="F44" s="489">
        <v>0.15409999999999999</v>
      </c>
      <c r="G44" s="489">
        <v>0</v>
      </c>
      <c r="H44" s="489">
        <v>0</v>
      </c>
      <c r="I44" s="489">
        <v>0</v>
      </c>
      <c r="J44" s="489">
        <v>0</v>
      </c>
      <c r="K44" s="63">
        <v>0</v>
      </c>
      <c r="L44" s="474">
        <f t="shared" si="5"/>
        <v>0.15409999999999999</v>
      </c>
      <c r="M44" s="475"/>
      <c r="N44" s="476"/>
      <c r="O44" s="301"/>
      <c r="P44" s="1122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2"/>
    </row>
    <row r="45" spans="1:58" s="82" customFormat="1">
      <c r="A45" s="1126"/>
      <c r="B45" s="868"/>
      <c r="C45" s="882"/>
      <c r="D45" s="62">
        <v>2028</v>
      </c>
      <c r="E45" s="63">
        <f t="shared" si="16"/>
        <v>0.15409999999999999</v>
      </c>
      <c r="F45" s="489">
        <v>0.15409999999999999</v>
      </c>
      <c r="G45" s="489">
        <v>0</v>
      </c>
      <c r="H45" s="489">
        <v>0</v>
      </c>
      <c r="I45" s="489">
        <v>0</v>
      </c>
      <c r="J45" s="489">
        <v>0</v>
      </c>
      <c r="K45" s="63">
        <v>0</v>
      </c>
      <c r="L45" s="474">
        <f t="shared" ref="L45:L75" si="17">F45+G45+H45+I45+J45</f>
        <v>0.15409999999999999</v>
      </c>
      <c r="M45" s="475"/>
      <c r="N45" s="476"/>
      <c r="O45" s="301"/>
      <c r="P45" s="1122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2"/>
    </row>
    <row r="46" spans="1:58" s="82" customFormat="1">
      <c r="A46" s="1126"/>
      <c r="B46" s="868"/>
      <c r="C46" s="882"/>
      <c r="D46" s="62">
        <v>2029</v>
      </c>
      <c r="E46" s="63">
        <f t="shared" si="16"/>
        <v>0.15409999999999999</v>
      </c>
      <c r="F46" s="489">
        <v>0.15409999999999999</v>
      </c>
      <c r="G46" s="489">
        <v>0</v>
      </c>
      <c r="H46" s="489">
        <v>0</v>
      </c>
      <c r="I46" s="489">
        <v>0</v>
      </c>
      <c r="J46" s="489">
        <v>0</v>
      </c>
      <c r="K46" s="63">
        <v>0</v>
      </c>
      <c r="L46" s="474">
        <f t="shared" si="17"/>
        <v>0.15409999999999999</v>
      </c>
      <c r="M46" s="475"/>
      <c r="N46" s="476"/>
      <c r="O46" s="301"/>
      <c r="P46" s="1122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2"/>
    </row>
    <row r="47" spans="1:58" s="82" customFormat="1">
      <c r="A47" s="1127"/>
      <c r="B47" s="869"/>
      <c r="C47" s="964"/>
      <c r="D47" s="62">
        <v>2030</v>
      </c>
      <c r="E47" s="63">
        <f t="shared" si="16"/>
        <v>0.15409999999999999</v>
      </c>
      <c r="F47" s="489">
        <v>0.15409999999999999</v>
      </c>
      <c r="G47" s="489">
        <v>0</v>
      </c>
      <c r="H47" s="489">
        <v>0</v>
      </c>
      <c r="I47" s="489">
        <v>0</v>
      </c>
      <c r="J47" s="489">
        <v>0</v>
      </c>
      <c r="K47" s="63">
        <v>0</v>
      </c>
      <c r="L47" s="474">
        <f t="shared" si="17"/>
        <v>0.15409999999999999</v>
      </c>
      <c r="M47" s="475"/>
      <c r="N47" s="476"/>
      <c r="O47" s="301"/>
      <c r="P47" s="1122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2"/>
    </row>
    <row r="48" spans="1:58" s="82" customFormat="1">
      <c r="A48" s="794" t="s">
        <v>355</v>
      </c>
      <c r="B48" s="867" t="s">
        <v>356</v>
      </c>
      <c r="C48" s="479"/>
      <c r="D48" s="84" t="s">
        <v>16</v>
      </c>
      <c r="E48" s="85">
        <f t="shared" ref="E48:J48" si="18">E49+E50+E51+E52+E53+E54+E55+E56+E57+E58+E59+E60</f>
        <v>0.4519999999999999</v>
      </c>
      <c r="F48" s="85">
        <f t="shared" si="18"/>
        <v>0.4519999999999999</v>
      </c>
      <c r="G48" s="85">
        <f t="shared" si="18"/>
        <v>0</v>
      </c>
      <c r="H48" s="85">
        <f t="shared" si="18"/>
        <v>0</v>
      </c>
      <c r="I48" s="85">
        <f t="shared" si="18"/>
        <v>0</v>
      </c>
      <c r="J48" s="85">
        <f t="shared" si="18"/>
        <v>0</v>
      </c>
      <c r="K48" s="63">
        <v>0</v>
      </c>
      <c r="L48" s="474">
        <f t="shared" si="17"/>
        <v>0.4519999999999999</v>
      </c>
      <c r="M48" s="475"/>
      <c r="N48" s="476"/>
      <c r="O48" s="301"/>
      <c r="P48" s="1122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2"/>
    </row>
    <row r="49" spans="1:58" s="82" customFormat="1">
      <c r="A49" s="1126"/>
      <c r="B49" s="868"/>
      <c r="C49" s="188" t="s">
        <v>351</v>
      </c>
      <c r="D49" s="62">
        <v>2019</v>
      </c>
      <c r="E49" s="63">
        <f t="shared" ref="E49:E60" si="19">F49</f>
        <v>3.7999999999999999E-2</v>
      </c>
      <c r="F49" s="491">
        <v>3.7999999999999999E-2</v>
      </c>
      <c r="G49" s="491">
        <v>0</v>
      </c>
      <c r="H49" s="491">
        <v>0</v>
      </c>
      <c r="I49" s="491">
        <v>0</v>
      </c>
      <c r="J49" s="491">
        <v>0</v>
      </c>
      <c r="K49" s="63">
        <v>0</v>
      </c>
      <c r="L49" s="474">
        <f t="shared" si="17"/>
        <v>3.7999999999999999E-2</v>
      </c>
      <c r="M49" s="475"/>
      <c r="N49" s="476"/>
      <c r="O49" s="301"/>
      <c r="P49" s="1122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2"/>
    </row>
    <row r="50" spans="1:58" s="82" customFormat="1">
      <c r="A50" s="1126"/>
      <c r="B50" s="868"/>
      <c r="C50" s="1019" t="s">
        <v>357</v>
      </c>
      <c r="D50" s="62">
        <v>2020</v>
      </c>
      <c r="E50" s="63">
        <f t="shared" si="19"/>
        <v>3.7999999999999999E-2</v>
      </c>
      <c r="F50" s="491">
        <v>3.7999999999999999E-2</v>
      </c>
      <c r="G50" s="491">
        <v>0</v>
      </c>
      <c r="H50" s="491">
        <v>0</v>
      </c>
      <c r="I50" s="491">
        <v>0</v>
      </c>
      <c r="J50" s="491">
        <v>0</v>
      </c>
      <c r="K50" s="63">
        <v>0</v>
      </c>
      <c r="L50" s="474">
        <f t="shared" si="17"/>
        <v>3.7999999999999999E-2</v>
      </c>
      <c r="M50" s="475"/>
      <c r="N50" s="476"/>
      <c r="O50" s="301"/>
      <c r="P50" s="1122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2"/>
    </row>
    <row r="51" spans="1:58" s="82" customFormat="1">
      <c r="A51" s="1126"/>
      <c r="B51" s="868"/>
      <c r="C51" s="1019"/>
      <c r="D51" s="62">
        <v>2021</v>
      </c>
      <c r="E51" s="63">
        <f t="shared" si="19"/>
        <v>3.4000000000000002E-2</v>
      </c>
      <c r="F51" s="491">
        <v>3.4000000000000002E-2</v>
      </c>
      <c r="G51" s="491">
        <v>0</v>
      </c>
      <c r="H51" s="491">
        <v>0</v>
      </c>
      <c r="I51" s="491">
        <v>0</v>
      </c>
      <c r="J51" s="491">
        <v>0</v>
      </c>
      <c r="K51" s="63">
        <v>0</v>
      </c>
      <c r="L51" s="474">
        <f t="shared" si="17"/>
        <v>3.4000000000000002E-2</v>
      </c>
      <c r="M51" s="475"/>
      <c r="N51" s="476"/>
      <c r="O51" s="301"/>
      <c r="P51" s="1122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2"/>
    </row>
    <row r="52" spans="1:58" s="82" customFormat="1" ht="14.25" customHeight="1">
      <c r="A52" s="1126"/>
      <c r="B52" s="868"/>
      <c r="C52" s="1019"/>
      <c r="D52" s="62">
        <v>2022</v>
      </c>
      <c r="E52" s="63">
        <f t="shared" si="19"/>
        <v>3.7999999999999999E-2</v>
      </c>
      <c r="F52" s="491">
        <v>3.7999999999999999E-2</v>
      </c>
      <c r="G52" s="491">
        <v>0</v>
      </c>
      <c r="H52" s="491">
        <v>0</v>
      </c>
      <c r="I52" s="491">
        <v>0</v>
      </c>
      <c r="J52" s="491">
        <v>0</v>
      </c>
      <c r="K52" s="63">
        <v>0</v>
      </c>
      <c r="L52" s="474">
        <f t="shared" si="17"/>
        <v>3.7999999999999999E-2</v>
      </c>
      <c r="M52" s="475"/>
      <c r="N52" s="476"/>
      <c r="O52" s="301"/>
      <c r="P52" s="1122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2"/>
    </row>
    <row r="53" spans="1:58" s="82" customFormat="1" ht="14.25" customHeight="1">
      <c r="A53" s="1126"/>
      <c r="B53" s="868"/>
      <c r="C53" s="1019"/>
      <c r="D53" s="62">
        <v>2023</v>
      </c>
      <c r="E53" s="63">
        <f t="shared" si="19"/>
        <v>3.7999999999999999E-2</v>
      </c>
      <c r="F53" s="491">
        <v>3.7999999999999999E-2</v>
      </c>
      <c r="G53" s="491">
        <v>0</v>
      </c>
      <c r="H53" s="491">
        <v>0</v>
      </c>
      <c r="I53" s="491">
        <v>0</v>
      </c>
      <c r="J53" s="491">
        <v>0</v>
      </c>
      <c r="K53" s="63">
        <v>0</v>
      </c>
      <c r="L53" s="474">
        <f t="shared" si="17"/>
        <v>3.7999999999999999E-2</v>
      </c>
      <c r="M53" s="475"/>
      <c r="N53" s="476"/>
      <c r="O53" s="301"/>
      <c r="P53" s="1122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2"/>
    </row>
    <row r="54" spans="1:58" s="82" customFormat="1" ht="14.25" customHeight="1">
      <c r="A54" s="1126"/>
      <c r="B54" s="868"/>
      <c r="C54" s="1019"/>
      <c r="D54" s="62">
        <v>2024</v>
      </c>
      <c r="E54" s="63">
        <f t="shared" si="19"/>
        <v>3.7999999999999999E-2</v>
      </c>
      <c r="F54" s="491">
        <v>3.7999999999999999E-2</v>
      </c>
      <c r="G54" s="491">
        <v>0</v>
      </c>
      <c r="H54" s="491">
        <v>0</v>
      </c>
      <c r="I54" s="491">
        <v>0</v>
      </c>
      <c r="J54" s="491">
        <v>0</v>
      </c>
      <c r="K54" s="63">
        <v>0</v>
      </c>
      <c r="L54" s="474">
        <f t="shared" si="17"/>
        <v>3.7999999999999999E-2</v>
      </c>
      <c r="M54" s="475"/>
      <c r="N54" s="476"/>
      <c r="O54" s="301"/>
      <c r="P54" s="1122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2"/>
    </row>
    <row r="55" spans="1:58" s="82" customFormat="1" ht="14.25" customHeight="1">
      <c r="A55" s="1126"/>
      <c r="B55" s="868"/>
      <c r="C55" s="1019"/>
      <c r="D55" s="62">
        <v>2025</v>
      </c>
      <c r="E55" s="63">
        <f t="shared" si="19"/>
        <v>3.7999999999999999E-2</v>
      </c>
      <c r="F55" s="491">
        <v>3.7999999999999999E-2</v>
      </c>
      <c r="G55" s="491">
        <v>0</v>
      </c>
      <c r="H55" s="491">
        <v>0</v>
      </c>
      <c r="I55" s="491">
        <v>0</v>
      </c>
      <c r="J55" s="491">
        <v>0</v>
      </c>
      <c r="K55" s="63">
        <v>0</v>
      </c>
      <c r="L55" s="474">
        <f t="shared" si="17"/>
        <v>3.7999999999999999E-2</v>
      </c>
      <c r="M55" s="475"/>
      <c r="N55" s="476"/>
      <c r="O55" s="301"/>
      <c r="P55" s="1122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2"/>
    </row>
    <row r="56" spans="1:58" s="82" customFormat="1" ht="16.5" customHeight="1">
      <c r="A56" s="1126"/>
      <c r="B56" s="868"/>
      <c r="C56" s="1019" t="s">
        <v>358</v>
      </c>
      <c r="D56" s="62">
        <v>2026</v>
      </c>
      <c r="E56" s="63">
        <f t="shared" si="19"/>
        <v>3.7999999999999999E-2</v>
      </c>
      <c r="F56" s="491">
        <v>3.7999999999999999E-2</v>
      </c>
      <c r="G56" s="491">
        <v>0</v>
      </c>
      <c r="H56" s="491">
        <v>0</v>
      </c>
      <c r="I56" s="491">
        <v>0</v>
      </c>
      <c r="J56" s="491">
        <v>0</v>
      </c>
      <c r="K56" s="63">
        <v>0</v>
      </c>
      <c r="L56" s="474">
        <f t="shared" si="17"/>
        <v>3.7999999999999999E-2</v>
      </c>
      <c r="M56" s="475"/>
      <c r="N56" s="476"/>
      <c r="O56" s="301"/>
      <c r="P56" s="1122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2"/>
    </row>
    <row r="57" spans="1:58" s="82" customFormat="1">
      <c r="A57" s="1126"/>
      <c r="B57" s="868"/>
      <c r="C57" s="1019"/>
      <c r="D57" s="62">
        <v>2027</v>
      </c>
      <c r="E57" s="63">
        <f t="shared" si="19"/>
        <v>3.7999999999999999E-2</v>
      </c>
      <c r="F57" s="491">
        <v>3.7999999999999999E-2</v>
      </c>
      <c r="G57" s="491">
        <v>0</v>
      </c>
      <c r="H57" s="491">
        <v>0</v>
      </c>
      <c r="I57" s="491">
        <v>0</v>
      </c>
      <c r="J57" s="491">
        <v>0</v>
      </c>
      <c r="K57" s="63">
        <v>0</v>
      </c>
      <c r="L57" s="474">
        <f t="shared" si="17"/>
        <v>3.7999999999999999E-2</v>
      </c>
      <c r="M57" s="475"/>
      <c r="N57" s="476"/>
      <c r="O57" s="301"/>
      <c r="P57" s="1122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2"/>
    </row>
    <row r="58" spans="1:58" s="82" customFormat="1" ht="16.5" customHeight="1">
      <c r="A58" s="1126"/>
      <c r="B58" s="868"/>
      <c r="C58" s="1019"/>
      <c r="D58" s="62">
        <v>2028</v>
      </c>
      <c r="E58" s="63">
        <f t="shared" si="19"/>
        <v>3.7999999999999999E-2</v>
      </c>
      <c r="F58" s="491">
        <v>3.7999999999999999E-2</v>
      </c>
      <c r="G58" s="491">
        <v>0</v>
      </c>
      <c r="H58" s="491">
        <v>0</v>
      </c>
      <c r="I58" s="491">
        <v>0</v>
      </c>
      <c r="J58" s="491">
        <v>0</v>
      </c>
      <c r="K58" s="63">
        <v>0</v>
      </c>
      <c r="L58" s="474">
        <f t="shared" si="17"/>
        <v>3.7999999999999999E-2</v>
      </c>
      <c r="M58" s="475"/>
      <c r="N58" s="476"/>
      <c r="O58" s="301"/>
      <c r="P58" s="1122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2"/>
    </row>
    <row r="59" spans="1:58" s="82" customFormat="1" ht="16.5" customHeight="1">
      <c r="A59" s="1126"/>
      <c r="B59" s="868"/>
      <c r="C59" s="1019"/>
      <c r="D59" s="62">
        <v>2029</v>
      </c>
      <c r="E59" s="63">
        <f t="shared" si="19"/>
        <v>3.7999999999999999E-2</v>
      </c>
      <c r="F59" s="491">
        <v>3.7999999999999999E-2</v>
      </c>
      <c r="G59" s="491">
        <v>0</v>
      </c>
      <c r="H59" s="491">
        <v>0</v>
      </c>
      <c r="I59" s="491">
        <v>0</v>
      </c>
      <c r="J59" s="491">
        <v>0</v>
      </c>
      <c r="K59" s="63">
        <v>0</v>
      </c>
      <c r="L59" s="474">
        <f t="shared" si="17"/>
        <v>3.7999999999999999E-2</v>
      </c>
      <c r="M59" s="475"/>
      <c r="N59" s="476"/>
      <c r="O59" s="301"/>
      <c r="P59" s="1122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2"/>
    </row>
    <row r="60" spans="1:58" s="107" customFormat="1" ht="16.5" customHeight="1">
      <c r="A60" s="1126"/>
      <c r="B60" s="869"/>
      <c r="C60" s="1019"/>
      <c r="D60" s="103">
        <v>2030</v>
      </c>
      <c r="E60" s="108">
        <f t="shared" si="19"/>
        <v>3.7999999999999999E-2</v>
      </c>
      <c r="F60" s="492">
        <v>3.7999999999999999E-2</v>
      </c>
      <c r="G60" s="492">
        <v>0</v>
      </c>
      <c r="H60" s="492">
        <v>0</v>
      </c>
      <c r="I60" s="492">
        <v>0</v>
      </c>
      <c r="J60" s="492">
        <v>0</v>
      </c>
      <c r="K60" s="63">
        <v>0</v>
      </c>
      <c r="L60" s="474">
        <f t="shared" si="17"/>
        <v>3.7999999999999999E-2</v>
      </c>
      <c r="M60" s="475"/>
      <c r="N60" s="476"/>
      <c r="O60" s="305"/>
      <c r="P60" s="1123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113"/>
    </row>
    <row r="61" spans="1:58" s="107" customFormat="1" ht="16.5" customHeight="1">
      <c r="A61" s="794" t="s">
        <v>359</v>
      </c>
      <c r="B61" s="1019" t="s">
        <v>1099</v>
      </c>
      <c r="C61" s="484"/>
      <c r="D61" s="114" t="s">
        <v>16</v>
      </c>
      <c r="E61" s="115">
        <f t="shared" ref="E61:J61" si="20">SUM(E62:E73)</f>
        <v>53.581699999999998</v>
      </c>
      <c r="F61" s="115">
        <f t="shared" si="20"/>
        <v>53.581699999999998</v>
      </c>
      <c r="G61" s="115">
        <f t="shared" si="20"/>
        <v>0</v>
      </c>
      <c r="H61" s="115">
        <f t="shared" si="20"/>
        <v>0</v>
      </c>
      <c r="I61" s="115">
        <f t="shared" si="20"/>
        <v>0</v>
      </c>
      <c r="J61" s="115">
        <f t="shared" si="20"/>
        <v>0</v>
      </c>
      <c r="K61" s="63">
        <v>0</v>
      </c>
      <c r="L61" s="474">
        <f t="shared" si="17"/>
        <v>53.581699999999998</v>
      </c>
      <c r="M61" s="475"/>
      <c r="N61" s="476"/>
      <c r="O61" s="305"/>
      <c r="P61" s="881" t="s">
        <v>360</v>
      </c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113"/>
    </row>
    <row r="62" spans="1:58" s="107" customFormat="1" ht="51">
      <c r="A62" s="1126"/>
      <c r="B62" s="1019"/>
      <c r="C62" s="188" t="s">
        <v>362</v>
      </c>
      <c r="D62" s="103">
        <v>2019</v>
      </c>
      <c r="E62" s="108">
        <f t="shared" ref="E62:E73" si="21">F62+G62+H62+I62+J62</f>
        <v>2.1492</v>
      </c>
      <c r="F62" s="108">
        <v>2.1492</v>
      </c>
      <c r="G62" s="492">
        <v>0</v>
      </c>
      <c r="H62" s="492">
        <v>0</v>
      </c>
      <c r="I62" s="492">
        <v>0</v>
      </c>
      <c r="J62" s="492">
        <v>0</v>
      </c>
      <c r="K62" s="63">
        <v>0</v>
      </c>
      <c r="L62" s="474">
        <f t="shared" si="17"/>
        <v>2.1492</v>
      </c>
      <c r="M62" s="475"/>
      <c r="N62" s="476"/>
      <c r="O62" s="305"/>
      <c r="P62" s="882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113"/>
    </row>
    <row r="63" spans="1:58" s="107" customFormat="1" ht="16.5" customHeight="1">
      <c r="A63" s="1126"/>
      <c r="B63" s="1019"/>
      <c r="C63" s="1019" t="s">
        <v>1100</v>
      </c>
      <c r="D63" s="103">
        <v>2020</v>
      </c>
      <c r="E63" s="108">
        <f t="shared" si="21"/>
        <v>1.2977000000000001</v>
      </c>
      <c r="F63" s="108">
        <v>1.2977000000000001</v>
      </c>
      <c r="G63" s="492">
        <v>0</v>
      </c>
      <c r="H63" s="492">
        <v>0</v>
      </c>
      <c r="I63" s="492">
        <v>0</v>
      </c>
      <c r="J63" s="492">
        <v>0</v>
      </c>
      <c r="K63" s="63">
        <v>0</v>
      </c>
      <c r="L63" s="474">
        <f t="shared" si="17"/>
        <v>1.2977000000000001</v>
      </c>
      <c r="M63" s="475"/>
      <c r="N63" s="476"/>
      <c r="O63" s="305"/>
      <c r="P63" s="882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113"/>
    </row>
    <row r="64" spans="1:58" s="107" customFormat="1" ht="16.5" customHeight="1">
      <c r="A64" s="1126"/>
      <c r="B64" s="1019"/>
      <c r="C64" s="1019"/>
      <c r="D64" s="103">
        <v>2021</v>
      </c>
      <c r="E64" s="108">
        <f t="shared" si="21"/>
        <v>2.4451999999999998</v>
      </c>
      <c r="F64" s="108">
        <v>2.4451999999999998</v>
      </c>
      <c r="G64" s="492">
        <v>0</v>
      </c>
      <c r="H64" s="492">
        <v>0</v>
      </c>
      <c r="I64" s="492">
        <v>0</v>
      </c>
      <c r="J64" s="492">
        <v>0</v>
      </c>
      <c r="K64" s="63">
        <v>0</v>
      </c>
      <c r="L64" s="474">
        <f t="shared" si="17"/>
        <v>2.4451999999999998</v>
      </c>
      <c r="M64" s="475"/>
      <c r="N64" s="476"/>
      <c r="O64" s="305"/>
      <c r="P64" s="882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113"/>
    </row>
    <row r="65" spans="1:58" s="107" customFormat="1" ht="16.5" customHeight="1">
      <c r="A65" s="1126"/>
      <c r="B65" s="1019"/>
      <c r="C65" s="1019"/>
      <c r="D65" s="103">
        <v>2022</v>
      </c>
      <c r="E65" s="108">
        <f t="shared" si="21"/>
        <v>2.5430000000000001</v>
      </c>
      <c r="F65" s="108">
        <v>2.5430000000000001</v>
      </c>
      <c r="G65" s="492">
        <v>0</v>
      </c>
      <c r="H65" s="492">
        <v>0</v>
      </c>
      <c r="I65" s="492">
        <v>0</v>
      </c>
      <c r="J65" s="492">
        <v>0</v>
      </c>
      <c r="K65" s="63">
        <v>0</v>
      </c>
      <c r="L65" s="474">
        <f t="shared" si="17"/>
        <v>2.5430000000000001</v>
      </c>
      <c r="M65" s="475"/>
      <c r="N65" s="476"/>
      <c r="O65" s="305"/>
      <c r="P65" s="882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113"/>
    </row>
    <row r="66" spans="1:58" s="107" customFormat="1" ht="16.5" customHeight="1">
      <c r="A66" s="1126"/>
      <c r="B66" s="1019"/>
      <c r="C66" s="1019"/>
      <c r="D66" s="103">
        <v>2023</v>
      </c>
      <c r="E66" s="108">
        <f t="shared" si="21"/>
        <v>2.9941</v>
      </c>
      <c r="F66" s="108">
        <v>2.9941</v>
      </c>
      <c r="G66" s="492">
        <v>0</v>
      </c>
      <c r="H66" s="492">
        <v>0</v>
      </c>
      <c r="I66" s="492">
        <v>0</v>
      </c>
      <c r="J66" s="492">
        <v>0</v>
      </c>
      <c r="K66" s="63">
        <v>0</v>
      </c>
      <c r="L66" s="474">
        <f t="shared" si="17"/>
        <v>2.9941</v>
      </c>
      <c r="M66" s="475"/>
      <c r="N66" s="476"/>
      <c r="O66" s="305"/>
      <c r="P66" s="882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113"/>
    </row>
    <row r="67" spans="1:58" s="107" customFormat="1" ht="16.5" customHeight="1">
      <c r="A67" s="1126"/>
      <c r="B67" s="1019"/>
      <c r="C67" s="1019"/>
      <c r="D67" s="103">
        <v>2024</v>
      </c>
      <c r="E67" s="108">
        <f t="shared" si="21"/>
        <v>5.6338999999999997</v>
      </c>
      <c r="F67" s="108">
        <v>5.6338999999999997</v>
      </c>
      <c r="G67" s="492">
        <v>0</v>
      </c>
      <c r="H67" s="492">
        <v>0</v>
      </c>
      <c r="I67" s="492">
        <v>0</v>
      </c>
      <c r="J67" s="492">
        <v>0</v>
      </c>
      <c r="K67" s="63">
        <v>0</v>
      </c>
      <c r="L67" s="474">
        <f t="shared" si="17"/>
        <v>5.6338999999999997</v>
      </c>
      <c r="M67" s="475"/>
      <c r="N67" s="476"/>
      <c r="O67" s="305"/>
      <c r="P67" s="882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113"/>
    </row>
    <row r="68" spans="1:58" s="107" customFormat="1" ht="16.5" customHeight="1">
      <c r="A68" s="1126"/>
      <c r="B68" s="1019"/>
      <c r="C68" s="1019"/>
      <c r="D68" s="103">
        <v>2025</v>
      </c>
      <c r="E68" s="108">
        <f t="shared" si="21"/>
        <v>5.6985999999999999</v>
      </c>
      <c r="F68" s="108">
        <v>5.6985999999999999</v>
      </c>
      <c r="G68" s="492">
        <v>0</v>
      </c>
      <c r="H68" s="492">
        <v>0</v>
      </c>
      <c r="I68" s="492">
        <v>0</v>
      </c>
      <c r="J68" s="492">
        <v>0</v>
      </c>
      <c r="K68" s="63">
        <v>0</v>
      </c>
      <c r="L68" s="474">
        <f t="shared" si="17"/>
        <v>5.6985999999999999</v>
      </c>
      <c r="M68" s="475"/>
      <c r="N68" s="476"/>
      <c r="O68" s="305"/>
      <c r="P68" s="882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113"/>
    </row>
    <row r="69" spans="1:58" s="107" customFormat="1" ht="16.5" customHeight="1">
      <c r="A69" s="1126"/>
      <c r="B69" s="1019"/>
      <c r="C69" s="882" t="s">
        <v>364</v>
      </c>
      <c r="D69" s="103">
        <v>2026</v>
      </c>
      <c r="E69" s="108">
        <f t="shared" si="21"/>
        <v>6.68</v>
      </c>
      <c r="F69" s="108">
        <v>6.68</v>
      </c>
      <c r="G69" s="492">
        <v>0</v>
      </c>
      <c r="H69" s="492">
        <v>0</v>
      </c>
      <c r="I69" s="492">
        <v>0</v>
      </c>
      <c r="J69" s="492">
        <v>0</v>
      </c>
      <c r="K69" s="63">
        <v>0</v>
      </c>
      <c r="L69" s="474">
        <f t="shared" si="17"/>
        <v>6.68</v>
      </c>
      <c r="M69" s="475"/>
      <c r="N69" s="476"/>
      <c r="O69" s="305"/>
      <c r="P69" s="882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113"/>
    </row>
    <row r="70" spans="1:58" s="107" customFormat="1" ht="16.5" customHeight="1">
      <c r="A70" s="1126"/>
      <c r="B70" s="1019"/>
      <c r="C70" s="882"/>
      <c r="D70" s="103">
        <v>2027</v>
      </c>
      <c r="E70" s="108">
        <f t="shared" si="21"/>
        <v>5.3</v>
      </c>
      <c r="F70" s="108">
        <v>5.3</v>
      </c>
      <c r="G70" s="492">
        <v>0</v>
      </c>
      <c r="H70" s="492">
        <v>0</v>
      </c>
      <c r="I70" s="492">
        <v>0</v>
      </c>
      <c r="J70" s="492">
        <v>0</v>
      </c>
      <c r="K70" s="63">
        <v>0</v>
      </c>
      <c r="L70" s="474">
        <f t="shared" si="17"/>
        <v>5.3</v>
      </c>
      <c r="M70" s="475"/>
      <c r="N70" s="476"/>
      <c r="O70" s="305"/>
      <c r="P70" s="882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113"/>
    </row>
    <row r="71" spans="1:58" s="107" customFormat="1" ht="16.5" customHeight="1">
      <c r="A71" s="1126"/>
      <c r="B71" s="1019"/>
      <c r="C71" s="882"/>
      <c r="D71" s="103">
        <v>2028</v>
      </c>
      <c r="E71" s="108">
        <f t="shared" si="21"/>
        <v>7.2</v>
      </c>
      <c r="F71" s="108">
        <v>7.2</v>
      </c>
      <c r="G71" s="492">
        <v>0</v>
      </c>
      <c r="H71" s="492">
        <v>0</v>
      </c>
      <c r="I71" s="492">
        <v>0</v>
      </c>
      <c r="J71" s="492">
        <v>0</v>
      </c>
      <c r="K71" s="63">
        <v>0</v>
      </c>
      <c r="L71" s="474">
        <f t="shared" si="17"/>
        <v>7.2</v>
      </c>
      <c r="M71" s="475"/>
      <c r="N71" s="476"/>
      <c r="O71" s="305"/>
      <c r="P71" s="882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113"/>
    </row>
    <row r="72" spans="1:58" s="107" customFormat="1" ht="16.5" customHeight="1">
      <c r="A72" s="1126"/>
      <c r="B72" s="1019"/>
      <c r="C72" s="882"/>
      <c r="D72" s="103">
        <v>2029</v>
      </c>
      <c r="E72" s="108">
        <f t="shared" si="21"/>
        <v>5.7</v>
      </c>
      <c r="F72" s="108">
        <v>5.7</v>
      </c>
      <c r="G72" s="492">
        <v>0</v>
      </c>
      <c r="H72" s="492">
        <v>0</v>
      </c>
      <c r="I72" s="492">
        <v>0</v>
      </c>
      <c r="J72" s="492">
        <v>0</v>
      </c>
      <c r="K72" s="63">
        <v>0</v>
      </c>
      <c r="L72" s="474">
        <f t="shared" si="17"/>
        <v>5.7</v>
      </c>
      <c r="M72" s="475"/>
      <c r="N72" s="476"/>
      <c r="O72" s="305"/>
      <c r="P72" s="882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113"/>
    </row>
    <row r="73" spans="1:58" s="82" customFormat="1" ht="16.5" customHeight="1">
      <c r="A73" s="1126"/>
      <c r="B73" s="1019"/>
      <c r="C73" s="964"/>
      <c r="D73" s="62">
        <v>2030</v>
      </c>
      <c r="E73" s="108">
        <f t="shared" si="21"/>
        <v>5.94</v>
      </c>
      <c r="F73" s="63">
        <v>5.94</v>
      </c>
      <c r="G73" s="491">
        <v>0</v>
      </c>
      <c r="H73" s="491">
        <v>0</v>
      </c>
      <c r="I73" s="491">
        <v>0</v>
      </c>
      <c r="J73" s="491">
        <v>0</v>
      </c>
      <c r="K73" s="63">
        <v>0</v>
      </c>
      <c r="L73" s="474">
        <f t="shared" si="17"/>
        <v>5.94</v>
      </c>
      <c r="M73" s="475"/>
      <c r="N73" s="476"/>
      <c r="O73" s="399"/>
      <c r="P73" s="964"/>
    </row>
    <row r="74" spans="1:58" s="138" customFormat="1">
      <c r="A74" s="1128" t="s">
        <v>365</v>
      </c>
      <c r="B74" s="929" t="s">
        <v>18</v>
      </c>
      <c r="C74" s="1000"/>
      <c r="D74" s="140" t="s">
        <v>16</v>
      </c>
      <c r="E74" s="85">
        <f t="shared" ref="E74:J74" si="22">SUM(E75:E86)</f>
        <v>2942.1106699999996</v>
      </c>
      <c r="F74" s="141">
        <f t="shared" si="22"/>
        <v>310.87179999999995</v>
      </c>
      <c r="G74" s="141">
        <f t="shared" si="22"/>
        <v>186.85059999999999</v>
      </c>
      <c r="H74" s="141">
        <f t="shared" si="22"/>
        <v>2209.4382700000001</v>
      </c>
      <c r="I74" s="141">
        <f t="shared" si="22"/>
        <v>234.95</v>
      </c>
      <c r="J74" s="141">
        <f t="shared" si="22"/>
        <v>0</v>
      </c>
      <c r="K74" s="63">
        <v>0</v>
      </c>
      <c r="L74" s="474">
        <f t="shared" si="17"/>
        <v>2942.11067</v>
      </c>
      <c r="M74" s="475"/>
      <c r="N74" s="476"/>
      <c r="O74" s="335"/>
      <c r="P74" s="495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146"/>
    </row>
    <row r="75" spans="1:58" s="82" customFormat="1" ht="13.5" customHeight="1">
      <c r="A75" s="1129"/>
      <c r="B75" s="868"/>
      <c r="C75" s="1125"/>
      <c r="D75" s="84">
        <v>2019</v>
      </c>
      <c r="E75" s="480">
        <f t="shared" ref="E75:J75" si="23">E91+E132+E157+E206+E209+E238+E240+E248+E254+E257+E260+E263+E266+E269+E272+E275+E278+E281</f>
        <v>231.41260000000003</v>
      </c>
      <c r="F75" s="480">
        <f t="shared" si="23"/>
        <v>52.571899999999992</v>
      </c>
      <c r="G75" s="480">
        <f t="shared" si="23"/>
        <v>0</v>
      </c>
      <c r="H75" s="480">
        <f t="shared" si="23"/>
        <v>178.84070000000003</v>
      </c>
      <c r="I75" s="480">
        <f t="shared" si="23"/>
        <v>0</v>
      </c>
      <c r="J75" s="480">
        <f t="shared" si="23"/>
        <v>0</v>
      </c>
      <c r="K75" s="63">
        <v>0</v>
      </c>
      <c r="L75" s="474">
        <f t="shared" si="17"/>
        <v>231.41260000000003</v>
      </c>
      <c r="M75" s="475"/>
      <c r="N75" s="476"/>
      <c r="O75" s="301"/>
      <c r="P75" s="477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2"/>
    </row>
    <row r="76" spans="1:58" s="82" customFormat="1" ht="13.5" customHeight="1">
      <c r="A76" s="1129"/>
      <c r="B76" s="868"/>
      <c r="C76" s="1125"/>
      <c r="D76" s="84">
        <v>2020</v>
      </c>
      <c r="E76" s="85">
        <f t="shared" ref="E76:J76" si="24">E92+E133+E158+E180+E184+E203+E241+E249+E292+E294</f>
        <v>477.02160000000003</v>
      </c>
      <c r="F76" s="85">
        <f t="shared" si="24"/>
        <v>31.328599999999998</v>
      </c>
      <c r="G76" s="85">
        <f t="shared" si="24"/>
        <v>54.491300000000003</v>
      </c>
      <c r="H76" s="85">
        <f t="shared" si="24"/>
        <v>391.20170000000002</v>
      </c>
      <c r="I76" s="85">
        <f t="shared" si="24"/>
        <v>0</v>
      </c>
      <c r="J76" s="85">
        <f t="shared" si="24"/>
        <v>0</v>
      </c>
      <c r="K76" s="63">
        <v>0</v>
      </c>
      <c r="L76" s="473">
        <f>L92+L133+L158+L180+L184+L203+L241+L249+L292+L294</f>
        <v>477.02160000000003</v>
      </c>
      <c r="M76" s="475"/>
      <c r="N76" s="476"/>
      <c r="O76" s="301"/>
      <c r="P76" s="477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2"/>
    </row>
    <row r="77" spans="1:58" s="82" customFormat="1" ht="13.5" customHeight="1">
      <c r="A77" s="1129"/>
      <c r="B77" s="868"/>
      <c r="C77" s="1125"/>
      <c r="D77" s="734">
        <v>2021</v>
      </c>
      <c r="E77" s="480">
        <f>E93+E115+E134+E160+E204+E295+E124+E172+E177+E181+E185+E187+E210+E250+E128+E189+E207+E252+E283+E290</f>
        <v>787.61489999999992</v>
      </c>
      <c r="F77" s="480">
        <f t="shared" ref="F77:K77" si="25">F93+F115+F134+F160+F204+F295+F124+F172+F177+F181+F185+F187+F210+F250+F128+F189+F207+F252+F283+F290</f>
        <v>63.961399999999998</v>
      </c>
      <c r="G77" s="480">
        <f t="shared" si="25"/>
        <v>132.35929999999999</v>
      </c>
      <c r="H77" s="480">
        <f t="shared" si="25"/>
        <v>356.3442</v>
      </c>
      <c r="I77" s="480">
        <f t="shared" si="25"/>
        <v>234.95</v>
      </c>
      <c r="J77" s="480">
        <f t="shared" si="25"/>
        <v>0</v>
      </c>
      <c r="K77" s="480">
        <f t="shared" si="25"/>
        <v>0</v>
      </c>
      <c r="L77" s="473">
        <f>F77+G77+H77+I77</f>
        <v>787.61490000000003</v>
      </c>
      <c r="M77" s="475"/>
      <c r="N77" s="476"/>
      <c r="O77" s="301"/>
      <c r="P77" s="477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2"/>
    </row>
    <row r="78" spans="1:58" s="82" customFormat="1" ht="13.5" customHeight="1">
      <c r="A78" s="1129"/>
      <c r="B78" s="868"/>
      <c r="C78" s="1125"/>
      <c r="D78" s="734">
        <v>2022</v>
      </c>
      <c r="E78" s="735">
        <f t="shared" ref="E78:J78" si="26">E94+E110+E135+E296+E125+E129+E155+E255+E258+E261+E273+E279</f>
        <v>20.246700000000001</v>
      </c>
      <c r="F78" s="735">
        <f t="shared" si="26"/>
        <v>5.1768999999999998</v>
      </c>
      <c r="G78" s="735">
        <f t="shared" si="26"/>
        <v>0</v>
      </c>
      <c r="H78" s="735">
        <f t="shared" si="26"/>
        <v>15.069799999999999</v>
      </c>
      <c r="I78" s="735">
        <f t="shared" si="26"/>
        <v>0</v>
      </c>
      <c r="J78" s="735">
        <f t="shared" si="26"/>
        <v>0</v>
      </c>
      <c r="K78" s="732">
        <v>0</v>
      </c>
      <c r="L78" s="474">
        <f t="shared" ref="L78:L109" si="27">F78+G78+H78+I78+J78</f>
        <v>20.246699999999997</v>
      </c>
      <c r="M78" s="475"/>
      <c r="N78" s="476"/>
      <c r="O78" s="301"/>
      <c r="P78" s="477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2"/>
    </row>
    <row r="79" spans="1:58" s="82" customFormat="1" ht="13.5" customHeight="1">
      <c r="A79" s="1129"/>
      <c r="B79" s="868"/>
      <c r="C79" s="1125"/>
      <c r="D79" s="734">
        <v>2023</v>
      </c>
      <c r="E79" s="735">
        <f>E126+E130+E173+E178+E182+E264+E267+E270+E297+E282+E212</f>
        <v>346.42399999999998</v>
      </c>
      <c r="F79" s="749">
        <f t="shared" ref="F79:K79" si="28">F126+F130+F173+F178+F182+F264+F267+F270+F297+F282+F212</f>
        <v>14.534799999999999</v>
      </c>
      <c r="G79" s="749">
        <f t="shared" si="28"/>
        <v>0</v>
      </c>
      <c r="H79" s="749">
        <f t="shared" si="28"/>
        <v>331.88919999999996</v>
      </c>
      <c r="I79" s="749">
        <f t="shared" si="28"/>
        <v>0</v>
      </c>
      <c r="J79" s="749">
        <f t="shared" si="28"/>
        <v>0</v>
      </c>
      <c r="K79" s="749">
        <f t="shared" si="28"/>
        <v>0</v>
      </c>
      <c r="L79" s="474">
        <f t="shared" si="27"/>
        <v>346.42399999999998</v>
      </c>
      <c r="M79" s="475"/>
      <c r="N79" s="476"/>
      <c r="O79" s="301"/>
      <c r="P79" s="477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2"/>
    </row>
    <row r="80" spans="1:58" s="82" customFormat="1" ht="13.5" customHeight="1">
      <c r="A80" s="1129"/>
      <c r="B80" s="868"/>
      <c r="C80" s="1125"/>
      <c r="D80" s="734">
        <v>2024</v>
      </c>
      <c r="E80" s="735">
        <f t="shared" ref="E80:J80" si="29">E95+E107+E116+E196</f>
        <v>104.7225</v>
      </c>
      <c r="F80" s="735">
        <f t="shared" si="29"/>
        <v>6.9205000000000005</v>
      </c>
      <c r="G80" s="735">
        <f t="shared" si="29"/>
        <v>0</v>
      </c>
      <c r="H80" s="735">
        <f t="shared" si="29"/>
        <v>97.802000000000007</v>
      </c>
      <c r="I80" s="735">
        <f t="shared" si="29"/>
        <v>0</v>
      </c>
      <c r="J80" s="735">
        <f t="shared" si="29"/>
        <v>0</v>
      </c>
      <c r="K80" s="732">
        <v>0</v>
      </c>
      <c r="L80" s="474">
        <f t="shared" si="27"/>
        <v>104.72250000000001</v>
      </c>
      <c r="M80" s="475"/>
      <c r="N80" s="476"/>
      <c r="O80" s="301"/>
      <c r="P80" s="477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2"/>
    </row>
    <row r="81" spans="1:58" s="82" customFormat="1" ht="13.5" customHeight="1">
      <c r="A81" s="1129"/>
      <c r="B81" s="868"/>
      <c r="C81" s="1125"/>
      <c r="D81" s="734">
        <v>2025</v>
      </c>
      <c r="E81" s="735">
        <f t="shared" ref="E81:J81" si="30">E197+E276</f>
        <v>150</v>
      </c>
      <c r="F81" s="735">
        <f t="shared" si="30"/>
        <v>7.5</v>
      </c>
      <c r="G81" s="735">
        <f t="shared" si="30"/>
        <v>0</v>
      </c>
      <c r="H81" s="735">
        <f t="shared" si="30"/>
        <v>142.5</v>
      </c>
      <c r="I81" s="735">
        <f t="shared" si="30"/>
        <v>0</v>
      </c>
      <c r="J81" s="735">
        <f t="shared" si="30"/>
        <v>0</v>
      </c>
      <c r="K81" s="732">
        <v>0</v>
      </c>
      <c r="L81" s="474">
        <f t="shared" si="27"/>
        <v>150</v>
      </c>
      <c r="M81" s="475"/>
      <c r="N81" s="476"/>
      <c r="O81" s="301"/>
      <c r="P81" s="477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2"/>
    </row>
    <row r="82" spans="1:58" s="82" customFormat="1" ht="13.5" customHeight="1">
      <c r="A82" s="1129"/>
      <c r="B82" s="868"/>
      <c r="C82" s="1125"/>
      <c r="D82" s="734">
        <v>2026</v>
      </c>
      <c r="E82" s="735">
        <f t="shared" ref="E82:J82" si="31">E88+E96+E100+E103+E117+E136+E162+E165+E193+E200+E214+E217+E220+E223+E226+E229+E232+E235+E244+E288+E286+E198</f>
        <v>213.0292</v>
      </c>
      <c r="F82" s="735">
        <f t="shared" si="31"/>
        <v>98.369200000000006</v>
      </c>
      <c r="G82" s="735">
        <f t="shared" si="31"/>
        <v>0</v>
      </c>
      <c r="H82" s="735">
        <f t="shared" si="31"/>
        <v>114.66</v>
      </c>
      <c r="I82" s="735">
        <f t="shared" si="31"/>
        <v>0</v>
      </c>
      <c r="J82" s="735">
        <f t="shared" si="31"/>
        <v>0</v>
      </c>
      <c r="K82" s="732">
        <v>0</v>
      </c>
      <c r="L82" s="474">
        <f t="shared" si="27"/>
        <v>213.0292</v>
      </c>
      <c r="M82" s="475"/>
      <c r="N82" s="476"/>
      <c r="O82" s="301"/>
      <c r="P82" s="477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2"/>
    </row>
    <row r="83" spans="1:58" s="82" customFormat="1" ht="13.5" customHeight="1">
      <c r="A83" s="1129"/>
      <c r="B83" s="868"/>
      <c r="C83" s="1125"/>
      <c r="D83" s="734">
        <v>2027</v>
      </c>
      <c r="E83" s="735">
        <f t="shared" ref="E83:J83" si="32">E118+E145+E149+E163+E166+E194+E201+E215+E218+E221+E224+E227+E230+E233+E236+E245+E141</f>
        <v>452.2407</v>
      </c>
      <c r="F83" s="735">
        <f t="shared" si="32"/>
        <v>20.567599999999999</v>
      </c>
      <c r="G83" s="735">
        <f t="shared" si="32"/>
        <v>0</v>
      </c>
      <c r="H83" s="735">
        <f t="shared" si="32"/>
        <v>431.67309999999998</v>
      </c>
      <c r="I83" s="735">
        <f t="shared" si="32"/>
        <v>0</v>
      </c>
      <c r="J83" s="735">
        <f t="shared" si="32"/>
        <v>0</v>
      </c>
      <c r="K83" s="732">
        <v>0</v>
      </c>
      <c r="L83" s="474">
        <f t="shared" si="27"/>
        <v>452.24069999999995</v>
      </c>
      <c r="M83" s="475"/>
      <c r="N83" s="476"/>
      <c r="O83" s="301"/>
      <c r="P83" s="477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2"/>
    </row>
    <row r="84" spans="1:58" s="82" customFormat="1" ht="13.5" customHeight="1">
      <c r="A84" s="1129"/>
      <c r="B84" s="868"/>
      <c r="C84" s="1125"/>
      <c r="D84" s="734">
        <v>2028</v>
      </c>
      <c r="E84" s="735">
        <f t="shared" ref="E84:J84" si="33">E97+E108+E138+E246</f>
        <v>156.98246999999998</v>
      </c>
      <c r="F84" s="735">
        <f t="shared" si="33"/>
        <v>7.5248999999999988</v>
      </c>
      <c r="G84" s="735">
        <f t="shared" si="33"/>
        <v>0</v>
      </c>
      <c r="H84" s="735">
        <f t="shared" si="33"/>
        <v>149.45756999999998</v>
      </c>
      <c r="I84" s="735">
        <f t="shared" si="33"/>
        <v>0</v>
      </c>
      <c r="J84" s="735">
        <f t="shared" si="33"/>
        <v>0</v>
      </c>
      <c r="K84" s="732">
        <v>0</v>
      </c>
      <c r="L84" s="474">
        <f t="shared" si="27"/>
        <v>156.98246999999998</v>
      </c>
      <c r="M84" s="475"/>
      <c r="N84" s="476"/>
      <c r="O84" s="301"/>
      <c r="P84" s="477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2"/>
    </row>
    <row r="85" spans="1:58" s="82" customFormat="1" ht="13.5" customHeight="1">
      <c r="A85" s="1129"/>
      <c r="B85" s="868"/>
      <c r="C85" s="1125"/>
      <c r="D85" s="734">
        <v>2029</v>
      </c>
      <c r="E85" s="735">
        <f t="shared" ref="E85:J85" si="34">E191</f>
        <v>0</v>
      </c>
      <c r="F85" s="735">
        <f t="shared" si="34"/>
        <v>0</v>
      </c>
      <c r="G85" s="735">
        <f t="shared" si="34"/>
        <v>0</v>
      </c>
      <c r="H85" s="735">
        <f t="shared" si="34"/>
        <v>0</v>
      </c>
      <c r="I85" s="735">
        <f t="shared" si="34"/>
        <v>0</v>
      </c>
      <c r="J85" s="735">
        <f t="shared" si="34"/>
        <v>0</v>
      </c>
      <c r="K85" s="732">
        <v>0</v>
      </c>
      <c r="L85" s="474">
        <f t="shared" si="27"/>
        <v>0</v>
      </c>
      <c r="M85" s="475"/>
      <c r="N85" s="476"/>
      <c r="O85" s="301"/>
      <c r="P85" s="477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92"/>
    </row>
    <row r="86" spans="1:58" s="82" customFormat="1" ht="13.5" customHeight="1">
      <c r="A86" s="1130"/>
      <c r="B86" s="869"/>
      <c r="C86" s="1103"/>
      <c r="D86" s="734">
        <v>2030</v>
      </c>
      <c r="E86" s="735">
        <f t="shared" ref="E86:J86" si="35">E89+E98+E101+E104+E109</f>
        <v>2.4159999999999999</v>
      </c>
      <c r="F86" s="735">
        <f t="shared" si="35"/>
        <v>2.4159999999999999</v>
      </c>
      <c r="G86" s="735">
        <f t="shared" si="35"/>
        <v>0</v>
      </c>
      <c r="H86" s="735">
        <f t="shared" si="35"/>
        <v>0</v>
      </c>
      <c r="I86" s="735">
        <f t="shared" si="35"/>
        <v>0</v>
      </c>
      <c r="J86" s="735">
        <f t="shared" si="35"/>
        <v>0</v>
      </c>
      <c r="K86" s="732">
        <v>0</v>
      </c>
      <c r="L86" s="474">
        <f t="shared" si="27"/>
        <v>2.4159999999999999</v>
      </c>
      <c r="M86" s="475"/>
      <c r="N86" s="476"/>
      <c r="O86" s="301"/>
      <c r="P86" s="477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2"/>
    </row>
    <row r="87" spans="1:58" s="51" customFormat="1" ht="12.75" customHeight="1">
      <c r="A87" s="794" t="s">
        <v>366</v>
      </c>
      <c r="B87" s="838" t="s">
        <v>367</v>
      </c>
      <c r="C87" s="183" t="s">
        <v>368</v>
      </c>
      <c r="D87" s="734" t="s">
        <v>16</v>
      </c>
      <c r="E87" s="735">
        <f t="shared" ref="E87:J87" si="36">E88+E89</f>
        <v>0.2</v>
      </c>
      <c r="F87" s="735">
        <f t="shared" si="36"/>
        <v>0.2</v>
      </c>
      <c r="G87" s="735">
        <f t="shared" si="36"/>
        <v>0</v>
      </c>
      <c r="H87" s="735">
        <f t="shared" si="36"/>
        <v>0</v>
      </c>
      <c r="I87" s="735">
        <f t="shared" si="36"/>
        <v>0</v>
      </c>
      <c r="J87" s="735">
        <f t="shared" si="36"/>
        <v>0</v>
      </c>
      <c r="K87" s="733">
        <v>0</v>
      </c>
      <c r="L87" s="497">
        <f t="shared" si="27"/>
        <v>0.2</v>
      </c>
      <c r="M87" s="153">
        <v>1</v>
      </c>
      <c r="N87" s="476"/>
      <c r="O87" s="301"/>
      <c r="P87" s="1121" t="s">
        <v>369</v>
      </c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68"/>
    </row>
    <row r="88" spans="1:58" s="51" customFormat="1" ht="15" customHeight="1">
      <c r="A88" s="795"/>
      <c r="B88" s="889"/>
      <c r="C88" s="498"/>
      <c r="D88" s="84">
        <v>2026</v>
      </c>
      <c r="E88" s="63">
        <f>F88+G88+H88+I88+J88</f>
        <v>0.1</v>
      </c>
      <c r="F88" s="63">
        <v>0.1</v>
      </c>
      <c r="G88" s="63">
        <v>0</v>
      </c>
      <c r="H88" s="63">
        <v>0</v>
      </c>
      <c r="I88" s="63">
        <v>0</v>
      </c>
      <c r="J88" s="63">
        <v>0</v>
      </c>
      <c r="K88" s="76">
        <v>0</v>
      </c>
      <c r="L88" s="497">
        <f t="shared" si="27"/>
        <v>0.1</v>
      </c>
      <c r="M88" s="153">
        <v>0.5</v>
      </c>
      <c r="N88" s="476"/>
      <c r="O88" s="301"/>
      <c r="P88" s="116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68"/>
    </row>
    <row r="89" spans="1:58" s="51" customFormat="1">
      <c r="A89" s="796"/>
      <c r="B89" s="890"/>
      <c r="C89" s="500"/>
      <c r="D89" s="84">
        <v>2030</v>
      </c>
      <c r="E89" s="63">
        <f>F89+G89+H89+I89+J89</f>
        <v>0.1</v>
      </c>
      <c r="F89" s="63">
        <v>0.1</v>
      </c>
      <c r="G89" s="63">
        <v>0</v>
      </c>
      <c r="H89" s="63">
        <v>0</v>
      </c>
      <c r="I89" s="63">
        <v>0</v>
      </c>
      <c r="J89" s="63">
        <v>0</v>
      </c>
      <c r="K89" s="76">
        <v>0</v>
      </c>
      <c r="L89" s="497">
        <f t="shared" si="27"/>
        <v>0.1</v>
      </c>
      <c r="M89" s="153">
        <v>1</v>
      </c>
      <c r="N89" s="476"/>
      <c r="O89" s="301"/>
      <c r="P89" s="116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68"/>
    </row>
    <row r="90" spans="1:58" s="51" customFormat="1" ht="23.25" customHeight="1">
      <c r="A90" s="794" t="s">
        <v>370</v>
      </c>
      <c r="B90" s="838" t="s">
        <v>371</v>
      </c>
      <c r="C90" s="464"/>
      <c r="D90" s="84" t="s">
        <v>16</v>
      </c>
      <c r="E90" s="85">
        <f t="shared" ref="E90:J90" si="37">E91+E92+E93+E94+E95+E96+E97+E98</f>
        <v>5.876199999999999</v>
      </c>
      <c r="F90" s="85">
        <f t="shared" si="37"/>
        <v>1.1124000000000001</v>
      </c>
      <c r="G90" s="85">
        <f t="shared" si="37"/>
        <v>0</v>
      </c>
      <c r="H90" s="85">
        <f t="shared" si="37"/>
        <v>4.7638000000000007</v>
      </c>
      <c r="I90" s="85">
        <f t="shared" si="37"/>
        <v>0</v>
      </c>
      <c r="J90" s="85">
        <f t="shared" si="37"/>
        <v>0</v>
      </c>
      <c r="K90" s="76">
        <v>0</v>
      </c>
      <c r="L90" s="497">
        <f t="shared" si="27"/>
        <v>5.8762000000000008</v>
      </c>
      <c r="M90" s="153">
        <v>1</v>
      </c>
      <c r="N90" s="476"/>
      <c r="O90" s="301"/>
      <c r="P90" s="116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68"/>
    </row>
    <row r="91" spans="1:58" s="51" customFormat="1" ht="31.5" customHeight="1">
      <c r="A91" s="795"/>
      <c r="B91" s="839"/>
      <c r="C91" s="470" t="s">
        <v>372</v>
      </c>
      <c r="D91" s="62">
        <v>2019</v>
      </c>
      <c r="E91" s="63">
        <f>F91+G91+H91</f>
        <v>2.7176</v>
      </c>
      <c r="F91" s="63">
        <v>0.3533</v>
      </c>
      <c r="G91" s="63">
        <v>0</v>
      </c>
      <c r="H91" s="63">
        <v>2.3643000000000001</v>
      </c>
      <c r="I91" s="63">
        <v>0</v>
      </c>
      <c r="J91" s="63">
        <v>0</v>
      </c>
      <c r="K91" s="76">
        <v>0</v>
      </c>
      <c r="L91" s="497">
        <f t="shared" si="27"/>
        <v>2.7176</v>
      </c>
      <c r="M91" s="153"/>
      <c r="N91" s="476"/>
      <c r="O91" s="301"/>
      <c r="P91" s="116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68"/>
    </row>
    <row r="92" spans="1:58" s="51" customFormat="1" ht="11.25" customHeight="1">
      <c r="A92" s="795"/>
      <c r="B92" s="839"/>
      <c r="C92" s="881" t="s">
        <v>1101</v>
      </c>
      <c r="D92" s="62">
        <v>2020</v>
      </c>
      <c r="E92" s="63">
        <f>F92+G92+H92</f>
        <v>1.8151999999999999</v>
      </c>
      <c r="F92" s="63">
        <v>0.23630000000000001</v>
      </c>
      <c r="G92" s="63">
        <v>0</v>
      </c>
      <c r="H92" s="63">
        <v>1.5789</v>
      </c>
      <c r="I92" s="63">
        <v>0</v>
      </c>
      <c r="J92" s="63">
        <v>0</v>
      </c>
      <c r="K92" s="76">
        <v>0</v>
      </c>
      <c r="L92" s="497">
        <f t="shared" si="27"/>
        <v>1.8151999999999999</v>
      </c>
      <c r="M92" s="153"/>
      <c r="N92" s="476"/>
      <c r="O92" s="301"/>
      <c r="P92" s="116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68"/>
    </row>
    <row r="93" spans="1:58" s="51" customFormat="1" ht="12.75" customHeight="1">
      <c r="A93" s="795"/>
      <c r="B93" s="839"/>
      <c r="C93" s="882"/>
      <c r="D93" s="62">
        <v>2021</v>
      </c>
      <c r="E93" s="63">
        <f t="shared" ref="E93:E98" si="38">F93+G93+H93+I93+J93</f>
        <v>0.47170000000000001</v>
      </c>
      <c r="F93" s="63">
        <v>6.1400000000000003E-2</v>
      </c>
      <c r="G93" s="63">
        <v>0</v>
      </c>
      <c r="H93" s="63">
        <v>0.4103</v>
      </c>
      <c r="I93" s="63">
        <v>0</v>
      </c>
      <c r="J93" s="63">
        <v>0</v>
      </c>
      <c r="K93" s="76">
        <v>0</v>
      </c>
      <c r="L93" s="497">
        <f t="shared" si="27"/>
        <v>0.47170000000000001</v>
      </c>
      <c r="M93" s="153">
        <v>0.25</v>
      </c>
      <c r="N93" s="476"/>
      <c r="O93" s="301"/>
      <c r="P93" s="116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68"/>
    </row>
    <row r="94" spans="1:58" s="51" customFormat="1">
      <c r="A94" s="795"/>
      <c r="B94" s="839"/>
      <c r="C94" s="882"/>
      <c r="D94" s="62">
        <v>2022</v>
      </c>
      <c r="E94" s="63">
        <f t="shared" si="38"/>
        <v>0.47170000000000001</v>
      </c>
      <c r="F94" s="63">
        <v>6.1400000000000003E-2</v>
      </c>
      <c r="G94" s="63">
        <v>0</v>
      </c>
      <c r="H94" s="63">
        <v>0.4103</v>
      </c>
      <c r="I94" s="63">
        <v>0</v>
      </c>
      <c r="J94" s="63">
        <v>0</v>
      </c>
      <c r="K94" s="76">
        <v>0</v>
      </c>
      <c r="L94" s="497">
        <f t="shared" si="27"/>
        <v>0.47170000000000001</v>
      </c>
      <c r="M94" s="153">
        <v>0.4</v>
      </c>
      <c r="N94" s="476"/>
      <c r="O94" s="301"/>
      <c r="P94" s="116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68"/>
    </row>
    <row r="95" spans="1:58" s="51" customFormat="1">
      <c r="A95" s="795"/>
      <c r="B95" s="839"/>
      <c r="C95" s="964"/>
      <c r="D95" s="62">
        <v>2024</v>
      </c>
      <c r="E95" s="63">
        <f t="shared" si="38"/>
        <v>0.1</v>
      </c>
      <c r="F95" s="63">
        <v>0.1</v>
      </c>
      <c r="G95" s="63">
        <v>0</v>
      </c>
      <c r="H95" s="63">
        <v>0</v>
      </c>
      <c r="I95" s="63">
        <v>0</v>
      </c>
      <c r="J95" s="63">
        <v>0</v>
      </c>
      <c r="K95" s="76">
        <v>0</v>
      </c>
      <c r="L95" s="497">
        <f t="shared" si="27"/>
        <v>0.1</v>
      </c>
      <c r="M95" s="153">
        <v>0.5</v>
      </c>
      <c r="N95" s="476"/>
      <c r="O95" s="301"/>
      <c r="P95" s="116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68"/>
    </row>
    <row r="96" spans="1:58" s="51" customFormat="1" ht="16.5" customHeight="1">
      <c r="A96" s="795"/>
      <c r="B96" s="839"/>
      <c r="C96" s="881" t="s">
        <v>374</v>
      </c>
      <c r="D96" s="62">
        <v>2026</v>
      </c>
      <c r="E96" s="63">
        <f t="shared" si="38"/>
        <v>0.1</v>
      </c>
      <c r="F96" s="63">
        <v>0.1</v>
      </c>
      <c r="G96" s="63">
        <v>0</v>
      </c>
      <c r="H96" s="63">
        <v>0</v>
      </c>
      <c r="I96" s="63">
        <v>0</v>
      </c>
      <c r="J96" s="63">
        <v>0</v>
      </c>
      <c r="K96" s="76">
        <v>0</v>
      </c>
      <c r="L96" s="497">
        <f t="shared" si="27"/>
        <v>0.1</v>
      </c>
      <c r="M96" s="153">
        <v>0.6</v>
      </c>
      <c r="N96" s="476"/>
      <c r="O96" s="301"/>
      <c r="P96" s="116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68"/>
    </row>
    <row r="97" spans="1:58" s="51" customFormat="1">
      <c r="A97" s="795"/>
      <c r="B97" s="839"/>
      <c r="C97" s="882"/>
      <c r="D97" s="62">
        <v>2028</v>
      </c>
      <c r="E97" s="63">
        <f t="shared" si="38"/>
        <v>0.1</v>
      </c>
      <c r="F97" s="63">
        <v>0.1</v>
      </c>
      <c r="G97" s="63">
        <v>0</v>
      </c>
      <c r="H97" s="63">
        <v>0</v>
      </c>
      <c r="I97" s="63">
        <v>0</v>
      </c>
      <c r="J97" s="63">
        <v>0</v>
      </c>
      <c r="K97" s="76">
        <v>0</v>
      </c>
      <c r="L97" s="497">
        <f t="shared" si="27"/>
        <v>0.1</v>
      </c>
      <c r="M97" s="153">
        <v>0.8</v>
      </c>
      <c r="N97" s="476"/>
      <c r="O97" s="301"/>
      <c r="P97" s="116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68"/>
    </row>
    <row r="98" spans="1:58" s="51" customFormat="1">
      <c r="A98" s="796"/>
      <c r="B98" s="854"/>
      <c r="C98" s="964"/>
      <c r="D98" s="62">
        <v>2030</v>
      </c>
      <c r="E98" s="63">
        <f t="shared" si="38"/>
        <v>0.1</v>
      </c>
      <c r="F98" s="63">
        <v>0.1</v>
      </c>
      <c r="G98" s="63">
        <v>0</v>
      </c>
      <c r="H98" s="63">
        <v>0</v>
      </c>
      <c r="I98" s="63">
        <v>0</v>
      </c>
      <c r="J98" s="63">
        <v>0</v>
      </c>
      <c r="K98" s="76">
        <v>0</v>
      </c>
      <c r="L98" s="497">
        <f t="shared" si="27"/>
        <v>0.1</v>
      </c>
      <c r="M98" s="153">
        <v>1</v>
      </c>
      <c r="N98" s="476"/>
      <c r="O98" s="301"/>
      <c r="P98" s="116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68"/>
    </row>
    <row r="99" spans="1:58" s="51" customFormat="1" ht="12.75" customHeight="1">
      <c r="A99" s="794" t="s">
        <v>375</v>
      </c>
      <c r="B99" s="936" t="s">
        <v>376</v>
      </c>
      <c r="C99" s="464"/>
      <c r="D99" s="84" t="s">
        <v>16</v>
      </c>
      <c r="E99" s="85">
        <f t="shared" ref="E99:J99" si="39">E100+E101</f>
        <v>0.216</v>
      </c>
      <c r="F99" s="85">
        <f t="shared" si="39"/>
        <v>0.216</v>
      </c>
      <c r="G99" s="85">
        <f t="shared" si="39"/>
        <v>0</v>
      </c>
      <c r="H99" s="85">
        <f t="shared" si="39"/>
        <v>0</v>
      </c>
      <c r="I99" s="85">
        <f t="shared" si="39"/>
        <v>0</v>
      </c>
      <c r="J99" s="85">
        <f t="shared" si="39"/>
        <v>0</v>
      </c>
      <c r="K99" s="76">
        <v>0</v>
      </c>
      <c r="L99" s="497">
        <f t="shared" si="27"/>
        <v>0.216</v>
      </c>
      <c r="M99" s="153">
        <v>1</v>
      </c>
      <c r="N99" s="476"/>
      <c r="O99" s="301"/>
      <c r="P99" s="116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68"/>
    </row>
    <row r="100" spans="1:58" s="51" customFormat="1">
      <c r="A100" s="795"/>
      <c r="B100" s="937"/>
      <c r="C100" s="881" t="s">
        <v>368</v>
      </c>
      <c r="D100" s="62">
        <v>2026</v>
      </c>
      <c r="E100" s="63">
        <f>F100+G100+H100+I100+J100</f>
        <v>0.108</v>
      </c>
      <c r="F100" s="63">
        <v>0.108</v>
      </c>
      <c r="G100" s="63">
        <v>0</v>
      </c>
      <c r="H100" s="63">
        <v>0</v>
      </c>
      <c r="I100" s="63">
        <v>0</v>
      </c>
      <c r="J100" s="63">
        <v>0</v>
      </c>
      <c r="K100" s="76">
        <v>0</v>
      </c>
      <c r="L100" s="497">
        <f t="shared" si="27"/>
        <v>0.108</v>
      </c>
      <c r="M100" s="153">
        <v>0.5</v>
      </c>
      <c r="N100" s="476"/>
      <c r="O100" s="301"/>
      <c r="P100" s="116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68"/>
    </row>
    <row r="101" spans="1:58" s="51" customFormat="1" ht="30" customHeight="1">
      <c r="A101" s="796"/>
      <c r="B101" s="938"/>
      <c r="C101" s="964"/>
      <c r="D101" s="62">
        <v>2030</v>
      </c>
      <c r="E101" s="63">
        <f>F101+G101+H101+I101+J101</f>
        <v>0.108</v>
      </c>
      <c r="F101" s="63">
        <v>0.108</v>
      </c>
      <c r="G101" s="63">
        <v>0</v>
      </c>
      <c r="H101" s="63">
        <v>0</v>
      </c>
      <c r="I101" s="63">
        <v>0</v>
      </c>
      <c r="J101" s="63">
        <v>0</v>
      </c>
      <c r="K101" s="76">
        <v>0</v>
      </c>
      <c r="L101" s="497">
        <f t="shared" si="27"/>
        <v>0.108</v>
      </c>
      <c r="M101" s="153">
        <v>1</v>
      </c>
      <c r="N101" s="476"/>
      <c r="O101" s="301"/>
      <c r="P101" s="116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68"/>
    </row>
    <row r="102" spans="1:58" s="51" customFormat="1">
      <c r="A102" s="794" t="s">
        <v>377</v>
      </c>
      <c r="B102" s="931" t="s">
        <v>378</v>
      </c>
      <c r="C102" s="881" t="s">
        <v>379</v>
      </c>
      <c r="D102" s="84" t="s">
        <v>16</v>
      </c>
      <c r="E102" s="85">
        <f t="shared" ref="E102:J102" si="40">E103+E104</f>
        <v>0.216</v>
      </c>
      <c r="F102" s="85">
        <f t="shared" si="40"/>
        <v>0.216</v>
      </c>
      <c r="G102" s="85">
        <f t="shared" si="40"/>
        <v>0</v>
      </c>
      <c r="H102" s="85">
        <f t="shared" si="40"/>
        <v>0</v>
      </c>
      <c r="I102" s="85">
        <f t="shared" si="40"/>
        <v>0</v>
      </c>
      <c r="J102" s="85">
        <f t="shared" si="40"/>
        <v>0</v>
      </c>
      <c r="K102" s="76">
        <v>0</v>
      </c>
      <c r="L102" s="497">
        <f t="shared" si="27"/>
        <v>0.216</v>
      </c>
      <c r="M102" s="153">
        <v>1</v>
      </c>
      <c r="N102" s="476"/>
      <c r="O102" s="301"/>
      <c r="P102" s="116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68"/>
    </row>
    <row r="103" spans="1:58" s="51" customFormat="1">
      <c r="A103" s="795"/>
      <c r="B103" s="932"/>
      <c r="C103" s="882"/>
      <c r="D103" s="62">
        <v>2026</v>
      </c>
      <c r="E103" s="63">
        <f>F103+G103+H103+I103+J103</f>
        <v>0.108</v>
      </c>
      <c r="F103" s="63">
        <v>0.108</v>
      </c>
      <c r="G103" s="63">
        <v>0</v>
      </c>
      <c r="H103" s="63">
        <v>0</v>
      </c>
      <c r="I103" s="63">
        <v>0</v>
      </c>
      <c r="J103" s="63">
        <v>0</v>
      </c>
      <c r="K103" s="76">
        <v>0</v>
      </c>
      <c r="L103" s="497">
        <f t="shared" si="27"/>
        <v>0.108</v>
      </c>
      <c r="M103" s="153">
        <v>0.5</v>
      </c>
      <c r="N103" s="476"/>
      <c r="O103" s="301"/>
      <c r="P103" s="116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68"/>
    </row>
    <row r="104" spans="1:58" s="51" customFormat="1" ht="54.75" customHeight="1">
      <c r="A104" s="796"/>
      <c r="B104" s="933"/>
      <c r="C104" s="964"/>
      <c r="D104" s="62">
        <v>2030</v>
      </c>
      <c r="E104" s="63">
        <f>F104+G104+H104+I104+J104</f>
        <v>0.108</v>
      </c>
      <c r="F104" s="63">
        <v>0.108</v>
      </c>
      <c r="G104" s="63">
        <v>0</v>
      </c>
      <c r="H104" s="63">
        <v>0</v>
      </c>
      <c r="I104" s="63">
        <v>0</v>
      </c>
      <c r="J104" s="63">
        <v>0</v>
      </c>
      <c r="K104" s="76">
        <v>0</v>
      </c>
      <c r="L104" s="497">
        <f t="shared" si="27"/>
        <v>0.108</v>
      </c>
      <c r="M104" s="153">
        <v>1</v>
      </c>
      <c r="N104" s="476"/>
      <c r="O104" s="301"/>
      <c r="P104" s="116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68"/>
    </row>
    <row r="105" spans="1:58" s="51" customFormat="1" ht="12.75" customHeight="1">
      <c r="A105" s="921" t="s">
        <v>380</v>
      </c>
      <c r="B105" s="934" t="s">
        <v>381</v>
      </c>
      <c r="C105" s="915" t="s">
        <v>1101</v>
      </c>
      <c r="D105" s="84" t="s">
        <v>16</v>
      </c>
      <c r="E105" s="85">
        <f t="shared" ref="E105:J105" si="41">E106+E107+E108+E109</f>
        <v>5.5</v>
      </c>
      <c r="F105" s="85">
        <f t="shared" si="41"/>
        <v>5.5</v>
      </c>
      <c r="G105" s="85">
        <f t="shared" si="41"/>
        <v>0</v>
      </c>
      <c r="H105" s="85">
        <f t="shared" si="41"/>
        <v>0</v>
      </c>
      <c r="I105" s="85">
        <f t="shared" si="41"/>
        <v>0</v>
      </c>
      <c r="J105" s="85">
        <f t="shared" si="41"/>
        <v>0</v>
      </c>
      <c r="K105" s="76">
        <v>0</v>
      </c>
      <c r="L105" s="497">
        <f t="shared" si="27"/>
        <v>5.5</v>
      </c>
      <c r="M105" s="185"/>
      <c r="N105" s="476"/>
      <c r="O105" s="301"/>
      <c r="P105" s="116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68"/>
    </row>
    <row r="106" spans="1:58" s="51" customFormat="1" ht="12.75" customHeight="1">
      <c r="A106" s="1110"/>
      <c r="B106" s="935"/>
      <c r="C106" s="916"/>
      <c r="D106" s="84">
        <v>2022</v>
      </c>
      <c r="E106" s="63">
        <f t="shared" ref="E106:E113" si="42">F106+G106+H106+I106+J106</f>
        <v>0</v>
      </c>
      <c r="F106" s="63">
        <f>F110</f>
        <v>0</v>
      </c>
      <c r="G106" s="63">
        <v>0</v>
      </c>
      <c r="H106" s="63">
        <v>0</v>
      </c>
      <c r="I106" s="63">
        <v>0</v>
      </c>
      <c r="J106" s="63">
        <v>0</v>
      </c>
      <c r="K106" s="76">
        <v>0</v>
      </c>
      <c r="L106" s="497">
        <f t="shared" si="27"/>
        <v>0</v>
      </c>
      <c r="M106" s="185"/>
      <c r="N106" s="476"/>
      <c r="O106" s="301"/>
      <c r="P106" s="116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68"/>
    </row>
    <row r="107" spans="1:58" s="51" customFormat="1" ht="18.75" customHeight="1">
      <c r="A107" s="1110"/>
      <c r="B107" s="935"/>
      <c r="C107" s="916"/>
      <c r="D107" s="84">
        <v>2024</v>
      </c>
      <c r="E107" s="63">
        <f t="shared" si="42"/>
        <v>1.5</v>
      </c>
      <c r="F107" s="63">
        <v>1.5</v>
      </c>
      <c r="G107" s="63">
        <v>0</v>
      </c>
      <c r="H107" s="63">
        <v>0</v>
      </c>
      <c r="I107" s="63">
        <v>0</v>
      </c>
      <c r="J107" s="63">
        <v>0</v>
      </c>
      <c r="K107" s="76">
        <v>0</v>
      </c>
      <c r="L107" s="497">
        <f t="shared" si="27"/>
        <v>1.5</v>
      </c>
      <c r="M107" s="185"/>
      <c r="N107" s="476"/>
      <c r="O107" s="301"/>
      <c r="P107" s="116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68"/>
    </row>
    <row r="108" spans="1:58" s="51" customFormat="1" ht="15" customHeight="1">
      <c r="A108" s="1110"/>
      <c r="B108" s="935"/>
      <c r="C108" s="1077" t="s">
        <v>368</v>
      </c>
      <c r="D108" s="84">
        <v>2028</v>
      </c>
      <c r="E108" s="63">
        <f t="shared" si="42"/>
        <v>2</v>
      </c>
      <c r="F108" s="63">
        <v>2</v>
      </c>
      <c r="G108" s="63">
        <v>0</v>
      </c>
      <c r="H108" s="63">
        <v>0</v>
      </c>
      <c r="I108" s="63">
        <v>0</v>
      </c>
      <c r="J108" s="63">
        <v>0</v>
      </c>
      <c r="K108" s="76">
        <v>0</v>
      </c>
      <c r="L108" s="497">
        <f t="shared" si="27"/>
        <v>2</v>
      </c>
      <c r="M108" s="185"/>
      <c r="N108" s="476"/>
      <c r="O108" s="301"/>
      <c r="P108" s="116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68"/>
    </row>
    <row r="109" spans="1:58" s="51" customFormat="1">
      <c r="A109" s="1110"/>
      <c r="B109" s="935"/>
      <c r="C109" s="1077"/>
      <c r="D109" s="84">
        <v>2030</v>
      </c>
      <c r="E109" s="63">
        <f t="shared" si="42"/>
        <v>2</v>
      </c>
      <c r="F109" s="63">
        <v>2</v>
      </c>
      <c r="G109" s="63">
        <v>0</v>
      </c>
      <c r="H109" s="63">
        <v>0</v>
      </c>
      <c r="I109" s="63">
        <v>0</v>
      </c>
      <c r="J109" s="63">
        <v>0</v>
      </c>
      <c r="K109" s="76">
        <v>0</v>
      </c>
      <c r="L109" s="497">
        <f t="shared" si="27"/>
        <v>2</v>
      </c>
      <c r="M109" s="185"/>
      <c r="N109" s="476"/>
      <c r="O109" s="301"/>
      <c r="P109" s="116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68"/>
    </row>
    <row r="110" spans="1:58" s="51" customFormat="1" ht="27" customHeight="1">
      <c r="A110" s="59" t="s">
        <v>383</v>
      </c>
      <c r="B110" s="186" t="s">
        <v>384</v>
      </c>
      <c r="C110" s="1077" t="s">
        <v>1101</v>
      </c>
      <c r="D110" s="62">
        <v>2022</v>
      </c>
      <c r="E110" s="63">
        <f t="shared" si="42"/>
        <v>0</v>
      </c>
      <c r="F110" s="63">
        <v>0</v>
      </c>
      <c r="G110" s="63">
        <v>0</v>
      </c>
      <c r="H110" s="63">
        <v>0</v>
      </c>
      <c r="I110" s="63">
        <v>0</v>
      </c>
      <c r="J110" s="63">
        <v>0</v>
      </c>
      <c r="K110" s="76">
        <v>0</v>
      </c>
      <c r="L110" s="497">
        <f t="shared" ref="L110:L141" si="43">F110+G110+H110+I110+J110</f>
        <v>0</v>
      </c>
      <c r="M110" s="185" t="s">
        <v>385</v>
      </c>
      <c r="N110" s="476"/>
      <c r="O110" s="301"/>
      <c r="P110" s="116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68"/>
    </row>
    <row r="111" spans="1:58" s="51" customFormat="1" ht="27.75" customHeight="1">
      <c r="A111" s="155" t="s">
        <v>386</v>
      </c>
      <c r="B111" s="181" t="s">
        <v>387</v>
      </c>
      <c r="C111" s="1077"/>
      <c r="D111" s="62">
        <v>2024</v>
      </c>
      <c r="E111" s="63">
        <f t="shared" si="42"/>
        <v>1.5</v>
      </c>
      <c r="F111" s="63">
        <v>1.5</v>
      </c>
      <c r="G111" s="63">
        <v>0</v>
      </c>
      <c r="H111" s="63">
        <v>0</v>
      </c>
      <c r="I111" s="63">
        <v>0</v>
      </c>
      <c r="J111" s="63">
        <v>0</v>
      </c>
      <c r="K111" s="76">
        <v>0</v>
      </c>
      <c r="L111" s="497">
        <f t="shared" si="43"/>
        <v>1.5</v>
      </c>
      <c r="M111" s="185" t="s">
        <v>385</v>
      </c>
      <c r="N111" s="476"/>
      <c r="O111" s="301"/>
      <c r="P111" s="116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68"/>
    </row>
    <row r="112" spans="1:58" s="51" customFormat="1" ht="25.5">
      <c r="A112" s="155" t="s">
        <v>388</v>
      </c>
      <c r="B112" s="181" t="s">
        <v>389</v>
      </c>
      <c r="C112" s="1077" t="s">
        <v>368</v>
      </c>
      <c r="D112" s="62">
        <v>2028</v>
      </c>
      <c r="E112" s="63">
        <f t="shared" si="42"/>
        <v>2</v>
      </c>
      <c r="F112" s="63">
        <v>2</v>
      </c>
      <c r="G112" s="63">
        <v>0</v>
      </c>
      <c r="H112" s="63">
        <v>0</v>
      </c>
      <c r="I112" s="63">
        <v>0</v>
      </c>
      <c r="J112" s="63">
        <v>0</v>
      </c>
      <c r="K112" s="76">
        <v>0</v>
      </c>
      <c r="L112" s="497">
        <f t="shared" si="43"/>
        <v>2</v>
      </c>
      <c r="M112" s="185" t="s">
        <v>385</v>
      </c>
      <c r="N112" s="476"/>
      <c r="O112" s="301"/>
      <c r="P112" s="116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68"/>
    </row>
    <row r="113" spans="1:58" s="51" customFormat="1" ht="27" customHeight="1">
      <c r="A113" s="155" t="s">
        <v>390</v>
      </c>
      <c r="B113" s="181" t="s">
        <v>391</v>
      </c>
      <c r="C113" s="1077"/>
      <c r="D113" s="62">
        <v>2030</v>
      </c>
      <c r="E113" s="63">
        <f t="shared" si="42"/>
        <v>2</v>
      </c>
      <c r="F113" s="63">
        <v>2</v>
      </c>
      <c r="G113" s="63">
        <v>0</v>
      </c>
      <c r="H113" s="63">
        <v>0</v>
      </c>
      <c r="I113" s="63">
        <v>0</v>
      </c>
      <c r="J113" s="63">
        <v>0</v>
      </c>
      <c r="K113" s="76">
        <v>0</v>
      </c>
      <c r="L113" s="497">
        <f t="shared" si="43"/>
        <v>2</v>
      </c>
      <c r="M113" s="185" t="s">
        <v>385</v>
      </c>
      <c r="N113" s="476"/>
      <c r="O113" s="301"/>
      <c r="P113" s="116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68"/>
    </row>
    <row r="114" spans="1:58" s="51" customFormat="1" ht="12.75" customHeight="1">
      <c r="A114" s="795" t="s">
        <v>392</v>
      </c>
      <c r="B114" s="872" t="s">
        <v>393</v>
      </c>
      <c r="C114" s="915" t="s">
        <v>1102</v>
      </c>
      <c r="D114" s="84" t="s">
        <v>16</v>
      </c>
      <c r="E114" s="85">
        <f t="shared" ref="E114:J114" si="44">E115+E116+E117+E118</f>
        <v>1.2239</v>
      </c>
      <c r="F114" s="85">
        <f t="shared" si="44"/>
        <v>1.2239</v>
      </c>
      <c r="G114" s="85">
        <f t="shared" si="44"/>
        <v>0</v>
      </c>
      <c r="H114" s="85">
        <f t="shared" si="44"/>
        <v>0</v>
      </c>
      <c r="I114" s="85">
        <f t="shared" si="44"/>
        <v>0</v>
      </c>
      <c r="J114" s="85">
        <f t="shared" si="44"/>
        <v>0</v>
      </c>
      <c r="K114" s="76">
        <v>0</v>
      </c>
      <c r="L114" s="497">
        <f t="shared" si="43"/>
        <v>1.2239</v>
      </c>
      <c r="M114" s="185"/>
      <c r="N114" s="476"/>
      <c r="O114" s="301"/>
      <c r="P114" s="116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68"/>
    </row>
    <row r="115" spans="1:58" s="51" customFormat="1">
      <c r="A115" s="795"/>
      <c r="B115" s="872"/>
      <c r="C115" s="916"/>
      <c r="D115" s="84">
        <v>2021</v>
      </c>
      <c r="E115" s="63">
        <f t="shared" ref="E115:E126" si="45">F115+G115+H115+I115+J115</f>
        <v>8.09E-2</v>
      </c>
      <c r="F115" s="63">
        <f>F119</f>
        <v>8.09E-2</v>
      </c>
      <c r="G115" s="63">
        <v>0</v>
      </c>
      <c r="H115" s="63">
        <v>0</v>
      </c>
      <c r="I115" s="63">
        <v>0</v>
      </c>
      <c r="J115" s="63">
        <v>0</v>
      </c>
      <c r="K115" s="76">
        <v>0</v>
      </c>
      <c r="L115" s="497">
        <f t="shared" si="43"/>
        <v>8.09E-2</v>
      </c>
      <c r="M115" s="185"/>
      <c r="N115" s="476"/>
      <c r="O115" s="301"/>
      <c r="P115" s="116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68"/>
    </row>
    <row r="116" spans="1:58" s="51" customFormat="1" ht="32.25" customHeight="1">
      <c r="A116" s="795"/>
      <c r="B116" s="872"/>
      <c r="C116" s="916"/>
      <c r="D116" s="84">
        <v>2024</v>
      </c>
      <c r="E116" s="63">
        <f t="shared" si="45"/>
        <v>0.17299999999999999</v>
      </c>
      <c r="F116" s="63">
        <f>F120</f>
        <v>0.17299999999999999</v>
      </c>
      <c r="G116" s="63">
        <v>0</v>
      </c>
      <c r="H116" s="63">
        <v>0</v>
      </c>
      <c r="I116" s="63">
        <v>0</v>
      </c>
      <c r="J116" s="63">
        <v>0</v>
      </c>
      <c r="K116" s="76">
        <v>0</v>
      </c>
      <c r="L116" s="497">
        <f t="shared" si="43"/>
        <v>0.17299999999999999</v>
      </c>
      <c r="M116" s="185"/>
      <c r="N116" s="476"/>
      <c r="O116" s="301"/>
      <c r="P116" s="116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68"/>
    </row>
    <row r="117" spans="1:58" s="51" customFormat="1">
      <c r="A117" s="795"/>
      <c r="B117" s="872"/>
      <c r="C117" s="1104" t="s">
        <v>1102</v>
      </c>
      <c r="D117" s="84">
        <v>2026</v>
      </c>
      <c r="E117" s="63">
        <f t="shared" si="45"/>
        <v>0.45</v>
      </c>
      <c r="F117" s="63">
        <f>F121</f>
        <v>0.45</v>
      </c>
      <c r="G117" s="63">
        <v>0</v>
      </c>
      <c r="H117" s="63">
        <v>0</v>
      </c>
      <c r="I117" s="63">
        <v>0</v>
      </c>
      <c r="J117" s="63">
        <v>0</v>
      </c>
      <c r="K117" s="76">
        <v>0</v>
      </c>
      <c r="L117" s="497">
        <f t="shared" si="43"/>
        <v>0.45</v>
      </c>
      <c r="M117" s="185"/>
      <c r="N117" s="476"/>
      <c r="O117" s="301"/>
      <c r="P117" s="116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68"/>
    </row>
    <row r="118" spans="1:58" s="51" customFormat="1" ht="38.25" customHeight="1">
      <c r="A118" s="795"/>
      <c r="B118" s="872"/>
      <c r="C118" s="993"/>
      <c r="D118" s="84">
        <v>2027</v>
      </c>
      <c r="E118" s="63">
        <f t="shared" si="45"/>
        <v>0.52</v>
      </c>
      <c r="F118" s="63">
        <v>0.52</v>
      </c>
      <c r="G118" s="63">
        <v>0</v>
      </c>
      <c r="H118" s="63">
        <v>0</v>
      </c>
      <c r="I118" s="63">
        <v>0</v>
      </c>
      <c r="J118" s="63">
        <v>0</v>
      </c>
      <c r="K118" s="76">
        <v>0</v>
      </c>
      <c r="L118" s="497">
        <f t="shared" si="43"/>
        <v>0.52</v>
      </c>
      <c r="M118" s="185"/>
      <c r="N118" s="476"/>
      <c r="O118" s="301"/>
      <c r="P118" s="116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68"/>
    </row>
    <row r="119" spans="1:58" s="51" customFormat="1" ht="15.75" customHeight="1">
      <c r="A119" s="59" t="s">
        <v>395</v>
      </c>
      <c r="B119" s="60" t="s">
        <v>396</v>
      </c>
      <c r="C119" s="498"/>
      <c r="D119" s="62">
        <v>2021</v>
      </c>
      <c r="E119" s="63">
        <f t="shared" si="45"/>
        <v>8.09E-2</v>
      </c>
      <c r="F119" s="63">
        <v>8.09E-2</v>
      </c>
      <c r="G119" s="63">
        <v>0</v>
      </c>
      <c r="H119" s="63">
        <v>0</v>
      </c>
      <c r="I119" s="63">
        <v>0</v>
      </c>
      <c r="J119" s="63">
        <v>0</v>
      </c>
      <c r="K119" s="76">
        <v>0</v>
      </c>
      <c r="L119" s="497">
        <f t="shared" si="43"/>
        <v>8.09E-2</v>
      </c>
      <c r="M119" s="185"/>
      <c r="N119" s="476"/>
      <c r="O119" s="301"/>
      <c r="P119" s="116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68"/>
    </row>
    <row r="120" spans="1:58" s="51" customFormat="1" ht="15.75" customHeight="1">
      <c r="A120" s="59" t="s">
        <v>397</v>
      </c>
      <c r="B120" s="51" t="s">
        <v>398</v>
      </c>
      <c r="C120" s="498"/>
      <c r="D120" s="62">
        <v>2024</v>
      </c>
      <c r="E120" s="63">
        <f t="shared" si="45"/>
        <v>0.17299999999999999</v>
      </c>
      <c r="F120" s="63">
        <v>0.17299999999999999</v>
      </c>
      <c r="G120" s="63">
        <v>0</v>
      </c>
      <c r="H120" s="63">
        <v>0</v>
      </c>
      <c r="I120" s="63">
        <v>0</v>
      </c>
      <c r="J120" s="63">
        <v>0</v>
      </c>
      <c r="K120" s="76">
        <v>0</v>
      </c>
      <c r="L120" s="497">
        <f t="shared" si="43"/>
        <v>0.17299999999999999</v>
      </c>
      <c r="M120" s="185"/>
      <c r="N120" s="476"/>
      <c r="O120" s="301"/>
      <c r="P120" s="116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68"/>
    </row>
    <row r="121" spans="1:58" s="51" customFormat="1" ht="15.75" customHeight="1">
      <c r="A121" s="59" t="s">
        <v>399</v>
      </c>
      <c r="B121" s="51" t="s">
        <v>400</v>
      </c>
      <c r="C121" s="498"/>
      <c r="D121" s="62">
        <v>2026</v>
      </c>
      <c r="E121" s="63">
        <f t="shared" si="45"/>
        <v>0.45</v>
      </c>
      <c r="F121" s="63">
        <v>0.45</v>
      </c>
      <c r="G121" s="63">
        <v>0</v>
      </c>
      <c r="H121" s="63">
        <v>0</v>
      </c>
      <c r="I121" s="63">
        <v>0</v>
      </c>
      <c r="J121" s="63">
        <v>0</v>
      </c>
      <c r="K121" s="76">
        <v>0</v>
      </c>
      <c r="L121" s="497">
        <f t="shared" si="43"/>
        <v>0.45</v>
      </c>
      <c r="M121" s="185"/>
      <c r="N121" s="476"/>
      <c r="O121" s="301"/>
      <c r="P121" s="116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68"/>
    </row>
    <row r="122" spans="1:58" s="51" customFormat="1" ht="14.25" customHeight="1">
      <c r="A122" s="59" t="s">
        <v>401</v>
      </c>
      <c r="B122" s="51" t="s">
        <v>402</v>
      </c>
      <c r="C122" s="500"/>
      <c r="D122" s="62">
        <v>2027</v>
      </c>
      <c r="E122" s="63">
        <f t="shared" si="45"/>
        <v>0.52</v>
      </c>
      <c r="F122" s="63">
        <v>0.52</v>
      </c>
      <c r="G122" s="63">
        <v>0</v>
      </c>
      <c r="H122" s="63">
        <v>0</v>
      </c>
      <c r="I122" s="63">
        <v>0</v>
      </c>
      <c r="J122" s="63">
        <v>0</v>
      </c>
      <c r="K122" s="76">
        <v>0</v>
      </c>
      <c r="L122" s="497">
        <f t="shared" si="43"/>
        <v>0.52</v>
      </c>
      <c r="M122" s="185"/>
      <c r="N122" s="476"/>
      <c r="O122" s="301"/>
      <c r="P122" s="1176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68"/>
    </row>
    <row r="123" spans="1:58" s="51" customFormat="1">
      <c r="A123" s="794" t="s">
        <v>1103</v>
      </c>
      <c r="B123" s="881" t="s">
        <v>1104</v>
      </c>
      <c r="C123" s="1131" t="s">
        <v>1101</v>
      </c>
      <c r="D123" s="84" t="s">
        <v>16</v>
      </c>
      <c r="E123" s="63">
        <f t="shared" si="45"/>
        <v>15.75</v>
      </c>
      <c r="F123" s="85">
        <f>F124+F125+F126</f>
        <v>15.75</v>
      </c>
      <c r="G123" s="85">
        <f>G124+G125+G126</f>
        <v>0</v>
      </c>
      <c r="H123" s="85">
        <f>H124+H125+H126</f>
        <v>0</v>
      </c>
      <c r="I123" s="85">
        <f>I124+I125+I126</f>
        <v>0</v>
      </c>
      <c r="J123" s="85">
        <f>J124+J125+J126</f>
        <v>0</v>
      </c>
      <c r="K123" s="76">
        <v>0</v>
      </c>
      <c r="L123" s="497">
        <f t="shared" si="43"/>
        <v>15.75</v>
      </c>
      <c r="M123" s="399" t="s">
        <v>1105</v>
      </c>
      <c r="N123" s="476"/>
      <c r="O123" s="301"/>
      <c r="P123" s="1161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68"/>
    </row>
    <row r="124" spans="1:58" s="51" customFormat="1">
      <c r="A124" s="795"/>
      <c r="B124" s="882"/>
      <c r="C124" s="1132"/>
      <c r="D124" s="62">
        <v>2021</v>
      </c>
      <c r="E124" s="63">
        <f t="shared" si="45"/>
        <v>2.625</v>
      </c>
      <c r="F124" s="63">
        <v>2.625</v>
      </c>
      <c r="G124" s="63">
        <v>0</v>
      </c>
      <c r="H124" s="63">
        <v>0</v>
      </c>
      <c r="I124" s="63">
        <v>0</v>
      </c>
      <c r="J124" s="63">
        <v>0</v>
      </c>
      <c r="K124" s="76">
        <v>0</v>
      </c>
      <c r="L124" s="497">
        <f t="shared" si="43"/>
        <v>2.625</v>
      </c>
      <c r="M124" s="347"/>
      <c r="N124" s="476"/>
      <c r="O124" s="301"/>
      <c r="P124" s="1125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68"/>
    </row>
    <row r="125" spans="1:58" s="51" customFormat="1">
      <c r="A125" s="795"/>
      <c r="B125" s="882"/>
      <c r="C125" s="1132"/>
      <c r="D125" s="62">
        <v>2022</v>
      </c>
      <c r="E125" s="63">
        <f t="shared" si="45"/>
        <v>2.625</v>
      </c>
      <c r="F125" s="63">
        <v>2.625</v>
      </c>
      <c r="G125" s="63">
        <v>0</v>
      </c>
      <c r="H125" s="63">
        <v>0</v>
      </c>
      <c r="I125" s="63">
        <v>0</v>
      </c>
      <c r="J125" s="63">
        <v>0</v>
      </c>
      <c r="K125" s="76">
        <v>0</v>
      </c>
      <c r="L125" s="497">
        <f t="shared" si="43"/>
        <v>2.625</v>
      </c>
      <c r="M125" s="347"/>
      <c r="N125" s="476"/>
      <c r="O125" s="301"/>
      <c r="P125" s="1125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68"/>
    </row>
    <row r="126" spans="1:58" s="51" customFormat="1">
      <c r="A126" s="796"/>
      <c r="B126" s="964"/>
      <c r="C126" s="1133"/>
      <c r="D126" s="62">
        <v>2023</v>
      </c>
      <c r="E126" s="63">
        <f t="shared" si="45"/>
        <v>10.5</v>
      </c>
      <c r="F126" s="63">
        <v>10.5</v>
      </c>
      <c r="G126" s="63">
        <v>0</v>
      </c>
      <c r="H126" s="63">
        <v>0</v>
      </c>
      <c r="I126" s="63">
        <v>0</v>
      </c>
      <c r="J126" s="63">
        <v>0</v>
      </c>
      <c r="K126" s="76">
        <v>0</v>
      </c>
      <c r="L126" s="497">
        <f t="shared" si="43"/>
        <v>10.5</v>
      </c>
      <c r="M126" s="347"/>
      <c r="N126" s="476"/>
      <c r="O126" s="301"/>
      <c r="P126" s="1125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68"/>
    </row>
    <row r="127" spans="1:58" s="51" customFormat="1" ht="38.25">
      <c r="A127" s="794" t="s">
        <v>1106</v>
      </c>
      <c r="B127" s="75" t="s">
        <v>1107</v>
      </c>
      <c r="C127" s="1131" t="s">
        <v>1101</v>
      </c>
      <c r="D127" s="84" t="s">
        <v>16</v>
      </c>
      <c r="E127" s="63">
        <f t="shared" ref="E127:J127" si="46">E128+E129+E130</f>
        <v>0.89999999999999991</v>
      </c>
      <c r="F127" s="63">
        <f t="shared" si="46"/>
        <v>0.89999999999999991</v>
      </c>
      <c r="G127" s="63">
        <f t="shared" si="46"/>
        <v>0</v>
      </c>
      <c r="H127" s="63">
        <f t="shared" si="46"/>
        <v>0</v>
      </c>
      <c r="I127" s="63">
        <f t="shared" si="46"/>
        <v>0</v>
      </c>
      <c r="J127" s="63">
        <f t="shared" si="46"/>
        <v>0</v>
      </c>
      <c r="K127" s="76">
        <v>0</v>
      </c>
      <c r="L127" s="497">
        <f t="shared" si="43"/>
        <v>0.89999999999999991</v>
      </c>
      <c r="M127" s="502" t="s">
        <v>1108</v>
      </c>
      <c r="N127" s="476"/>
      <c r="O127" s="301"/>
      <c r="P127" s="1125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68"/>
    </row>
    <row r="128" spans="1:58" s="51" customFormat="1">
      <c r="A128" s="795"/>
      <c r="B128" s="503"/>
      <c r="C128" s="1132"/>
      <c r="D128" s="84">
        <v>2021</v>
      </c>
      <c r="E128" s="63">
        <f>F128</f>
        <v>0.3</v>
      </c>
      <c r="F128" s="63">
        <v>0.3</v>
      </c>
      <c r="G128" s="63">
        <v>0</v>
      </c>
      <c r="H128" s="63">
        <v>0</v>
      </c>
      <c r="I128" s="63">
        <v>0</v>
      </c>
      <c r="J128" s="63">
        <v>0</v>
      </c>
      <c r="K128" s="76">
        <v>0</v>
      </c>
      <c r="L128" s="497">
        <f t="shared" si="43"/>
        <v>0.3</v>
      </c>
      <c r="M128" s="185"/>
      <c r="N128" s="476"/>
      <c r="O128" s="301"/>
      <c r="P128" s="1125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68"/>
    </row>
    <row r="129" spans="1:58" s="51" customFormat="1">
      <c r="A129" s="795"/>
      <c r="B129" s="503"/>
      <c r="C129" s="1132"/>
      <c r="D129" s="84">
        <v>2022</v>
      </c>
      <c r="E129" s="63">
        <f>F129</f>
        <v>0.3</v>
      </c>
      <c r="F129" s="63">
        <v>0.3</v>
      </c>
      <c r="G129" s="63">
        <v>0</v>
      </c>
      <c r="H129" s="63">
        <v>0</v>
      </c>
      <c r="I129" s="63">
        <v>0</v>
      </c>
      <c r="J129" s="63">
        <v>0</v>
      </c>
      <c r="K129" s="76">
        <v>0</v>
      </c>
      <c r="L129" s="497">
        <f t="shared" si="43"/>
        <v>0.3</v>
      </c>
      <c r="M129" s="185"/>
      <c r="N129" s="476"/>
      <c r="O129" s="301"/>
      <c r="P129" s="1125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68"/>
    </row>
    <row r="130" spans="1:58" s="51" customFormat="1">
      <c r="A130" s="796"/>
      <c r="B130" s="503"/>
      <c r="C130" s="1132"/>
      <c r="D130" s="84">
        <v>2023</v>
      </c>
      <c r="E130" s="63">
        <f>F130</f>
        <v>0.3</v>
      </c>
      <c r="F130" s="63">
        <v>0.3</v>
      </c>
      <c r="G130" s="63">
        <v>0</v>
      </c>
      <c r="H130" s="63">
        <v>0</v>
      </c>
      <c r="I130" s="63">
        <v>0</v>
      </c>
      <c r="J130" s="63">
        <v>0</v>
      </c>
      <c r="K130" s="76">
        <v>0</v>
      </c>
      <c r="L130" s="497">
        <f t="shared" si="43"/>
        <v>0.3</v>
      </c>
      <c r="M130" s="185"/>
      <c r="N130" s="476"/>
      <c r="O130" s="301"/>
      <c r="P130" s="1103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68"/>
    </row>
    <row r="131" spans="1:58" s="51" customFormat="1" ht="12.75" customHeight="1">
      <c r="A131" s="794" t="s">
        <v>1109</v>
      </c>
      <c r="B131" s="867" t="s">
        <v>404</v>
      </c>
      <c r="C131" s="464"/>
      <c r="D131" s="84" t="s">
        <v>16</v>
      </c>
      <c r="E131" s="85">
        <f t="shared" ref="E131:J131" si="47">E133+E134+E135+E136+E137+E138+E132</f>
        <v>270.45219999999995</v>
      </c>
      <c r="F131" s="85">
        <f t="shared" si="47"/>
        <v>55.694199999999995</v>
      </c>
      <c r="G131" s="85">
        <f t="shared" si="47"/>
        <v>0</v>
      </c>
      <c r="H131" s="85">
        <f t="shared" si="47"/>
        <v>214.75799999999998</v>
      </c>
      <c r="I131" s="85">
        <f t="shared" si="47"/>
        <v>0</v>
      </c>
      <c r="J131" s="85">
        <f t="shared" si="47"/>
        <v>0</v>
      </c>
      <c r="K131" s="76">
        <v>0</v>
      </c>
      <c r="L131" s="497">
        <f t="shared" si="43"/>
        <v>270.45219999999995</v>
      </c>
      <c r="M131" s="185"/>
      <c r="N131" s="476"/>
      <c r="O131" s="301"/>
      <c r="P131" s="1020" t="s">
        <v>405</v>
      </c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68"/>
    </row>
    <row r="132" spans="1:58" s="51" customFormat="1" ht="24.75" customHeight="1">
      <c r="A132" s="795"/>
      <c r="B132" s="872"/>
      <c r="C132" s="470" t="s">
        <v>372</v>
      </c>
      <c r="D132" s="62">
        <v>2019</v>
      </c>
      <c r="E132" s="63">
        <f t="shared" ref="E132:J135" si="48">E152</f>
        <v>12.5</v>
      </c>
      <c r="F132" s="63">
        <f t="shared" si="48"/>
        <v>12.5</v>
      </c>
      <c r="G132" s="63">
        <f t="shared" si="48"/>
        <v>0</v>
      </c>
      <c r="H132" s="63">
        <f t="shared" si="48"/>
        <v>0</v>
      </c>
      <c r="I132" s="63">
        <f t="shared" si="48"/>
        <v>0</v>
      </c>
      <c r="J132" s="63">
        <f t="shared" si="48"/>
        <v>0</v>
      </c>
      <c r="K132" s="76">
        <v>0</v>
      </c>
      <c r="L132" s="497">
        <f t="shared" si="43"/>
        <v>12.5</v>
      </c>
      <c r="M132" s="185"/>
      <c r="N132" s="476"/>
      <c r="O132" s="301"/>
      <c r="P132" s="1021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68"/>
    </row>
    <row r="133" spans="1:58" s="51" customFormat="1" ht="12.75" customHeight="1">
      <c r="A133" s="795"/>
      <c r="B133" s="872"/>
      <c r="C133" s="881" t="s">
        <v>1101</v>
      </c>
      <c r="D133" s="62">
        <v>2020</v>
      </c>
      <c r="E133" s="63">
        <f t="shared" si="48"/>
        <v>2.9849999999999999</v>
      </c>
      <c r="F133" s="63">
        <f t="shared" si="48"/>
        <v>2.9849999999999999</v>
      </c>
      <c r="G133" s="63">
        <f t="shared" si="48"/>
        <v>0</v>
      </c>
      <c r="H133" s="63">
        <f t="shared" si="48"/>
        <v>0</v>
      </c>
      <c r="I133" s="63">
        <f t="shared" si="48"/>
        <v>0</v>
      </c>
      <c r="J133" s="63">
        <f t="shared" si="48"/>
        <v>0</v>
      </c>
      <c r="K133" s="76">
        <v>0</v>
      </c>
      <c r="L133" s="497">
        <f t="shared" si="43"/>
        <v>2.9849999999999999</v>
      </c>
      <c r="M133" s="185"/>
      <c r="N133" s="476"/>
      <c r="O133" s="301"/>
      <c r="P133" s="1021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68"/>
    </row>
    <row r="134" spans="1:58" s="51" customFormat="1">
      <c r="A134" s="795"/>
      <c r="B134" s="868"/>
      <c r="C134" s="882"/>
      <c r="D134" s="62">
        <v>2021</v>
      </c>
      <c r="E134" s="63">
        <f t="shared" si="48"/>
        <v>8.9672000000000001</v>
      </c>
      <c r="F134" s="63">
        <f t="shared" si="48"/>
        <v>8.9672000000000001</v>
      </c>
      <c r="G134" s="63">
        <f t="shared" si="48"/>
        <v>0</v>
      </c>
      <c r="H134" s="63">
        <f t="shared" si="48"/>
        <v>0</v>
      </c>
      <c r="I134" s="63">
        <f t="shared" si="48"/>
        <v>0</v>
      </c>
      <c r="J134" s="63">
        <f t="shared" si="48"/>
        <v>0</v>
      </c>
      <c r="K134" s="76">
        <v>0</v>
      </c>
      <c r="L134" s="497">
        <f t="shared" si="43"/>
        <v>8.9672000000000001</v>
      </c>
      <c r="M134" s="185"/>
      <c r="N134" s="476"/>
      <c r="O134" s="301"/>
      <c r="P134" s="1021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68"/>
    </row>
    <row r="135" spans="1:58" s="51" customFormat="1">
      <c r="A135" s="795"/>
      <c r="B135" s="868"/>
      <c r="C135" s="882"/>
      <c r="D135" s="62">
        <v>2022</v>
      </c>
      <c r="E135" s="63">
        <f t="shared" si="48"/>
        <v>0</v>
      </c>
      <c r="F135" s="63">
        <f t="shared" si="48"/>
        <v>0</v>
      </c>
      <c r="G135" s="63">
        <f t="shared" si="48"/>
        <v>0</v>
      </c>
      <c r="H135" s="63">
        <f t="shared" si="48"/>
        <v>0</v>
      </c>
      <c r="I135" s="63">
        <f t="shared" si="48"/>
        <v>0</v>
      </c>
      <c r="J135" s="63">
        <f t="shared" si="48"/>
        <v>0</v>
      </c>
      <c r="K135" s="76">
        <v>0</v>
      </c>
      <c r="L135" s="497">
        <f t="shared" si="43"/>
        <v>0</v>
      </c>
      <c r="M135" s="185"/>
      <c r="N135" s="476"/>
      <c r="O135" s="301"/>
      <c r="P135" s="1021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68"/>
    </row>
    <row r="136" spans="1:58" s="51" customFormat="1">
      <c r="A136" s="795"/>
      <c r="B136" s="868"/>
      <c r="C136" s="881" t="s">
        <v>407</v>
      </c>
      <c r="D136" s="62">
        <v>2026</v>
      </c>
      <c r="E136" s="63">
        <f t="shared" ref="E136:I138" si="49">E140+E144+E148</f>
        <v>24.599999999999998</v>
      </c>
      <c r="F136" s="63">
        <f t="shared" si="49"/>
        <v>24.599999999999998</v>
      </c>
      <c r="G136" s="63">
        <f t="shared" si="49"/>
        <v>0</v>
      </c>
      <c r="H136" s="63">
        <f t="shared" si="49"/>
        <v>0</v>
      </c>
      <c r="I136" s="63">
        <f t="shared" si="49"/>
        <v>0</v>
      </c>
      <c r="J136" s="63">
        <f>J146</f>
        <v>0</v>
      </c>
      <c r="K136" s="76">
        <v>0</v>
      </c>
      <c r="L136" s="497">
        <f t="shared" si="43"/>
        <v>24.599999999999998</v>
      </c>
      <c r="M136" s="185"/>
      <c r="N136" s="476"/>
      <c r="O136" s="301"/>
      <c r="P136" s="1021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68"/>
    </row>
    <row r="137" spans="1:58" s="51" customFormat="1">
      <c r="A137" s="151"/>
      <c r="B137" s="94"/>
      <c r="C137" s="882"/>
      <c r="D137" s="62">
        <v>2027</v>
      </c>
      <c r="E137" s="63">
        <f t="shared" si="49"/>
        <v>110.69999999999999</v>
      </c>
      <c r="F137" s="63">
        <f t="shared" si="49"/>
        <v>3.3209999999999997</v>
      </c>
      <c r="G137" s="63">
        <f t="shared" si="49"/>
        <v>0</v>
      </c>
      <c r="H137" s="63">
        <f t="shared" si="49"/>
        <v>107.37899999999999</v>
      </c>
      <c r="I137" s="63">
        <f t="shared" si="49"/>
        <v>0</v>
      </c>
      <c r="J137" s="63">
        <f>J141+J145+J149</f>
        <v>0</v>
      </c>
      <c r="K137" s="76">
        <v>0</v>
      </c>
      <c r="L137" s="497">
        <f t="shared" si="43"/>
        <v>110.69999999999999</v>
      </c>
      <c r="M137" s="191"/>
      <c r="N137" s="476"/>
      <c r="O137" s="305"/>
      <c r="P137" s="1021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68"/>
    </row>
    <row r="138" spans="1:58" s="51" customFormat="1">
      <c r="A138" s="151"/>
      <c r="B138" s="94"/>
      <c r="C138" s="964"/>
      <c r="D138" s="62">
        <v>2028</v>
      </c>
      <c r="E138" s="63">
        <f t="shared" si="49"/>
        <v>110.69999999999999</v>
      </c>
      <c r="F138" s="63">
        <f t="shared" si="49"/>
        <v>3.3209999999999997</v>
      </c>
      <c r="G138" s="63">
        <f t="shared" si="49"/>
        <v>0</v>
      </c>
      <c r="H138" s="63">
        <f t="shared" si="49"/>
        <v>107.37899999999999</v>
      </c>
      <c r="I138" s="63">
        <f t="shared" si="49"/>
        <v>0</v>
      </c>
      <c r="J138" s="63">
        <f>J142+J146+J150</f>
        <v>0</v>
      </c>
      <c r="K138" s="76">
        <v>0</v>
      </c>
      <c r="L138" s="497">
        <f t="shared" si="43"/>
        <v>110.69999999999999</v>
      </c>
      <c r="M138" s="191"/>
      <c r="N138" s="476"/>
      <c r="O138" s="305"/>
      <c r="P138" s="1021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68"/>
    </row>
    <row r="139" spans="1:58" s="51" customFormat="1">
      <c r="A139" s="794" t="s">
        <v>1110</v>
      </c>
      <c r="B139" s="838" t="s">
        <v>409</v>
      </c>
      <c r="C139" s="1019" t="s">
        <v>406</v>
      </c>
      <c r="D139" s="84" t="s">
        <v>16</v>
      </c>
      <c r="E139" s="85">
        <f t="shared" ref="E139:J139" si="50">E140+E141+E142</f>
        <v>82</v>
      </c>
      <c r="F139" s="85">
        <f t="shared" si="50"/>
        <v>10.413999999999998</v>
      </c>
      <c r="G139" s="85">
        <f t="shared" si="50"/>
        <v>0</v>
      </c>
      <c r="H139" s="85">
        <f t="shared" si="50"/>
        <v>71.585999999999999</v>
      </c>
      <c r="I139" s="85">
        <f t="shared" si="50"/>
        <v>0</v>
      </c>
      <c r="J139" s="85">
        <f t="shared" si="50"/>
        <v>0</v>
      </c>
      <c r="K139" s="76">
        <v>0</v>
      </c>
      <c r="L139" s="497">
        <f t="shared" si="43"/>
        <v>82</v>
      </c>
      <c r="M139" s="995" t="s">
        <v>410</v>
      </c>
      <c r="N139" s="476"/>
      <c r="O139" s="962">
        <v>10</v>
      </c>
      <c r="P139" s="1021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68"/>
    </row>
    <row r="140" spans="1:58" s="51" customFormat="1">
      <c r="A140" s="795"/>
      <c r="B140" s="889"/>
      <c r="C140" s="1019"/>
      <c r="D140" s="62">
        <v>2026</v>
      </c>
      <c r="E140" s="63">
        <f>F140+G140+H140+I140+J140+M140</f>
        <v>8.1999999999999993</v>
      </c>
      <c r="F140" s="63">
        <v>8.1999999999999993</v>
      </c>
      <c r="G140" s="63">
        <v>0</v>
      </c>
      <c r="H140" s="63">
        <v>0</v>
      </c>
      <c r="I140" s="63">
        <v>0</v>
      </c>
      <c r="J140" s="63">
        <v>0</v>
      </c>
      <c r="K140" s="76">
        <v>0</v>
      </c>
      <c r="L140" s="497">
        <f t="shared" si="43"/>
        <v>8.1999999999999993</v>
      </c>
      <c r="M140" s="893"/>
      <c r="N140" s="476"/>
      <c r="O140" s="963"/>
      <c r="P140" s="1021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68"/>
    </row>
    <row r="141" spans="1:58" s="51" customFormat="1">
      <c r="A141" s="795"/>
      <c r="B141" s="889"/>
      <c r="C141" s="1019"/>
      <c r="D141" s="62">
        <v>2027</v>
      </c>
      <c r="E141" s="63">
        <f>F141+G141+H141+I141+J141+M141</f>
        <v>36.9</v>
      </c>
      <c r="F141" s="63">
        <v>1.107</v>
      </c>
      <c r="G141" s="63">
        <v>0</v>
      </c>
      <c r="H141" s="63">
        <v>35.792999999999999</v>
      </c>
      <c r="I141" s="63">
        <v>0</v>
      </c>
      <c r="J141" s="63"/>
      <c r="K141" s="76">
        <v>0</v>
      </c>
      <c r="L141" s="497">
        <f t="shared" si="43"/>
        <v>36.9</v>
      </c>
      <c r="M141" s="199"/>
      <c r="N141" s="476"/>
      <c r="O141" s="291"/>
      <c r="P141" s="1021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68"/>
    </row>
    <row r="142" spans="1:58" s="51" customFormat="1">
      <c r="A142" s="1127"/>
      <c r="B142" s="890"/>
      <c r="C142" s="1019"/>
      <c r="D142" s="62">
        <v>2028</v>
      </c>
      <c r="E142" s="63">
        <f>F142+G142+H142+I142+J142+M142</f>
        <v>36.9</v>
      </c>
      <c r="F142" s="63">
        <v>1.107</v>
      </c>
      <c r="G142" s="63">
        <v>0</v>
      </c>
      <c r="H142" s="63">
        <v>35.792999999999999</v>
      </c>
      <c r="I142" s="63">
        <v>0</v>
      </c>
      <c r="J142" s="63">
        <v>0</v>
      </c>
      <c r="K142" s="76">
        <v>0</v>
      </c>
      <c r="L142" s="497">
        <f t="shared" ref="L142:L158" si="51">F142+G142+H142+I142+J142</f>
        <v>36.9</v>
      </c>
      <c r="M142" s="199"/>
      <c r="N142" s="476"/>
      <c r="O142" s="291"/>
      <c r="P142" s="1021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68"/>
    </row>
    <row r="143" spans="1:58" s="51" customFormat="1">
      <c r="A143" s="794" t="s">
        <v>1111</v>
      </c>
      <c r="B143" s="838" t="s">
        <v>412</v>
      </c>
      <c r="C143" s="881" t="s">
        <v>407</v>
      </c>
      <c r="D143" s="84" t="s">
        <v>16</v>
      </c>
      <c r="E143" s="85">
        <f t="shared" ref="E143:J143" si="52">E144+E145+E146</f>
        <v>82</v>
      </c>
      <c r="F143" s="85">
        <f t="shared" si="52"/>
        <v>10.413999999999998</v>
      </c>
      <c r="G143" s="85">
        <f t="shared" si="52"/>
        <v>0</v>
      </c>
      <c r="H143" s="85">
        <f t="shared" si="52"/>
        <v>71.585999999999999</v>
      </c>
      <c r="I143" s="85">
        <f t="shared" si="52"/>
        <v>0</v>
      </c>
      <c r="J143" s="85">
        <f t="shared" si="52"/>
        <v>0</v>
      </c>
      <c r="K143" s="76">
        <v>0</v>
      </c>
      <c r="L143" s="497">
        <f t="shared" si="51"/>
        <v>82</v>
      </c>
      <c r="M143" s="995" t="s">
        <v>410</v>
      </c>
      <c r="N143" s="476"/>
      <c r="O143" s="962"/>
      <c r="P143" s="1021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68"/>
    </row>
    <row r="144" spans="1:58" s="51" customFormat="1">
      <c r="A144" s="795"/>
      <c r="B144" s="839"/>
      <c r="C144" s="882"/>
      <c r="D144" s="62">
        <v>2026</v>
      </c>
      <c r="E144" s="63">
        <f>F144+G144+H144+I144+J144+M144</f>
        <v>8.1999999999999993</v>
      </c>
      <c r="F144" s="63">
        <v>8.1999999999999993</v>
      </c>
      <c r="G144" s="63">
        <v>0</v>
      </c>
      <c r="H144" s="63">
        <v>0</v>
      </c>
      <c r="I144" s="63">
        <v>0</v>
      </c>
      <c r="J144" s="63">
        <v>0</v>
      </c>
      <c r="K144" s="76">
        <v>0</v>
      </c>
      <c r="L144" s="497">
        <f t="shared" si="51"/>
        <v>8.1999999999999993</v>
      </c>
      <c r="M144" s="894"/>
      <c r="N144" s="476"/>
      <c r="O144" s="971"/>
      <c r="P144" s="1021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68"/>
    </row>
    <row r="145" spans="1:58" s="51" customFormat="1">
      <c r="A145" s="795"/>
      <c r="B145" s="839"/>
      <c r="C145" s="882"/>
      <c r="D145" s="62">
        <v>2027</v>
      </c>
      <c r="E145" s="63">
        <f>F145+G145+H145+I145+J145+M145</f>
        <v>36.9</v>
      </c>
      <c r="F145" s="63">
        <v>1.107</v>
      </c>
      <c r="G145" s="63">
        <v>0</v>
      </c>
      <c r="H145" s="63">
        <v>35.792999999999999</v>
      </c>
      <c r="I145" s="63">
        <v>0</v>
      </c>
      <c r="J145" s="63">
        <v>0</v>
      </c>
      <c r="K145" s="76">
        <v>0</v>
      </c>
      <c r="L145" s="497">
        <f t="shared" si="51"/>
        <v>36.9</v>
      </c>
      <c r="M145" s="894"/>
      <c r="N145" s="476"/>
      <c r="O145" s="971"/>
      <c r="P145" s="1021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68"/>
    </row>
    <row r="146" spans="1:58" s="51" customFormat="1" ht="21.75" customHeight="1">
      <c r="A146" s="796"/>
      <c r="B146" s="854"/>
      <c r="C146" s="964"/>
      <c r="D146" s="62">
        <v>2028</v>
      </c>
      <c r="E146" s="63">
        <f>F146+G146+H146+I146+J146+M146</f>
        <v>36.9</v>
      </c>
      <c r="F146" s="63">
        <v>1.107</v>
      </c>
      <c r="G146" s="63">
        <v>0</v>
      </c>
      <c r="H146" s="63">
        <v>35.792999999999999</v>
      </c>
      <c r="I146" s="63">
        <v>0</v>
      </c>
      <c r="J146" s="63">
        <v>0</v>
      </c>
      <c r="K146" s="76">
        <v>0</v>
      </c>
      <c r="L146" s="497">
        <f t="shared" si="51"/>
        <v>36.9</v>
      </c>
      <c r="M146" s="893"/>
      <c r="N146" s="476"/>
      <c r="O146" s="963"/>
      <c r="P146" s="1021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68"/>
    </row>
    <row r="147" spans="1:58" s="51" customFormat="1">
      <c r="A147" s="794" t="s">
        <v>1112</v>
      </c>
      <c r="B147" s="838" t="s">
        <v>414</v>
      </c>
      <c r="C147" s="881" t="s">
        <v>407</v>
      </c>
      <c r="D147" s="84" t="s">
        <v>16</v>
      </c>
      <c r="E147" s="85">
        <f t="shared" ref="E147:J147" si="53">E148+E149+E150</f>
        <v>82</v>
      </c>
      <c r="F147" s="85">
        <f t="shared" si="53"/>
        <v>10.413999999999998</v>
      </c>
      <c r="G147" s="85">
        <f t="shared" si="53"/>
        <v>0</v>
      </c>
      <c r="H147" s="85">
        <f t="shared" si="53"/>
        <v>71.585999999999999</v>
      </c>
      <c r="I147" s="85">
        <f t="shared" si="53"/>
        <v>0</v>
      </c>
      <c r="J147" s="85">
        <f t="shared" si="53"/>
        <v>0</v>
      </c>
      <c r="K147" s="76">
        <v>0</v>
      </c>
      <c r="L147" s="497">
        <f t="shared" si="51"/>
        <v>82</v>
      </c>
      <c r="M147" s="995" t="s">
        <v>410</v>
      </c>
      <c r="N147" s="476"/>
      <c r="O147" s="301"/>
      <c r="P147" s="38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68"/>
    </row>
    <row r="148" spans="1:58" s="51" customFormat="1">
      <c r="A148" s="795"/>
      <c r="B148" s="839"/>
      <c r="C148" s="882"/>
      <c r="D148" s="62">
        <v>2026</v>
      </c>
      <c r="E148" s="63">
        <f>F148+G148+H148+I148+J148+M148</f>
        <v>8.1999999999999993</v>
      </c>
      <c r="F148" s="63">
        <v>8.1999999999999993</v>
      </c>
      <c r="G148" s="63">
        <v>0</v>
      </c>
      <c r="H148" s="63">
        <v>0</v>
      </c>
      <c r="I148" s="63">
        <v>0</v>
      </c>
      <c r="J148" s="63">
        <v>0</v>
      </c>
      <c r="K148" s="76">
        <v>0</v>
      </c>
      <c r="L148" s="497">
        <f t="shared" si="51"/>
        <v>8.1999999999999993</v>
      </c>
      <c r="M148" s="894"/>
      <c r="N148" s="476"/>
      <c r="O148" s="301"/>
      <c r="P148" s="38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68"/>
    </row>
    <row r="149" spans="1:58" s="51" customFormat="1">
      <c r="A149" s="795"/>
      <c r="B149" s="839"/>
      <c r="C149" s="882"/>
      <c r="D149" s="62">
        <v>2027</v>
      </c>
      <c r="E149" s="63">
        <f>F149+G149+H149+I149+J149+M149</f>
        <v>36.9</v>
      </c>
      <c r="F149" s="63">
        <v>1.107</v>
      </c>
      <c r="G149" s="63">
        <v>0</v>
      </c>
      <c r="H149" s="63">
        <v>35.792999999999999</v>
      </c>
      <c r="I149" s="63">
        <v>0</v>
      </c>
      <c r="J149" s="63">
        <v>0</v>
      </c>
      <c r="K149" s="76">
        <v>0</v>
      </c>
      <c r="L149" s="497">
        <f t="shared" si="51"/>
        <v>36.9</v>
      </c>
      <c r="M149" s="894"/>
      <c r="N149" s="476"/>
      <c r="O149" s="301"/>
      <c r="P149" s="38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68"/>
    </row>
    <row r="150" spans="1:58" s="51" customFormat="1">
      <c r="A150" s="795"/>
      <c r="B150" s="839"/>
      <c r="C150" s="964"/>
      <c r="D150" s="62">
        <v>2028</v>
      </c>
      <c r="E150" s="63">
        <f>F150+G150+H150+I150+J150+M150</f>
        <v>36.9</v>
      </c>
      <c r="F150" s="63">
        <v>1.107</v>
      </c>
      <c r="G150" s="63">
        <v>0</v>
      </c>
      <c r="H150" s="63">
        <v>35.792999999999999</v>
      </c>
      <c r="I150" s="63">
        <v>0</v>
      </c>
      <c r="J150" s="63">
        <v>0</v>
      </c>
      <c r="K150" s="76">
        <v>0</v>
      </c>
      <c r="L150" s="497">
        <f t="shared" si="51"/>
        <v>36.9</v>
      </c>
      <c r="M150" s="894"/>
      <c r="N150" s="476"/>
      <c r="O150" s="301"/>
      <c r="P150" s="38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68"/>
    </row>
    <row r="151" spans="1:58" s="51" customFormat="1">
      <c r="A151" s="794" t="s">
        <v>1113</v>
      </c>
      <c r="B151" s="838" t="s">
        <v>416</v>
      </c>
      <c r="C151" s="479"/>
      <c r="D151" s="84" t="s">
        <v>16</v>
      </c>
      <c r="E151" s="85">
        <f>E153+E154+E155+E152</f>
        <v>24.452199999999998</v>
      </c>
      <c r="F151" s="85">
        <f>F153+F154+F155+F152</f>
        <v>24.452199999999998</v>
      </c>
      <c r="G151" s="85">
        <f>G153+G154+G155+G152</f>
        <v>0</v>
      </c>
      <c r="H151" s="85">
        <f>H153+H154+H155+H152</f>
        <v>0</v>
      </c>
      <c r="I151" s="85">
        <f>I153+I154+I155</f>
        <v>0</v>
      </c>
      <c r="J151" s="85">
        <f>J153+J154+J155</f>
        <v>0</v>
      </c>
      <c r="K151" s="76">
        <v>0</v>
      </c>
      <c r="L151" s="497">
        <f t="shared" si="51"/>
        <v>24.452199999999998</v>
      </c>
      <c r="M151" s="1031" t="s">
        <v>410</v>
      </c>
      <c r="N151" s="476"/>
      <c r="O151" s="962">
        <v>10</v>
      </c>
      <c r="P151" s="1021" t="s">
        <v>405</v>
      </c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68"/>
    </row>
    <row r="152" spans="1:58" s="51" customFormat="1" ht="33.75" customHeight="1">
      <c r="A152" s="795"/>
      <c r="B152" s="839"/>
      <c r="C152" s="358" t="s">
        <v>372</v>
      </c>
      <c r="D152" s="62">
        <v>2019</v>
      </c>
      <c r="E152" s="63">
        <f>F152</f>
        <v>12.5</v>
      </c>
      <c r="F152" s="63">
        <v>12.5</v>
      </c>
      <c r="G152" s="63">
        <v>0</v>
      </c>
      <c r="H152" s="63">
        <v>0</v>
      </c>
      <c r="I152" s="63">
        <v>0</v>
      </c>
      <c r="J152" s="63">
        <v>0</v>
      </c>
      <c r="K152" s="76">
        <v>0</v>
      </c>
      <c r="L152" s="497">
        <f t="shared" si="51"/>
        <v>12.5</v>
      </c>
      <c r="M152" s="1032"/>
      <c r="N152" s="476"/>
      <c r="O152" s="971"/>
      <c r="P152" s="1021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68"/>
    </row>
    <row r="153" spans="1:58" s="51" customFormat="1">
      <c r="A153" s="795"/>
      <c r="B153" s="839"/>
      <c r="C153" s="1019" t="s">
        <v>1101</v>
      </c>
      <c r="D153" s="62">
        <v>2020</v>
      </c>
      <c r="E153" s="63">
        <f>F153+G153+H153+I153+J153</f>
        <v>2.9849999999999999</v>
      </c>
      <c r="F153" s="63">
        <v>2.9849999999999999</v>
      </c>
      <c r="G153" s="63">
        <v>0</v>
      </c>
      <c r="H153" s="63">
        <v>0</v>
      </c>
      <c r="I153" s="63">
        <v>0</v>
      </c>
      <c r="J153" s="63">
        <v>0</v>
      </c>
      <c r="K153" s="76">
        <v>0</v>
      </c>
      <c r="L153" s="497">
        <f t="shared" si="51"/>
        <v>2.9849999999999999</v>
      </c>
      <c r="M153" s="1032"/>
      <c r="N153" s="476"/>
      <c r="O153" s="971"/>
      <c r="P153" s="1021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68"/>
    </row>
    <row r="154" spans="1:58" s="51" customFormat="1">
      <c r="A154" s="795"/>
      <c r="B154" s="839"/>
      <c r="C154" s="1019"/>
      <c r="D154" s="429">
        <v>2021</v>
      </c>
      <c r="E154" s="504">
        <f>F154+G154+H154+I154+J154</f>
        <v>8.9672000000000001</v>
      </c>
      <c r="F154" s="504">
        <v>8.9672000000000001</v>
      </c>
      <c r="G154" s="504">
        <v>0</v>
      </c>
      <c r="H154" s="504">
        <v>0</v>
      </c>
      <c r="I154" s="63">
        <v>0</v>
      </c>
      <c r="J154" s="63">
        <v>0</v>
      </c>
      <c r="K154" s="76">
        <v>0</v>
      </c>
      <c r="L154" s="497">
        <f t="shared" si="51"/>
        <v>8.9672000000000001</v>
      </c>
      <c r="M154" s="1032"/>
      <c r="N154" s="476"/>
      <c r="O154" s="971"/>
      <c r="P154" s="1021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68"/>
    </row>
    <row r="155" spans="1:58" s="51" customFormat="1">
      <c r="A155" s="795"/>
      <c r="B155" s="854"/>
      <c r="C155" s="1019"/>
      <c r="D155" s="429">
        <v>2022</v>
      </c>
      <c r="E155" s="504">
        <f>F155+G155+H155+I155+J155</f>
        <v>0</v>
      </c>
      <c r="F155" s="504">
        <v>0</v>
      </c>
      <c r="G155" s="504">
        <v>0</v>
      </c>
      <c r="H155" s="504">
        <v>0</v>
      </c>
      <c r="I155" s="63">
        <v>0</v>
      </c>
      <c r="J155" s="63">
        <v>0</v>
      </c>
      <c r="K155" s="76">
        <v>0</v>
      </c>
      <c r="L155" s="497">
        <f t="shared" si="51"/>
        <v>0</v>
      </c>
      <c r="M155" s="944"/>
      <c r="N155" s="476"/>
      <c r="O155" s="971"/>
      <c r="P155" s="1021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68"/>
    </row>
    <row r="156" spans="1:58" s="51" customFormat="1">
      <c r="A156" s="794" t="s">
        <v>1114</v>
      </c>
      <c r="B156" s="1214" t="s">
        <v>1115</v>
      </c>
      <c r="C156" s="1019" t="s">
        <v>372</v>
      </c>
      <c r="D156" s="84" t="s">
        <v>16</v>
      </c>
      <c r="E156" s="480">
        <f>E157+E158</f>
        <v>60.020299999999999</v>
      </c>
      <c r="F156" s="480">
        <f>F157+F158</f>
        <v>3.5537000000000001</v>
      </c>
      <c r="G156" s="480">
        <f>G157+G158</f>
        <v>54.491300000000003</v>
      </c>
      <c r="H156" s="480">
        <f>H157+H158</f>
        <v>1.9753000000000001</v>
      </c>
      <c r="I156" s="85">
        <f>I157+I160+I158</f>
        <v>0</v>
      </c>
      <c r="J156" s="85">
        <f>J157+J160+J158</f>
        <v>0</v>
      </c>
      <c r="K156" s="76">
        <v>0</v>
      </c>
      <c r="L156" s="497">
        <f t="shared" si="51"/>
        <v>60.020299999999999</v>
      </c>
      <c r="M156" s="965" t="s">
        <v>419</v>
      </c>
      <c r="N156" s="476"/>
      <c r="O156" s="962">
        <v>20</v>
      </c>
      <c r="P156" s="1021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68"/>
    </row>
    <row r="157" spans="1:58" s="51" customFormat="1" ht="24" customHeight="1">
      <c r="A157" s="795"/>
      <c r="B157" s="934"/>
      <c r="C157" s="1019"/>
      <c r="D157" s="62">
        <v>2019</v>
      </c>
      <c r="E157" s="63">
        <f>F157+G157+H157+I157+J157</f>
        <v>3.2585000000000002</v>
      </c>
      <c r="F157" s="63">
        <v>3.2585000000000002</v>
      </c>
      <c r="G157" s="63">
        <v>0</v>
      </c>
      <c r="H157" s="63">
        <v>0</v>
      </c>
      <c r="I157" s="63">
        <v>0</v>
      </c>
      <c r="J157" s="63">
        <v>0</v>
      </c>
      <c r="K157" s="76">
        <v>0</v>
      </c>
      <c r="L157" s="497">
        <f t="shared" si="51"/>
        <v>3.2585000000000002</v>
      </c>
      <c r="M157" s="1141"/>
      <c r="N157" s="476"/>
      <c r="O157" s="971"/>
      <c r="P157" s="1021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68"/>
    </row>
    <row r="158" spans="1:58" s="51" customFormat="1">
      <c r="A158" s="796"/>
      <c r="B158" s="934"/>
      <c r="C158" s="1019"/>
      <c r="D158" s="62">
        <v>2020</v>
      </c>
      <c r="E158" s="63">
        <f>F158+G158+H158</f>
        <v>56.761800000000001</v>
      </c>
      <c r="F158" s="63">
        <v>0.29520000000000002</v>
      </c>
      <c r="G158" s="63">
        <v>54.491300000000003</v>
      </c>
      <c r="H158" s="63">
        <v>1.9753000000000001</v>
      </c>
      <c r="I158" s="63">
        <v>0</v>
      </c>
      <c r="J158" s="63">
        <v>0</v>
      </c>
      <c r="K158" s="76">
        <v>0</v>
      </c>
      <c r="L158" s="497">
        <f t="shared" si="51"/>
        <v>56.761800000000001</v>
      </c>
      <c r="M158" s="966"/>
      <c r="N158" s="476"/>
      <c r="O158" s="963"/>
      <c r="P158" s="1106"/>
      <c r="Q158" s="333"/>
      <c r="R158" s="333"/>
      <c r="S158" s="333"/>
      <c r="T158" s="333"/>
      <c r="U158" s="333"/>
      <c r="V158" s="333"/>
      <c r="W158" s="333"/>
      <c r="X158" s="333"/>
      <c r="Y158" s="333"/>
      <c r="Z158" s="333"/>
      <c r="AA158" s="333"/>
      <c r="AB158" s="333"/>
      <c r="AC158" s="333"/>
      <c r="AD158" s="333"/>
      <c r="AE158" s="333"/>
      <c r="AF158" s="333"/>
      <c r="AG158" s="333"/>
      <c r="AH158" s="333"/>
      <c r="AI158" s="333"/>
      <c r="AJ158" s="333"/>
      <c r="AK158" s="333"/>
      <c r="AL158" s="333"/>
      <c r="AM158" s="333"/>
      <c r="AN158" s="333"/>
      <c r="AO158" s="333"/>
      <c r="AP158" s="333"/>
      <c r="AQ158" s="333"/>
      <c r="AR158" s="333"/>
      <c r="AS158" s="333"/>
      <c r="AT158" s="333"/>
      <c r="AU158" s="333"/>
      <c r="AV158" s="333"/>
      <c r="AW158" s="333"/>
      <c r="AX158" s="333"/>
      <c r="AY158" s="333"/>
      <c r="AZ158" s="333"/>
      <c r="BA158" s="333"/>
      <c r="BB158" s="333"/>
      <c r="BC158" s="333"/>
      <c r="BD158" s="333"/>
      <c r="BE158" s="333"/>
      <c r="BF158" s="68"/>
    </row>
    <row r="159" spans="1:58" s="51" customFormat="1">
      <c r="A159" s="1105" t="s">
        <v>426</v>
      </c>
      <c r="B159" s="1215" t="s">
        <v>1116</v>
      </c>
      <c r="C159" s="881" t="s">
        <v>1101</v>
      </c>
      <c r="D159" s="506" t="s">
        <v>429</v>
      </c>
      <c r="E159" s="507">
        <f t="shared" ref="E159:K159" si="54">E160</f>
        <v>138.99359999999999</v>
      </c>
      <c r="F159" s="507">
        <f t="shared" si="54"/>
        <v>1.1193</v>
      </c>
      <c r="G159" s="507">
        <f t="shared" si="54"/>
        <v>132.35929999999999</v>
      </c>
      <c r="H159" s="507">
        <f t="shared" si="54"/>
        <v>5.5149999999999997</v>
      </c>
      <c r="I159" s="507">
        <f t="shared" si="54"/>
        <v>0</v>
      </c>
      <c r="J159" s="507">
        <f t="shared" si="54"/>
        <v>0</v>
      </c>
      <c r="K159" s="507">
        <f t="shared" si="54"/>
        <v>0</v>
      </c>
      <c r="L159" s="497"/>
      <c r="M159" s="1142"/>
      <c r="N159" s="476"/>
      <c r="O159" s="1143"/>
      <c r="P159" s="1107"/>
      <c r="Q159" s="508"/>
      <c r="R159" s="508"/>
      <c r="S159" s="508"/>
      <c r="T159" s="508"/>
      <c r="U159" s="508"/>
      <c r="V159" s="508"/>
      <c r="W159" s="508"/>
      <c r="X159" s="508"/>
      <c r="Y159" s="508"/>
      <c r="Z159" s="508"/>
      <c r="AA159" s="508"/>
      <c r="AB159" s="508"/>
      <c r="AC159" s="508"/>
      <c r="AD159" s="508"/>
      <c r="AE159" s="508"/>
      <c r="AF159" s="508"/>
      <c r="AG159" s="508"/>
      <c r="AH159" s="508"/>
      <c r="AI159" s="508"/>
      <c r="AJ159" s="508"/>
      <c r="AK159" s="508"/>
      <c r="AL159" s="508"/>
      <c r="AM159" s="508"/>
      <c r="AN159" s="508"/>
      <c r="AO159" s="508"/>
      <c r="AP159" s="508"/>
      <c r="AQ159" s="508"/>
      <c r="AR159" s="508"/>
      <c r="AS159" s="508"/>
      <c r="AT159" s="508"/>
      <c r="AU159" s="508"/>
      <c r="AV159" s="508"/>
      <c r="AW159" s="508"/>
      <c r="AX159" s="508"/>
      <c r="AY159" s="508"/>
      <c r="AZ159" s="508"/>
      <c r="BA159" s="508"/>
      <c r="BB159" s="508"/>
      <c r="BC159" s="508"/>
      <c r="BD159" s="508"/>
      <c r="BE159" s="508"/>
      <c r="BF159" s="68"/>
    </row>
    <row r="160" spans="1:58" s="51" customFormat="1" ht="58.5" customHeight="1">
      <c r="A160" s="921"/>
      <c r="B160" s="854"/>
      <c r="C160" s="882"/>
      <c r="D160" s="62">
        <v>2021</v>
      </c>
      <c r="E160" s="63">
        <f>F160+G160+H160+I160+J160</f>
        <v>138.99359999999999</v>
      </c>
      <c r="F160" s="63">
        <v>1.1193</v>
      </c>
      <c r="G160" s="63">
        <v>132.35929999999999</v>
      </c>
      <c r="H160" s="63">
        <v>5.5149999999999997</v>
      </c>
      <c r="I160" s="63">
        <v>0</v>
      </c>
      <c r="J160" s="63">
        <v>0</v>
      </c>
      <c r="K160" s="76">
        <v>0</v>
      </c>
      <c r="L160" s="497">
        <f t="shared" ref="L160:L166" si="55">F160+G160+H160+I160+J160</f>
        <v>138.99359999999999</v>
      </c>
      <c r="M160" s="965"/>
      <c r="N160" s="476"/>
      <c r="O160" s="962"/>
      <c r="P160" s="1020"/>
      <c r="Q160" s="509"/>
      <c r="R160" s="509"/>
      <c r="S160" s="509"/>
      <c r="T160" s="509"/>
      <c r="U160" s="509"/>
      <c r="V160" s="509"/>
      <c r="W160" s="509"/>
      <c r="X160" s="509"/>
      <c r="Y160" s="509"/>
      <c r="Z160" s="509"/>
      <c r="AA160" s="509"/>
      <c r="AB160" s="509"/>
      <c r="AC160" s="509"/>
      <c r="AD160" s="509"/>
      <c r="AE160" s="509"/>
      <c r="AF160" s="509"/>
      <c r="AG160" s="509"/>
      <c r="AH160" s="509"/>
      <c r="AI160" s="509"/>
      <c r="AJ160" s="509"/>
      <c r="AK160" s="509"/>
      <c r="AL160" s="509"/>
      <c r="AM160" s="509"/>
      <c r="AN160" s="509"/>
      <c r="AO160" s="509"/>
      <c r="AP160" s="509"/>
      <c r="AQ160" s="509"/>
      <c r="AR160" s="509"/>
      <c r="AS160" s="509"/>
      <c r="AT160" s="509"/>
      <c r="AU160" s="509"/>
      <c r="AV160" s="509"/>
      <c r="AW160" s="509"/>
      <c r="AX160" s="509"/>
      <c r="AY160" s="509"/>
      <c r="AZ160" s="509"/>
      <c r="BA160" s="509"/>
      <c r="BB160" s="509"/>
      <c r="BC160" s="509"/>
      <c r="BD160" s="509"/>
      <c r="BE160" s="509"/>
      <c r="BF160" s="68"/>
    </row>
    <row r="161" spans="1:58" s="51" customFormat="1" ht="38.25" customHeight="1">
      <c r="A161" s="1112" t="s">
        <v>431</v>
      </c>
      <c r="B161" s="838" t="s">
        <v>422</v>
      </c>
      <c r="C161" s="881" t="s">
        <v>407</v>
      </c>
      <c r="D161" s="84" t="s">
        <v>16</v>
      </c>
      <c r="E161" s="85">
        <f t="shared" ref="E161:J161" si="56">E162+E163</f>
        <v>88</v>
      </c>
      <c r="F161" s="85">
        <f t="shared" si="56"/>
        <v>8.39</v>
      </c>
      <c r="G161" s="85">
        <f t="shared" si="56"/>
        <v>0</v>
      </c>
      <c r="H161" s="85">
        <f t="shared" si="56"/>
        <v>79.61</v>
      </c>
      <c r="I161" s="85">
        <f t="shared" si="56"/>
        <v>0</v>
      </c>
      <c r="J161" s="85">
        <f t="shared" si="56"/>
        <v>0</v>
      </c>
      <c r="K161" s="76">
        <v>0</v>
      </c>
      <c r="L161" s="497">
        <f t="shared" si="55"/>
        <v>88</v>
      </c>
      <c r="M161" s="965" t="s">
        <v>419</v>
      </c>
      <c r="N161" s="476"/>
      <c r="O161" s="962">
        <v>35</v>
      </c>
      <c r="P161" s="1021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68"/>
    </row>
    <row r="162" spans="1:58" s="51" customFormat="1">
      <c r="A162" s="795"/>
      <c r="B162" s="839"/>
      <c r="C162" s="1125"/>
      <c r="D162" s="62">
        <v>2026</v>
      </c>
      <c r="E162" s="63">
        <f>F162+G162+H162+I162+J162</f>
        <v>4.2</v>
      </c>
      <c r="F162" s="63">
        <v>4.2</v>
      </c>
      <c r="G162" s="63">
        <v>0</v>
      </c>
      <c r="H162" s="63">
        <v>0</v>
      </c>
      <c r="I162" s="63">
        <v>0</v>
      </c>
      <c r="J162" s="63">
        <v>0</v>
      </c>
      <c r="K162" s="76">
        <v>0</v>
      </c>
      <c r="L162" s="497">
        <f t="shared" si="55"/>
        <v>4.2</v>
      </c>
      <c r="M162" s="1141"/>
      <c r="N162" s="476"/>
      <c r="O162" s="971"/>
      <c r="P162" s="1021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68"/>
    </row>
    <row r="163" spans="1:58" s="51" customFormat="1">
      <c r="A163" s="796"/>
      <c r="B163" s="854"/>
      <c r="C163" s="1103"/>
      <c r="D163" s="62">
        <v>2027</v>
      </c>
      <c r="E163" s="63">
        <f>F163+G163+H163+I163+J163</f>
        <v>83.8</v>
      </c>
      <c r="F163" s="63">
        <v>4.1900000000000004</v>
      </c>
      <c r="G163" s="63">
        <v>0</v>
      </c>
      <c r="H163" s="63">
        <v>79.61</v>
      </c>
      <c r="I163" s="63">
        <v>0</v>
      </c>
      <c r="J163" s="63">
        <v>0</v>
      </c>
      <c r="K163" s="76">
        <v>0</v>
      </c>
      <c r="L163" s="497">
        <f t="shared" si="55"/>
        <v>83.8</v>
      </c>
      <c r="M163" s="966"/>
      <c r="N163" s="476"/>
      <c r="O163" s="963"/>
      <c r="P163" s="1021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68"/>
    </row>
    <row r="164" spans="1:58" s="51" customFormat="1" ht="16.5" customHeight="1">
      <c r="A164" s="1112" t="s">
        <v>434</v>
      </c>
      <c r="B164" s="838" t="s">
        <v>424</v>
      </c>
      <c r="C164" s="915" t="s">
        <v>407</v>
      </c>
      <c r="D164" s="84" t="s">
        <v>16</v>
      </c>
      <c r="E164" s="85">
        <f t="shared" ref="E164:J164" si="57">E165+E166</f>
        <v>3.8</v>
      </c>
      <c r="F164" s="85">
        <f t="shared" si="57"/>
        <v>0.55000000000000004</v>
      </c>
      <c r="G164" s="85">
        <f t="shared" si="57"/>
        <v>0</v>
      </c>
      <c r="H164" s="85">
        <f t="shared" si="57"/>
        <v>3.25</v>
      </c>
      <c r="I164" s="85">
        <f t="shared" si="57"/>
        <v>0</v>
      </c>
      <c r="J164" s="85">
        <f t="shared" si="57"/>
        <v>0</v>
      </c>
      <c r="K164" s="76">
        <v>0</v>
      </c>
      <c r="L164" s="497">
        <f t="shared" si="55"/>
        <v>3.8</v>
      </c>
      <c r="M164" s="995" t="s">
        <v>425</v>
      </c>
      <c r="N164" s="476"/>
      <c r="O164" s="301"/>
      <c r="P164" s="1021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68"/>
    </row>
    <row r="165" spans="1:58" s="51" customFormat="1">
      <c r="A165" s="795"/>
      <c r="B165" s="839"/>
      <c r="C165" s="916"/>
      <c r="D165" s="62">
        <v>2026</v>
      </c>
      <c r="E165" s="63">
        <f>F165+G165+H165+I165+J165</f>
        <v>0.38</v>
      </c>
      <c r="F165" s="63">
        <v>0.38</v>
      </c>
      <c r="G165" s="63">
        <v>0</v>
      </c>
      <c r="H165" s="63">
        <v>0</v>
      </c>
      <c r="I165" s="63">
        <v>0</v>
      </c>
      <c r="J165" s="63">
        <v>0</v>
      </c>
      <c r="K165" s="76">
        <v>0</v>
      </c>
      <c r="L165" s="497">
        <f t="shared" si="55"/>
        <v>0.38</v>
      </c>
      <c r="M165" s="834"/>
      <c r="N165" s="476"/>
      <c r="O165" s="301"/>
      <c r="P165" s="38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68"/>
    </row>
    <row r="166" spans="1:58" s="51" customFormat="1">
      <c r="A166" s="1127"/>
      <c r="B166" s="854"/>
      <c r="C166" s="184"/>
      <c r="D166" s="62">
        <v>2027</v>
      </c>
      <c r="E166" s="63">
        <f>F166+G166+H166+I166+J166</f>
        <v>3.42</v>
      </c>
      <c r="F166" s="63">
        <v>0.17</v>
      </c>
      <c r="G166" s="63">
        <v>0</v>
      </c>
      <c r="H166" s="63">
        <f>3.42-F166</f>
        <v>3.25</v>
      </c>
      <c r="I166" s="63">
        <v>0</v>
      </c>
      <c r="J166" s="63">
        <v>0</v>
      </c>
      <c r="K166" s="76">
        <v>0</v>
      </c>
      <c r="L166" s="497">
        <f t="shared" si="55"/>
        <v>3.42</v>
      </c>
      <c r="M166" s="835"/>
      <c r="N166" s="476"/>
      <c r="O166" s="301"/>
      <c r="P166" s="38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68"/>
    </row>
    <row r="167" spans="1:58" s="51" customFormat="1">
      <c r="A167" s="1145" t="s">
        <v>437</v>
      </c>
      <c r="B167" s="1077" t="s">
        <v>1117</v>
      </c>
      <c r="C167" s="916" t="s">
        <v>1118</v>
      </c>
      <c r="D167" s="84" t="s">
        <v>429</v>
      </c>
      <c r="E167" s="63">
        <v>0</v>
      </c>
      <c r="F167" s="314">
        <v>0</v>
      </c>
      <c r="G167" s="314">
        <v>0</v>
      </c>
      <c r="H167" s="314">
        <v>0</v>
      </c>
      <c r="I167" s="63">
        <v>0</v>
      </c>
      <c r="J167" s="63">
        <v>0</v>
      </c>
      <c r="K167" s="76">
        <v>0</v>
      </c>
      <c r="L167" s="497"/>
      <c r="M167" s="95"/>
      <c r="N167" s="476"/>
      <c r="O167" s="301"/>
      <c r="P167" s="38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68"/>
    </row>
    <row r="168" spans="1:58" s="51" customFormat="1">
      <c r="A168" s="1127"/>
      <c r="B168" s="1077"/>
      <c r="C168" s="916"/>
      <c r="D168" s="62">
        <v>2020</v>
      </c>
      <c r="E168" s="63">
        <f>F168+G168+H168+I168+J168</f>
        <v>0</v>
      </c>
      <c r="F168" s="314">
        <v>0</v>
      </c>
      <c r="G168" s="314">
        <v>0</v>
      </c>
      <c r="H168" s="314">
        <v>0</v>
      </c>
      <c r="I168" s="63">
        <v>0</v>
      </c>
      <c r="J168" s="63">
        <v>0</v>
      </c>
      <c r="K168" s="76">
        <v>0</v>
      </c>
      <c r="L168" s="497"/>
      <c r="M168" s="95"/>
      <c r="N168" s="476"/>
      <c r="O168" s="301"/>
      <c r="P168" s="38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68"/>
    </row>
    <row r="169" spans="1:58" s="51" customFormat="1">
      <c r="A169" s="1145" t="s">
        <v>440</v>
      </c>
      <c r="B169" s="915" t="s">
        <v>1119</v>
      </c>
      <c r="C169" s="916"/>
      <c r="D169" s="84" t="s">
        <v>429</v>
      </c>
      <c r="E169" s="63">
        <v>0</v>
      </c>
      <c r="F169" s="314">
        <v>0</v>
      </c>
      <c r="G169" s="314">
        <v>0</v>
      </c>
      <c r="H169" s="314">
        <v>0</v>
      </c>
      <c r="I169" s="63">
        <v>0</v>
      </c>
      <c r="J169" s="63">
        <v>0</v>
      </c>
      <c r="K169" s="76">
        <v>0</v>
      </c>
      <c r="L169" s="497"/>
      <c r="M169" s="95"/>
      <c r="N169" s="476"/>
      <c r="O169" s="301"/>
      <c r="P169" s="38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68"/>
    </row>
    <row r="170" spans="1:58" s="51" customFormat="1">
      <c r="A170" s="1127"/>
      <c r="B170" s="999"/>
      <c r="C170" s="916"/>
      <c r="D170" s="62">
        <v>2020</v>
      </c>
      <c r="E170" s="63">
        <f>F170+G170+H170+I170+J170</f>
        <v>0</v>
      </c>
      <c r="F170" s="314">
        <v>0</v>
      </c>
      <c r="G170" s="314">
        <v>0</v>
      </c>
      <c r="H170" s="314">
        <v>0</v>
      </c>
      <c r="I170" s="63">
        <v>0</v>
      </c>
      <c r="J170" s="63">
        <v>0</v>
      </c>
      <c r="K170" s="76">
        <v>0</v>
      </c>
      <c r="L170" s="497"/>
      <c r="M170" s="95"/>
      <c r="N170" s="476"/>
      <c r="O170" s="301"/>
      <c r="P170" s="38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68"/>
    </row>
    <row r="171" spans="1:58" s="51" customFormat="1" ht="25.5" customHeight="1">
      <c r="A171" s="1112" t="s">
        <v>443</v>
      </c>
      <c r="B171" s="1146" t="s">
        <v>1120</v>
      </c>
      <c r="C171" s="916"/>
      <c r="D171" s="84" t="s">
        <v>429</v>
      </c>
      <c r="E171" s="63">
        <f t="shared" ref="E171:J171" si="58">E172+E173</f>
        <v>100.1001</v>
      </c>
      <c r="F171" s="63">
        <f t="shared" si="58"/>
        <v>0.10009999999999999</v>
      </c>
      <c r="G171" s="63">
        <f t="shared" si="58"/>
        <v>0</v>
      </c>
      <c r="H171" s="63">
        <f t="shared" si="58"/>
        <v>100</v>
      </c>
      <c r="I171" s="63">
        <f t="shared" si="58"/>
        <v>0</v>
      </c>
      <c r="J171" s="63">
        <f t="shared" si="58"/>
        <v>0</v>
      </c>
      <c r="K171" s="76">
        <v>0</v>
      </c>
      <c r="L171" s="497">
        <f>F171+G171+H171+I171+J171</f>
        <v>100.1001</v>
      </c>
      <c r="M171" s="922" t="s">
        <v>1121</v>
      </c>
      <c r="N171" s="476"/>
      <c r="O171" s="301"/>
      <c r="P171" s="38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68"/>
    </row>
    <row r="172" spans="1:58" s="51" customFormat="1">
      <c r="A172" s="795"/>
      <c r="B172" s="1144"/>
      <c r="C172" s="916"/>
      <c r="D172" s="62">
        <v>2021</v>
      </c>
      <c r="E172" s="63">
        <f>F172+G172+H172+I172+J172</f>
        <v>0</v>
      </c>
      <c r="F172" s="108">
        <v>0</v>
      </c>
      <c r="G172" s="108">
        <v>0</v>
      </c>
      <c r="H172" s="63">
        <v>0</v>
      </c>
      <c r="I172" s="63">
        <v>0</v>
      </c>
      <c r="J172" s="63">
        <v>0</v>
      </c>
      <c r="K172" s="76">
        <v>0</v>
      </c>
      <c r="L172" s="497">
        <f>F172+G172+H172+I172+J172</f>
        <v>0</v>
      </c>
      <c r="M172" s="922"/>
      <c r="N172" s="476"/>
      <c r="O172" s="301"/>
      <c r="P172" s="38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68"/>
    </row>
    <row r="173" spans="1:58" s="51" customFormat="1">
      <c r="A173" s="796"/>
      <c r="B173" s="1114"/>
      <c r="C173" s="916"/>
      <c r="D173" s="62">
        <v>2023</v>
      </c>
      <c r="E173" s="63">
        <f>F173+G173+H173+I173+J173</f>
        <v>100.1001</v>
      </c>
      <c r="F173" s="108">
        <v>0.10009999999999999</v>
      </c>
      <c r="G173" s="108">
        <v>0</v>
      </c>
      <c r="H173" s="63">
        <v>100</v>
      </c>
      <c r="I173" s="63">
        <v>0</v>
      </c>
      <c r="J173" s="63">
        <v>0</v>
      </c>
      <c r="K173" s="76">
        <v>0</v>
      </c>
      <c r="L173" s="497">
        <f>F173+G173+H173+I173+J173</f>
        <v>100.1001</v>
      </c>
      <c r="M173" s="922"/>
      <c r="N173" s="476"/>
      <c r="O173" s="301"/>
      <c r="P173" s="38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68"/>
    </row>
    <row r="174" spans="1:58" s="51" customFormat="1">
      <c r="A174" s="1112" t="s">
        <v>447</v>
      </c>
      <c r="B174" s="1146" t="s">
        <v>435</v>
      </c>
      <c r="C174" s="916"/>
      <c r="D174" s="84" t="s">
        <v>429</v>
      </c>
      <c r="E174" s="63">
        <v>0</v>
      </c>
      <c r="F174" s="314">
        <v>0</v>
      </c>
      <c r="G174" s="314">
        <v>0</v>
      </c>
      <c r="H174" s="314">
        <v>0</v>
      </c>
      <c r="I174" s="63">
        <v>0</v>
      </c>
      <c r="J174" s="63">
        <v>0</v>
      </c>
      <c r="K174" s="76">
        <v>0</v>
      </c>
      <c r="L174" s="497"/>
      <c r="M174" s="265"/>
      <c r="N174" s="476"/>
      <c r="O174" s="301"/>
      <c r="P174" s="38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68"/>
    </row>
    <row r="175" spans="1:58" s="51" customFormat="1" ht="15.75" customHeight="1">
      <c r="A175" s="796"/>
      <c r="B175" s="1114"/>
      <c r="C175" s="916"/>
      <c r="D175" s="62">
        <v>2020</v>
      </c>
      <c r="E175" s="63">
        <f>F175+G175+H175+I175+J175</f>
        <v>0</v>
      </c>
      <c r="F175" s="314">
        <v>0</v>
      </c>
      <c r="G175" s="314">
        <v>0</v>
      </c>
      <c r="H175" s="314">
        <v>0</v>
      </c>
      <c r="I175" s="63">
        <v>0</v>
      </c>
      <c r="J175" s="63">
        <v>0</v>
      </c>
      <c r="K175" s="76">
        <v>0</v>
      </c>
      <c r="L175" s="497"/>
      <c r="M175" s="265"/>
      <c r="N175" s="476"/>
      <c r="O175" s="301"/>
      <c r="P175" s="38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68"/>
    </row>
    <row r="176" spans="1:58" s="51" customFormat="1" ht="12.75" customHeight="1">
      <c r="A176" s="1145" t="s">
        <v>450</v>
      </c>
      <c r="B176" s="1113" t="s">
        <v>1122</v>
      </c>
      <c r="C176" s="916"/>
      <c r="D176" s="84" t="s">
        <v>429</v>
      </c>
      <c r="E176" s="63">
        <f t="shared" ref="E176:K176" si="59">E177+E178</f>
        <v>134.88489999999999</v>
      </c>
      <c r="F176" s="63">
        <f t="shared" si="59"/>
        <v>0.13489999999999999</v>
      </c>
      <c r="G176" s="63">
        <f t="shared" si="59"/>
        <v>0</v>
      </c>
      <c r="H176" s="63">
        <f t="shared" si="59"/>
        <v>134.75</v>
      </c>
      <c r="I176" s="63">
        <f t="shared" si="59"/>
        <v>0</v>
      </c>
      <c r="J176" s="63">
        <f t="shared" si="59"/>
        <v>0</v>
      </c>
      <c r="K176" s="63">
        <f t="shared" si="59"/>
        <v>0</v>
      </c>
      <c r="L176" s="511" t="e">
        <f>#REF!+L177+L178</f>
        <v>#REF!</v>
      </c>
      <c r="M176" s="265" t="s">
        <v>1121</v>
      </c>
      <c r="N176" s="476"/>
      <c r="O176" s="301"/>
      <c r="P176" s="38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68"/>
    </row>
    <row r="177" spans="1:58" s="51" customFormat="1">
      <c r="A177" s="1126"/>
      <c r="B177" s="1144"/>
      <c r="C177" s="916"/>
      <c r="D177" s="62">
        <v>2021</v>
      </c>
      <c r="E177" s="63">
        <f>F177+G177+H177+I177+J177</f>
        <v>0</v>
      </c>
      <c r="F177" s="63">
        <v>0</v>
      </c>
      <c r="G177" s="63">
        <v>0</v>
      </c>
      <c r="H177" s="63">
        <v>0</v>
      </c>
      <c r="I177" s="63">
        <v>0</v>
      </c>
      <c r="J177" s="63">
        <v>0</v>
      </c>
      <c r="K177" s="76">
        <v>0</v>
      </c>
      <c r="L177" s="497">
        <f>F177+G177+H177+I177+J177</f>
        <v>0</v>
      </c>
      <c r="M177" s="826"/>
      <c r="N177" s="476"/>
      <c r="O177" s="301"/>
      <c r="P177" s="38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68"/>
    </row>
    <row r="178" spans="1:58" s="51" customFormat="1">
      <c r="A178" s="1127"/>
      <c r="B178" s="1114"/>
      <c r="C178" s="916"/>
      <c r="D178" s="62">
        <v>2023</v>
      </c>
      <c r="E178" s="63">
        <f>F178+H178</f>
        <v>134.88489999999999</v>
      </c>
      <c r="F178" s="63">
        <v>0.13489999999999999</v>
      </c>
      <c r="G178" s="63">
        <v>0</v>
      </c>
      <c r="H178" s="63">
        <v>134.75</v>
      </c>
      <c r="I178" s="63">
        <v>0</v>
      </c>
      <c r="J178" s="63">
        <v>0</v>
      </c>
      <c r="K178" s="76">
        <v>0</v>
      </c>
      <c r="L178" s="497">
        <f>F178+G178+H178+I178+J178</f>
        <v>134.88489999999999</v>
      </c>
      <c r="M178" s="952"/>
      <c r="N178" s="476"/>
      <c r="O178" s="301"/>
      <c r="P178" s="38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68"/>
    </row>
    <row r="179" spans="1:58" s="51" customFormat="1" ht="25.5" customHeight="1">
      <c r="A179" s="1112" t="s">
        <v>451</v>
      </c>
      <c r="B179" s="1113" t="s">
        <v>1123</v>
      </c>
      <c r="C179" s="916"/>
      <c r="D179" s="84" t="s">
        <v>429</v>
      </c>
      <c r="E179" s="63">
        <f t="shared" ref="E179:J179" si="60">E180+E181+E182</f>
        <v>76.185199999999995</v>
      </c>
      <c r="F179" s="63">
        <f t="shared" si="60"/>
        <v>7.6200000000000004E-2</v>
      </c>
      <c r="G179" s="63">
        <f t="shared" si="60"/>
        <v>0</v>
      </c>
      <c r="H179" s="63">
        <f t="shared" si="60"/>
        <v>76.108999999999995</v>
      </c>
      <c r="I179" s="63">
        <f t="shared" si="60"/>
        <v>0</v>
      </c>
      <c r="J179" s="63">
        <f t="shared" si="60"/>
        <v>0</v>
      </c>
      <c r="K179" s="76">
        <v>0</v>
      </c>
      <c r="L179" s="497">
        <f>F179+G179+H179+I179+J179</f>
        <v>76.185199999999995</v>
      </c>
      <c r="M179" s="922" t="s">
        <v>1124</v>
      </c>
      <c r="N179" s="476"/>
      <c r="O179" s="301"/>
      <c r="P179" s="38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68"/>
    </row>
    <row r="180" spans="1:58" s="51" customFormat="1">
      <c r="A180" s="795"/>
      <c r="B180" s="1144"/>
      <c r="C180" s="916"/>
      <c r="D180" s="62">
        <v>2020</v>
      </c>
      <c r="E180" s="63">
        <v>0</v>
      </c>
      <c r="F180" s="63">
        <v>0</v>
      </c>
      <c r="G180" s="63">
        <v>0</v>
      </c>
      <c r="H180" s="63">
        <v>0</v>
      </c>
      <c r="I180" s="63">
        <v>0</v>
      </c>
      <c r="J180" s="63">
        <v>0</v>
      </c>
      <c r="K180" s="76">
        <v>0</v>
      </c>
      <c r="L180" s="497">
        <f>F180+G180+H180+I180+J180</f>
        <v>0</v>
      </c>
      <c r="M180" s="922"/>
      <c r="N180" s="476"/>
      <c r="O180" s="301"/>
      <c r="P180" s="38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68"/>
    </row>
    <row r="181" spans="1:58" s="51" customFormat="1">
      <c r="A181" s="795"/>
      <c r="B181" s="1144"/>
      <c r="C181" s="916"/>
      <c r="D181" s="62">
        <v>2021</v>
      </c>
      <c r="E181" s="63">
        <f>F181+G181+H181+I181+J181</f>
        <v>0</v>
      </c>
      <c r="F181" s="63">
        <v>0</v>
      </c>
      <c r="G181" s="63">
        <v>0</v>
      </c>
      <c r="H181" s="63">
        <v>0</v>
      </c>
      <c r="I181" s="63">
        <v>0</v>
      </c>
      <c r="J181" s="63"/>
      <c r="K181" s="76">
        <v>0</v>
      </c>
      <c r="L181" s="497"/>
      <c r="M181" s="922"/>
      <c r="N181" s="476"/>
      <c r="O181" s="301"/>
      <c r="P181" s="38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68"/>
    </row>
    <row r="182" spans="1:58" s="51" customFormat="1">
      <c r="A182" s="1127"/>
      <c r="B182" s="1114"/>
      <c r="C182" s="916"/>
      <c r="D182" s="320">
        <v>2023</v>
      </c>
      <c r="E182" s="63">
        <f>F182+G182+H182+I182+J182</f>
        <v>76.185199999999995</v>
      </c>
      <c r="F182" s="63">
        <v>7.6200000000000004E-2</v>
      </c>
      <c r="G182" s="63">
        <v>0</v>
      </c>
      <c r="H182" s="63">
        <v>76.108999999999995</v>
      </c>
      <c r="I182" s="63">
        <v>0</v>
      </c>
      <c r="J182" s="63">
        <v>0</v>
      </c>
      <c r="K182" s="76">
        <v>0</v>
      </c>
      <c r="L182" s="497">
        <f t="shared" ref="L182:L187" si="61">F182+G182+H182+I182+J182</f>
        <v>76.185199999999995</v>
      </c>
      <c r="M182" s="922"/>
      <c r="N182" s="476"/>
      <c r="O182" s="301"/>
      <c r="P182" s="38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68"/>
    </row>
    <row r="183" spans="1:58" s="51" customFormat="1" ht="21" customHeight="1">
      <c r="A183" s="1112" t="s">
        <v>452</v>
      </c>
      <c r="B183" s="1146" t="s">
        <v>441</v>
      </c>
      <c r="C183" s="916"/>
      <c r="D183" s="84" t="s">
        <v>429</v>
      </c>
      <c r="E183" s="63">
        <f t="shared" ref="E183:J183" si="62">E184+E185</f>
        <v>0</v>
      </c>
      <c r="F183" s="63">
        <f t="shared" si="62"/>
        <v>0</v>
      </c>
      <c r="G183" s="63">
        <f t="shared" si="62"/>
        <v>0</v>
      </c>
      <c r="H183" s="63">
        <f t="shared" si="62"/>
        <v>0</v>
      </c>
      <c r="I183" s="63">
        <f t="shared" si="62"/>
        <v>0</v>
      </c>
      <c r="J183" s="63">
        <f t="shared" si="62"/>
        <v>0</v>
      </c>
      <c r="K183" s="76">
        <v>0</v>
      </c>
      <c r="L183" s="497">
        <f t="shared" si="61"/>
        <v>0</v>
      </c>
      <c r="M183" s="922" t="s">
        <v>442</v>
      </c>
      <c r="N183" s="476"/>
      <c r="O183" s="301"/>
      <c r="P183" s="38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68"/>
    </row>
    <row r="184" spans="1:58" s="51" customFormat="1">
      <c r="A184" s="795"/>
      <c r="B184" s="1144"/>
      <c r="C184" s="916"/>
      <c r="D184" s="62">
        <v>2020</v>
      </c>
      <c r="E184" s="63">
        <f>F184+G184+H184+I184+J184</f>
        <v>0</v>
      </c>
      <c r="F184" s="63">
        <v>0</v>
      </c>
      <c r="G184" s="63">
        <v>0</v>
      </c>
      <c r="H184" s="63">
        <v>0</v>
      </c>
      <c r="I184" s="63">
        <v>0</v>
      </c>
      <c r="J184" s="63">
        <v>0</v>
      </c>
      <c r="K184" s="76">
        <v>0</v>
      </c>
      <c r="L184" s="497">
        <f t="shared" si="61"/>
        <v>0</v>
      </c>
      <c r="M184" s="922"/>
      <c r="N184" s="476"/>
      <c r="O184" s="301"/>
      <c r="P184" s="38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68"/>
    </row>
    <row r="185" spans="1:58" s="51" customFormat="1">
      <c r="A185" s="1127"/>
      <c r="B185" s="1114"/>
      <c r="C185" s="999"/>
      <c r="D185" s="62">
        <v>2021</v>
      </c>
      <c r="E185" s="63">
        <f>F185+G185+H185+I185+J185</f>
        <v>0</v>
      </c>
      <c r="F185" s="63">
        <v>0</v>
      </c>
      <c r="G185" s="63">
        <v>0</v>
      </c>
      <c r="H185" s="63">
        <v>0</v>
      </c>
      <c r="I185" s="63">
        <v>0</v>
      </c>
      <c r="J185" s="63">
        <v>0</v>
      </c>
      <c r="K185" s="76">
        <v>0</v>
      </c>
      <c r="L185" s="497">
        <f t="shared" si="61"/>
        <v>0</v>
      </c>
      <c r="M185" s="922"/>
      <c r="N185" s="476"/>
      <c r="O185" s="301"/>
      <c r="P185" s="512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68"/>
    </row>
    <row r="186" spans="1:58" s="51" customFormat="1" ht="22.5" customHeight="1">
      <c r="A186" s="1112" t="s">
        <v>455</v>
      </c>
      <c r="B186" s="1115" t="s">
        <v>444</v>
      </c>
      <c r="C186" s="915" t="s">
        <v>445</v>
      </c>
      <c r="D186" s="84" t="s">
        <v>429</v>
      </c>
      <c r="E186" s="85">
        <f t="shared" ref="E186:J186" si="63">E187</f>
        <v>234.95</v>
      </c>
      <c r="F186" s="85">
        <f t="shared" si="63"/>
        <v>0</v>
      </c>
      <c r="G186" s="85">
        <f t="shared" si="63"/>
        <v>0</v>
      </c>
      <c r="H186" s="85">
        <f t="shared" si="63"/>
        <v>0</v>
      </c>
      <c r="I186" s="85">
        <f t="shared" si="63"/>
        <v>234.95</v>
      </c>
      <c r="J186" s="85">
        <f t="shared" si="63"/>
        <v>0</v>
      </c>
      <c r="K186" s="76">
        <v>0</v>
      </c>
      <c r="L186" s="497">
        <f t="shared" si="61"/>
        <v>234.95</v>
      </c>
      <c r="M186" s="922" t="s">
        <v>1125</v>
      </c>
      <c r="N186" s="476"/>
      <c r="O186" s="301"/>
      <c r="P186" s="1077" t="s">
        <v>1126</v>
      </c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68"/>
    </row>
    <row r="187" spans="1:58" s="51" customFormat="1" ht="21" customHeight="1">
      <c r="A187" s="796"/>
      <c r="B187" s="1115"/>
      <c r="C187" s="999"/>
      <c r="D187" s="62">
        <v>2021</v>
      </c>
      <c r="E187" s="63">
        <f>I187</f>
        <v>234.95</v>
      </c>
      <c r="F187" s="63">
        <v>0</v>
      </c>
      <c r="G187" s="63">
        <v>0</v>
      </c>
      <c r="H187" s="63">
        <v>0</v>
      </c>
      <c r="I187" s="63">
        <v>234.95</v>
      </c>
      <c r="J187" s="63">
        <v>0</v>
      </c>
      <c r="K187" s="76">
        <v>0</v>
      </c>
      <c r="L187" s="497">
        <f t="shared" si="61"/>
        <v>234.95</v>
      </c>
      <c r="M187" s="922"/>
      <c r="N187" s="476"/>
      <c r="O187" s="301"/>
      <c r="P187" s="1077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68"/>
    </row>
    <row r="188" spans="1:58" s="51" customFormat="1">
      <c r="A188" s="1112" t="s">
        <v>459</v>
      </c>
      <c r="B188" s="1113" t="s">
        <v>1127</v>
      </c>
      <c r="C188" s="915" t="s">
        <v>1101</v>
      </c>
      <c r="D188" s="84" t="s">
        <v>429</v>
      </c>
      <c r="E188" s="85">
        <f t="shared" ref="E188:J188" si="64">E189</f>
        <v>3</v>
      </c>
      <c r="F188" s="85">
        <f t="shared" si="64"/>
        <v>3</v>
      </c>
      <c r="G188" s="85">
        <f t="shared" si="64"/>
        <v>0</v>
      </c>
      <c r="H188" s="85">
        <f t="shared" si="64"/>
        <v>0</v>
      </c>
      <c r="I188" s="85">
        <f t="shared" si="64"/>
        <v>0</v>
      </c>
      <c r="J188" s="85">
        <f t="shared" si="64"/>
        <v>0</v>
      </c>
      <c r="K188" s="76">
        <v>0</v>
      </c>
      <c r="L188" s="497"/>
      <c r="M188" s="265"/>
      <c r="N188" s="476"/>
      <c r="O188" s="301"/>
      <c r="P188" s="184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68"/>
    </row>
    <row r="189" spans="1:58" s="51" customFormat="1" ht="29.25" customHeight="1">
      <c r="A189" s="796"/>
      <c r="B189" s="1114"/>
      <c r="C189" s="999"/>
      <c r="D189" s="62">
        <v>2021</v>
      </c>
      <c r="E189" s="63">
        <f>F189</f>
        <v>3</v>
      </c>
      <c r="F189" s="63">
        <v>3</v>
      </c>
      <c r="G189" s="63">
        <v>0</v>
      </c>
      <c r="H189" s="63">
        <v>0</v>
      </c>
      <c r="I189" s="63">
        <v>0</v>
      </c>
      <c r="J189" s="63">
        <v>0</v>
      </c>
      <c r="K189" s="76">
        <v>0</v>
      </c>
      <c r="L189" s="497"/>
      <c r="M189" s="62" t="s">
        <v>1125</v>
      </c>
      <c r="N189" s="476"/>
      <c r="O189" s="301"/>
      <c r="P189" s="1077" t="s">
        <v>405</v>
      </c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68"/>
    </row>
    <row r="190" spans="1:58" s="51" customFormat="1">
      <c r="A190" s="1112" t="s">
        <v>462</v>
      </c>
      <c r="B190" s="1115" t="s">
        <v>444</v>
      </c>
      <c r="C190" s="915" t="s">
        <v>407</v>
      </c>
      <c r="D190" s="84" t="s">
        <v>429</v>
      </c>
      <c r="E190" s="63">
        <f t="shared" ref="E190:J190" si="65">E191</f>
        <v>0</v>
      </c>
      <c r="F190" s="63">
        <f t="shared" si="65"/>
        <v>0</v>
      </c>
      <c r="G190" s="63">
        <f t="shared" si="65"/>
        <v>0</v>
      </c>
      <c r="H190" s="63">
        <f t="shared" si="65"/>
        <v>0</v>
      </c>
      <c r="I190" s="63">
        <f t="shared" si="65"/>
        <v>0</v>
      </c>
      <c r="J190" s="63">
        <f t="shared" si="65"/>
        <v>0</v>
      </c>
      <c r="K190" s="76">
        <v>0</v>
      </c>
      <c r="L190" s="497">
        <f t="shared" ref="L190:L209" si="66">F190+G190+H190+I190+J190</f>
        <v>0</v>
      </c>
      <c r="M190" s="93"/>
      <c r="N190" s="476"/>
      <c r="O190" s="301"/>
      <c r="P190" s="1077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68"/>
    </row>
    <row r="191" spans="1:58" s="51" customFormat="1">
      <c r="A191" s="796"/>
      <c r="B191" s="1115"/>
      <c r="C191" s="999"/>
      <c r="D191" s="62">
        <v>2029</v>
      </c>
      <c r="E191" s="63">
        <v>0</v>
      </c>
      <c r="F191" s="63">
        <v>0</v>
      </c>
      <c r="G191" s="63">
        <v>0</v>
      </c>
      <c r="H191" s="63">
        <v>0</v>
      </c>
      <c r="I191" s="63">
        <v>0</v>
      </c>
      <c r="J191" s="63">
        <v>0</v>
      </c>
      <c r="K191" s="76">
        <v>0</v>
      </c>
      <c r="L191" s="497">
        <f t="shared" si="66"/>
        <v>0</v>
      </c>
      <c r="M191" s="93"/>
      <c r="N191" s="476"/>
      <c r="O191" s="301"/>
      <c r="P191" s="1077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68"/>
    </row>
    <row r="192" spans="1:58" s="51" customFormat="1">
      <c r="A192" s="1112" t="s">
        <v>464</v>
      </c>
      <c r="B192" s="915" t="s">
        <v>453</v>
      </c>
      <c r="C192" s="915" t="s">
        <v>407</v>
      </c>
      <c r="D192" s="84" t="s">
        <v>16</v>
      </c>
      <c r="E192" s="85">
        <f t="shared" ref="E192:J192" si="67">E193+E194</f>
        <v>15.75</v>
      </c>
      <c r="F192" s="85">
        <f t="shared" si="67"/>
        <v>1.5</v>
      </c>
      <c r="G192" s="85">
        <f t="shared" si="67"/>
        <v>0</v>
      </c>
      <c r="H192" s="85">
        <f t="shared" si="67"/>
        <v>14.25</v>
      </c>
      <c r="I192" s="85">
        <f t="shared" si="67"/>
        <v>0</v>
      </c>
      <c r="J192" s="85">
        <f t="shared" si="67"/>
        <v>0</v>
      </c>
      <c r="K192" s="76">
        <v>0</v>
      </c>
      <c r="L192" s="497">
        <f t="shared" si="66"/>
        <v>15.75</v>
      </c>
      <c r="M192" s="1031" t="s">
        <v>454</v>
      </c>
      <c r="N192" s="476"/>
      <c r="O192" s="513"/>
      <c r="P192" s="1077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68"/>
    </row>
    <row r="193" spans="1:58" s="51" customFormat="1" ht="13.5" customHeight="1">
      <c r="A193" s="795"/>
      <c r="B193" s="916"/>
      <c r="C193" s="916"/>
      <c r="D193" s="62">
        <v>2026</v>
      </c>
      <c r="E193" s="63">
        <f>F193+G193+H193+I193+J193</f>
        <v>0.75</v>
      </c>
      <c r="F193" s="63">
        <v>0.75</v>
      </c>
      <c r="G193" s="63">
        <v>0</v>
      </c>
      <c r="H193" s="63">
        <v>0</v>
      </c>
      <c r="I193" s="63">
        <v>0</v>
      </c>
      <c r="J193" s="63">
        <v>0</v>
      </c>
      <c r="K193" s="76">
        <v>0</v>
      </c>
      <c r="L193" s="497">
        <f t="shared" si="66"/>
        <v>0.75</v>
      </c>
      <c r="M193" s="944"/>
      <c r="N193" s="476"/>
      <c r="O193" s="513"/>
      <c r="P193" s="1077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68"/>
    </row>
    <row r="194" spans="1:58" s="51" customFormat="1">
      <c r="A194" s="796"/>
      <c r="B194" s="999"/>
      <c r="C194" s="1120"/>
      <c r="D194" s="62">
        <v>2027</v>
      </c>
      <c r="E194" s="63">
        <f>F194+G194+H194+I194+J194</f>
        <v>15</v>
      </c>
      <c r="F194" s="63">
        <v>0.75</v>
      </c>
      <c r="G194" s="63">
        <v>0</v>
      </c>
      <c r="H194" s="63">
        <v>14.25</v>
      </c>
      <c r="I194" s="63">
        <v>0</v>
      </c>
      <c r="J194" s="63">
        <v>0</v>
      </c>
      <c r="K194" s="76">
        <v>0</v>
      </c>
      <c r="L194" s="497">
        <f t="shared" si="66"/>
        <v>15</v>
      </c>
      <c r="M194" s="945"/>
      <c r="N194" s="476"/>
      <c r="O194" s="513"/>
      <c r="P194" s="1077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68"/>
    </row>
    <row r="195" spans="1:58" s="51" customFormat="1" ht="19.5" customHeight="1">
      <c r="A195" s="1112" t="s">
        <v>466</v>
      </c>
      <c r="B195" s="838" t="s">
        <v>456</v>
      </c>
      <c r="C195" s="881" t="s">
        <v>1101</v>
      </c>
      <c r="D195" s="84" t="s">
        <v>16</v>
      </c>
      <c r="E195" s="85">
        <f t="shared" ref="E195:J195" si="68">E196+E197+E198</f>
        <v>280.9495</v>
      </c>
      <c r="F195" s="85">
        <f t="shared" si="68"/>
        <v>14.047500000000001</v>
      </c>
      <c r="G195" s="85">
        <f t="shared" si="68"/>
        <v>0</v>
      </c>
      <c r="H195" s="85">
        <f t="shared" si="68"/>
        <v>266.90200000000004</v>
      </c>
      <c r="I195" s="85">
        <f t="shared" si="68"/>
        <v>0</v>
      </c>
      <c r="J195" s="85">
        <f t="shared" si="68"/>
        <v>0</v>
      </c>
      <c r="K195" s="76">
        <v>0</v>
      </c>
      <c r="L195" s="497">
        <f t="shared" si="66"/>
        <v>280.94950000000006</v>
      </c>
      <c r="M195" s="1031" t="s">
        <v>457</v>
      </c>
      <c r="N195" s="476"/>
      <c r="O195" s="1034">
        <v>90</v>
      </c>
      <c r="P195" s="1077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68"/>
    </row>
    <row r="196" spans="1:58" s="51" customFormat="1" ht="27.75" customHeight="1">
      <c r="A196" s="795"/>
      <c r="B196" s="839"/>
      <c r="C196" s="882"/>
      <c r="D196" s="62">
        <v>2024</v>
      </c>
      <c r="E196" s="63">
        <f>F196+G196+H196+I196+J196</f>
        <v>102.9495</v>
      </c>
      <c r="F196" s="63">
        <v>5.1475</v>
      </c>
      <c r="G196" s="63">
        <v>0</v>
      </c>
      <c r="H196" s="63">
        <v>97.802000000000007</v>
      </c>
      <c r="I196" s="63">
        <v>0</v>
      </c>
      <c r="J196" s="63">
        <v>0</v>
      </c>
      <c r="K196" s="76">
        <v>0</v>
      </c>
      <c r="L196" s="497">
        <f t="shared" si="66"/>
        <v>102.9495</v>
      </c>
      <c r="M196" s="944"/>
      <c r="N196" s="476"/>
      <c r="O196" s="944"/>
      <c r="P196" s="1077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68"/>
    </row>
    <row r="197" spans="1:58" s="51" customFormat="1">
      <c r="A197" s="795"/>
      <c r="B197" s="839"/>
      <c r="C197" s="882"/>
      <c r="D197" s="62">
        <v>2025</v>
      </c>
      <c r="E197" s="63">
        <f>F197+G197+H197+I197+J197</f>
        <v>150</v>
      </c>
      <c r="F197" s="63">
        <v>7.5</v>
      </c>
      <c r="G197" s="63">
        <v>0</v>
      </c>
      <c r="H197" s="63">
        <v>142.5</v>
      </c>
      <c r="I197" s="63">
        <v>0</v>
      </c>
      <c r="J197" s="63">
        <v>0</v>
      </c>
      <c r="K197" s="76">
        <v>0</v>
      </c>
      <c r="L197" s="497">
        <f t="shared" si="66"/>
        <v>150</v>
      </c>
      <c r="M197" s="944"/>
      <c r="N197" s="476"/>
      <c r="O197" s="944"/>
      <c r="P197" s="1077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68"/>
    </row>
    <row r="198" spans="1:58" s="51" customFormat="1" ht="21.75" customHeight="1">
      <c r="A198" s="795"/>
      <c r="B198" s="839"/>
      <c r="C198" s="964"/>
      <c r="D198" s="62">
        <v>2026</v>
      </c>
      <c r="E198" s="63">
        <f>F198+G198+H198+I198+J198</f>
        <v>28</v>
      </c>
      <c r="F198" s="63">
        <v>1.4</v>
      </c>
      <c r="G198" s="63">
        <v>0</v>
      </c>
      <c r="H198" s="63">
        <v>26.6</v>
      </c>
      <c r="I198" s="63">
        <v>0</v>
      </c>
      <c r="J198" s="63">
        <v>0</v>
      </c>
      <c r="K198" s="76">
        <v>0</v>
      </c>
      <c r="L198" s="497">
        <f t="shared" si="66"/>
        <v>28</v>
      </c>
      <c r="M198" s="945"/>
      <c r="N198" s="476"/>
      <c r="O198" s="945"/>
      <c r="P198" s="1077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68"/>
    </row>
    <row r="199" spans="1:58" s="51" customFormat="1" ht="17.25" customHeight="1">
      <c r="A199" s="1112" t="s">
        <v>468</v>
      </c>
      <c r="B199" s="838" t="s">
        <v>460</v>
      </c>
      <c r="C199" s="915" t="s">
        <v>407</v>
      </c>
      <c r="D199" s="84" t="s">
        <v>16</v>
      </c>
      <c r="E199" s="85">
        <f t="shared" ref="E199:J199" si="69">E200+E201</f>
        <v>78</v>
      </c>
      <c r="F199" s="85">
        <f t="shared" si="69"/>
        <v>6.2750000000000004</v>
      </c>
      <c r="G199" s="85">
        <f t="shared" si="69"/>
        <v>0</v>
      </c>
      <c r="H199" s="85">
        <f t="shared" si="69"/>
        <v>71.724999999999994</v>
      </c>
      <c r="I199" s="85">
        <f t="shared" si="69"/>
        <v>0</v>
      </c>
      <c r="J199" s="85">
        <f t="shared" si="69"/>
        <v>0</v>
      </c>
      <c r="K199" s="76">
        <v>0</v>
      </c>
      <c r="L199" s="497">
        <f t="shared" si="66"/>
        <v>78</v>
      </c>
      <c r="M199" s="965"/>
      <c r="N199" s="476"/>
      <c r="O199" s="513"/>
      <c r="P199" s="49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68"/>
    </row>
    <row r="200" spans="1:58" s="51" customFormat="1" ht="28.5" customHeight="1">
      <c r="A200" s="795"/>
      <c r="B200" s="839"/>
      <c r="C200" s="916"/>
      <c r="D200" s="62">
        <v>2026</v>
      </c>
      <c r="E200" s="63">
        <f>F200+G200+H200+I200+J200</f>
        <v>2.5</v>
      </c>
      <c r="F200" s="63">
        <v>2.5</v>
      </c>
      <c r="G200" s="63">
        <v>0</v>
      </c>
      <c r="H200" s="63">
        <v>0</v>
      </c>
      <c r="I200" s="63">
        <v>0</v>
      </c>
      <c r="J200" s="63">
        <v>0</v>
      </c>
      <c r="K200" s="76">
        <v>0</v>
      </c>
      <c r="L200" s="497">
        <f t="shared" si="66"/>
        <v>2.5</v>
      </c>
      <c r="M200" s="1141"/>
      <c r="N200" s="476"/>
      <c r="O200" s="513"/>
      <c r="P200" s="49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68"/>
    </row>
    <row r="201" spans="1:58" s="51" customFormat="1" ht="17.25" customHeight="1">
      <c r="A201" s="151"/>
      <c r="B201" s="168"/>
      <c r="C201" s="999"/>
      <c r="D201" s="62">
        <v>2027</v>
      </c>
      <c r="E201" s="63">
        <f>F201+G201+H201+I201+J201</f>
        <v>75.5</v>
      </c>
      <c r="F201" s="63">
        <v>3.7749999999999999</v>
      </c>
      <c r="G201" s="63">
        <v>0</v>
      </c>
      <c r="H201" s="63">
        <v>71.724999999999994</v>
      </c>
      <c r="I201" s="63">
        <v>0</v>
      </c>
      <c r="J201" s="63">
        <v>0</v>
      </c>
      <c r="K201" s="76">
        <v>0</v>
      </c>
      <c r="L201" s="497">
        <f t="shared" si="66"/>
        <v>75.5</v>
      </c>
      <c r="M201" s="505"/>
      <c r="N201" s="476"/>
      <c r="O201" s="383"/>
      <c r="P201" s="49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68"/>
    </row>
    <row r="202" spans="1:58" s="51" customFormat="1" ht="12.75" customHeight="1">
      <c r="A202" s="1112" t="s">
        <v>470</v>
      </c>
      <c r="B202" s="915" t="s">
        <v>463</v>
      </c>
      <c r="C202" s="915" t="s">
        <v>1101</v>
      </c>
      <c r="D202" s="84" t="s">
        <v>16</v>
      </c>
      <c r="E202" s="85">
        <f t="shared" ref="E202:J202" si="70">E203+E204</f>
        <v>95.834400000000002</v>
      </c>
      <c r="F202" s="85">
        <f t="shared" si="70"/>
        <v>16.7226</v>
      </c>
      <c r="G202" s="85">
        <f t="shared" si="70"/>
        <v>0</v>
      </c>
      <c r="H202" s="85">
        <f t="shared" si="70"/>
        <v>79.111800000000002</v>
      </c>
      <c r="I202" s="85">
        <f t="shared" si="70"/>
        <v>0</v>
      </c>
      <c r="J202" s="85">
        <f t="shared" si="70"/>
        <v>0</v>
      </c>
      <c r="K202" s="76">
        <v>0</v>
      </c>
      <c r="L202" s="497">
        <f t="shared" si="66"/>
        <v>95.834400000000002</v>
      </c>
      <c r="M202" s="1031"/>
      <c r="N202" s="476"/>
      <c r="O202" s="1034"/>
      <c r="P202" s="490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68"/>
    </row>
    <row r="203" spans="1:58" s="51" customFormat="1" ht="12.75" customHeight="1">
      <c r="A203" s="795"/>
      <c r="B203" s="916"/>
      <c r="C203" s="916"/>
      <c r="D203" s="62">
        <v>2020</v>
      </c>
      <c r="E203" s="63">
        <f>F203+G203+H203+I203+J203</f>
        <v>45.4666</v>
      </c>
      <c r="F203" s="63">
        <v>5.9107000000000003</v>
      </c>
      <c r="G203" s="63">
        <v>0</v>
      </c>
      <c r="H203" s="63">
        <v>39.555900000000001</v>
      </c>
      <c r="I203" s="63">
        <v>0</v>
      </c>
      <c r="J203" s="63">
        <v>0</v>
      </c>
      <c r="K203" s="76">
        <v>0</v>
      </c>
      <c r="L203" s="497">
        <f t="shared" si="66"/>
        <v>45.4666</v>
      </c>
      <c r="M203" s="1032"/>
      <c r="N203" s="476"/>
      <c r="O203" s="1035"/>
      <c r="P203" s="490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68"/>
    </row>
    <row r="204" spans="1:58" s="51" customFormat="1" ht="12.75" customHeight="1">
      <c r="A204" s="796"/>
      <c r="B204" s="999"/>
      <c r="C204" s="999"/>
      <c r="D204" s="62">
        <v>2021</v>
      </c>
      <c r="E204" s="63">
        <f>F204+G204+H204+I204+J204</f>
        <v>50.367800000000003</v>
      </c>
      <c r="F204" s="63">
        <v>10.8119</v>
      </c>
      <c r="G204" s="63">
        <v>0</v>
      </c>
      <c r="H204" s="63">
        <v>39.555900000000001</v>
      </c>
      <c r="I204" s="63">
        <v>0</v>
      </c>
      <c r="J204" s="63">
        <v>0</v>
      </c>
      <c r="K204" s="76">
        <v>0</v>
      </c>
      <c r="L204" s="497">
        <f t="shared" si="66"/>
        <v>50.367800000000003</v>
      </c>
      <c r="M204" s="384"/>
      <c r="N204" s="476"/>
      <c r="O204" s="514"/>
      <c r="P204" s="490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68"/>
    </row>
    <row r="205" spans="1:58" s="51" customFormat="1" ht="12.75" customHeight="1">
      <c r="A205" s="1112" t="s">
        <v>472</v>
      </c>
      <c r="B205" s="838" t="s">
        <v>465</v>
      </c>
      <c r="C205" s="915" t="s">
        <v>372</v>
      </c>
      <c r="D205" s="84" t="s">
        <v>16</v>
      </c>
      <c r="E205" s="85">
        <f t="shared" ref="E205:J205" si="71">E206</f>
        <v>2.4E-2</v>
      </c>
      <c r="F205" s="85">
        <f t="shared" si="71"/>
        <v>2.4E-2</v>
      </c>
      <c r="G205" s="85">
        <f t="shared" si="71"/>
        <v>0</v>
      </c>
      <c r="H205" s="85">
        <f t="shared" si="71"/>
        <v>0</v>
      </c>
      <c r="I205" s="85">
        <f t="shared" si="71"/>
        <v>0</v>
      </c>
      <c r="J205" s="85">
        <f t="shared" si="71"/>
        <v>0</v>
      </c>
      <c r="K205" s="76">
        <v>0</v>
      </c>
      <c r="L205" s="497">
        <f t="shared" si="66"/>
        <v>2.4E-2</v>
      </c>
      <c r="M205" s="965"/>
      <c r="N205" s="476"/>
      <c r="O205" s="301"/>
      <c r="P205" s="490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68"/>
    </row>
    <row r="206" spans="1:58" s="51" customFormat="1">
      <c r="A206" s="795"/>
      <c r="B206" s="839"/>
      <c r="C206" s="916"/>
      <c r="D206" s="62">
        <v>2019</v>
      </c>
      <c r="E206" s="63">
        <f>F206+G206+H206+I206+J206</f>
        <v>2.4E-2</v>
      </c>
      <c r="F206" s="63">
        <v>2.4E-2</v>
      </c>
      <c r="G206" s="63">
        <v>0</v>
      </c>
      <c r="H206" s="63">
        <v>0</v>
      </c>
      <c r="I206" s="63">
        <v>0</v>
      </c>
      <c r="J206" s="63">
        <v>0</v>
      </c>
      <c r="K206" s="76">
        <v>0</v>
      </c>
      <c r="L206" s="497">
        <f t="shared" si="66"/>
        <v>2.4E-2</v>
      </c>
      <c r="M206" s="966"/>
      <c r="N206" s="476"/>
      <c r="O206" s="301"/>
      <c r="P206" s="490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68"/>
    </row>
    <row r="207" spans="1:58" s="51" customFormat="1">
      <c r="A207" s="151"/>
      <c r="B207" s="168"/>
      <c r="C207" s="999"/>
      <c r="D207" s="62">
        <v>2021</v>
      </c>
      <c r="E207" s="63">
        <f>F207+G207+H207+I207+J207</f>
        <v>0.25</v>
      </c>
      <c r="F207" s="63">
        <v>0.25</v>
      </c>
      <c r="G207" s="63">
        <v>0</v>
      </c>
      <c r="H207" s="63">
        <v>0</v>
      </c>
      <c r="I207" s="63">
        <v>0</v>
      </c>
      <c r="J207" s="63">
        <v>0</v>
      </c>
      <c r="K207" s="76">
        <v>0</v>
      </c>
      <c r="L207" s="497">
        <f t="shared" si="66"/>
        <v>0.25</v>
      </c>
      <c r="M207" s="515"/>
      <c r="N207" s="476"/>
      <c r="O207" s="301"/>
      <c r="P207" s="490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68"/>
    </row>
    <row r="208" spans="1:58" s="51" customFormat="1" ht="12.75" customHeight="1">
      <c r="A208" s="1112" t="s">
        <v>474</v>
      </c>
      <c r="B208" s="838" t="s">
        <v>467</v>
      </c>
      <c r="C208" s="915" t="s">
        <v>372</v>
      </c>
      <c r="D208" s="84" t="s">
        <v>16</v>
      </c>
      <c r="E208" s="480">
        <f>E209+E210+E211+E212</f>
        <v>51.932499999999997</v>
      </c>
      <c r="F208" s="480">
        <f t="shared" ref="F208:K208" si="72">F209+F210+F211+F212</f>
        <v>8.9432999999999989</v>
      </c>
      <c r="G208" s="480">
        <f t="shared" si="72"/>
        <v>0</v>
      </c>
      <c r="H208" s="480">
        <f t="shared" si="72"/>
        <v>42.989199999999997</v>
      </c>
      <c r="I208" s="480">
        <f t="shared" si="72"/>
        <v>0</v>
      </c>
      <c r="J208" s="480">
        <f t="shared" si="72"/>
        <v>0</v>
      </c>
      <c r="K208" s="480">
        <f t="shared" si="72"/>
        <v>0</v>
      </c>
      <c r="L208" s="497">
        <f t="shared" si="66"/>
        <v>51.932499999999997</v>
      </c>
      <c r="M208" s="515"/>
      <c r="N208" s="476"/>
      <c r="O208" s="301"/>
      <c r="P208" s="490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68"/>
    </row>
    <row r="209" spans="1:58" s="51" customFormat="1" ht="24.75" customHeight="1">
      <c r="A209" s="795"/>
      <c r="B209" s="839"/>
      <c r="C209" s="999"/>
      <c r="D209" s="62">
        <v>2019</v>
      </c>
      <c r="E209" s="63">
        <f>F209+G209+H209+I209+J209</f>
        <v>2.3458999999999999</v>
      </c>
      <c r="F209" s="63">
        <v>2.3458999999999999</v>
      </c>
      <c r="G209" s="63">
        <v>0</v>
      </c>
      <c r="H209" s="63">
        <v>0</v>
      </c>
      <c r="I209" s="63">
        <v>0</v>
      </c>
      <c r="J209" s="63">
        <v>0</v>
      </c>
      <c r="K209" s="76">
        <v>0</v>
      </c>
      <c r="L209" s="497">
        <f t="shared" si="66"/>
        <v>2.3458999999999999</v>
      </c>
      <c r="M209" s="515"/>
      <c r="N209" s="476"/>
      <c r="O209" s="301"/>
      <c r="P209" s="490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68"/>
    </row>
    <row r="210" spans="1:58" s="51" customFormat="1" ht="19.5" customHeight="1">
      <c r="A210" s="151"/>
      <c r="B210" s="168"/>
      <c r="C210" s="184" t="s">
        <v>1101</v>
      </c>
      <c r="D210" s="62">
        <v>2021</v>
      </c>
      <c r="E210" s="741">
        <f t="shared" ref="E210:E212" si="73">F210+G210+H210+I210+J210</f>
        <v>11.494299999999999</v>
      </c>
      <c r="F210" s="63">
        <v>1.4943</v>
      </c>
      <c r="G210" s="63">
        <v>0</v>
      </c>
      <c r="H210" s="63">
        <v>10</v>
      </c>
      <c r="I210" s="63">
        <v>0</v>
      </c>
      <c r="J210" s="63">
        <v>0</v>
      </c>
      <c r="K210" s="76">
        <v>0</v>
      </c>
      <c r="L210" s="497"/>
      <c r="M210" s="515"/>
      <c r="N210" s="476"/>
      <c r="O210" s="301"/>
      <c r="P210" s="490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68"/>
    </row>
    <row r="211" spans="1:58" s="51" customFormat="1" ht="19.5" customHeight="1">
      <c r="A211" s="151"/>
      <c r="B211" s="168"/>
      <c r="C211" s="184"/>
      <c r="D211" s="62">
        <v>2022</v>
      </c>
      <c r="E211" s="741">
        <f t="shared" si="73"/>
        <v>22.988500000000002</v>
      </c>
      <c r="F211" s="63">
        <v>2.9885000000000002</v>
      </c>
      <c r="G211" s="63">
        <v>0</v>
      </c>
      <c r="H211" s="63">
        <v>20</v>
      </c>
      <c r="I211" s="63">
        <v>0</v>
      </c>
      <c r="J211" s="63">
        <v>0</v>
      </c>
      <c r="K211" s="76">
        <v>0</v>
      </c>
      <c r="L211" s="497"/>
      <c r="M211" s="515"/>
      <c r="N211" s="476"/>
      <c r="O211" s="301"/>
      <c r="P211" s="490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68"/>
    </row>
    <row r="212" spans="1:58" s="51" customFormat="1" ht="19.5" customHeight="1">
      <c r="A212" s="737"/>
      <c r="B212" s="738"/>
      <c r="C212" s="743"/>
      <c r="D212" s="744">
        <v>2023</v>
      </c>
      <c r="E212" s="741">
        <f t="shared" si="73"/>
        <v>15.1038</v>
      </c>
      <c r="F212" s="741">
        <v>2.1145999999999998</v>
      </c>
      <c r="G212" s="741">
        <v>0</v>
      </c>
      <c r="H212" s="741">
        <v>12.9892</v>
      </c>
      <c r="I212" s="741">
        <v>0</v>
      </c>
      <c r="J212" s="741">
        <v>0</v>
      </c>
      <c r="K212" s="742">
        <v>0</v>
      </c>
      <c r="L212" s="497"/>
      <c r="M212" s="515"/>
      <c r="N212" s="747"/>
      <c r="O212" s="301"/>
      <c r="P212" s="746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68"/>
    </row>
    <row r="213" spans="1:58" s="51" customFormat="1" ht="12.75" customHeight="1">
      <c r="A213" s="1112" t="s">
        <v>476</v>
      </c>
      <c r="B213" s="838" t="s">
        <v>469</v>
      </c>
      <c r="C213" s="881" t="s">
        <v>407</v>
      </c>
      <c r="D213" s="84" t="s">
        <v>16</v>
      </c>
      <c r="E213" s="480">
        <f t="shared" ref="E213:J213" si="74">E214+E215</f>
        <v>14.333299999999999</v>
      </c>
      <c r="F213" s="85">
        <f t="shared" si="74"/>
        <v>1.0332999999999999</v>
      </c>
      <c r="G213" s="85">
        <f t="shared" si="74"/>
        <v>0</v>
      </c>
      <c r="H213" s="85">
        <f t="shared" si="74"/>
        <v>13.3</v>
      </c>
      <c r="I213" s="85">
        <f t="shared" si="74"/>
        <v>0</v>
      </c>
      <c r="J213" s="85">
        <f t="shared" si="74"/>
        <v>0</v>
      </c>
      <c r="K213" s="76">
        <v>0</v>
      </c>
      <c r="L213" s="497">
        <f t="shared" ref="L213:L250" si="75">F213+G213+H213+I213+J213</f>
        <v>14.333300000000001</v>
      </c>
      <c r="M213" s="515"/>
      <c r="N213" s="476"/>
      <c r="O213" s="301"/>
      <c r="P213" s="490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68"/>
    </row>
    <row r="214" spans="1:58" s="51" customFormat="1" ht="12.75" customHeight="1">
      <c r="A214" s="795"/>
      <c r="B214" s="839"/>
      <c r="C214" s="882"/>
      <c r="D214" s="62">
        <v>2026</v>
      </c>
      <c r="E214" s="63">
        <f>F214+G214+H214+I214+J214</f>
        <v>0.33329999999999999</v>
      </c>
      <c r="F214" s="63">
        <v>0.33329999999999999</v>
      </c>
      <c r="G214" s="63">
        <v>0</v>
      </c>
      <c r="H214" s="63">
        <v>0</v>
      </c>
      <c r="I214" s="63">
        <v>0</v>
      </c>
      <c r="J214" s="63">
        <v>0</v>
      </c>
      <c r="K214" s="76">
        <v>0</v>
      </c>
      <c r="L214" s="497">
        <f t="shared" si="75"/>
        <v>0.33329999999999999</v>
      </c>
      <c r="M214" s="515"/>
      <c r="N214" s="476"/>
      <c r="O214" s="301"/>
      <c r="P214" s="490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68"/>
    </row>
    <row r="215" spans="1:58" s="51" customFormat="1" ht="12.75" customHeight="1">
      <c r="A215" s="796"/>
      <c r="B215" s="168"/>
      <c r="C215" s="882"/>
      <c r="D215" s="62">
        <v>2027</v>
      </c>
      <c r="E215" s="63">
        <f>F215+G215+H215+I215+J215</f>
        <v>14</v>
      </c>
      <c r="F215" s="63">
        <v>0.7</v>
      </c>
      <c r="G215" s="63">
        <v>0</v>
      </c>
      <c r="H215" s="63">
        <v>13.3</v>
      </c>
      <c r="I215" s="63">
        <v>0</v>
      </c>
      <c r="J215" s="63">
        <v>0</v>
      </c>
      <c r="K215" s="76">
        <v>0</v>
      </c>
      <c r="L215" s="497">
        <f t="shared" si="75"/>
        <v>14</v>
      </c>
      <c r="M215" s="515"/>
      <c r="N215" s="476"/>
      <c r="O215" s="301"/>
      <c r="P215" s="490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68"/>
    </row>
    <row r="216" spans="1:58" s="51" customFormat="1" ht="12.75" customHeight="1">
      <c r="A216" s="1112" t="s">
        <v>478</v>
      </c>
      <c r="B216" s="1117" t="s">
        <v>471</v>
      </c>
      <c r="C216" s="882"/>
      <c r="D216" s="84" t="s">
        <v>16</v>
      </c>
      <c r="E216" s="85">
        <f t="shared" ref="E216:J216" si="76">E217+E218</f>
        <v>14.333299999999999</v>
      </c>
      <c r="F216" s="85">
        <f t="shared" si="76"/>
        <v>1.0332999999999999</v>
      </c>
      <c r="G216" s="85">
        <f t="shared" si="76"/>
        <v>0</v>
      </c>
      <c r="H216" s="85">
        <f t="shared" si="76"/>
        <v>13.3</v>
      </c>
      <c r="I216" s="85">
        <f t="shared" si="76"/>
        <v>0</v>
      </c>
      <c r="J216" s="85">
        <f t="shared" si="76"/>
        <v>0</v>
      </c>
      <c r="K216" s="76">
        <v>0</v>
      </c>
      <c r="L216" s="497">
        <f t="shared" si="75"/>
        <v>14.333300000000001</v>
      </c>
      <c r="M216" s="515"/>
      <c r="N216" s="476"/>
      <c r="O216" s="301"/>
      <c r="P216" s="490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68"/>
    </row>
    <row r="217" spans="1:58" s="51" customFormat="1" ht="12.75" customHeight="1">
      <c r="A217" s="795"/>
      <c r="B217" s="1117"/>
      <c r="C217" s="882"/>
      <c r="D217" s="62">
        <v>2026</v>
      </c>
      <c r="E217" s="63">
        <f>F217+G217+H217+I217+J217</f>
        <v>0.33329999999999999</v>
      </c>
      <c r="F217" s="63">
        <v>0.33329999999999999</v>
      </c>
      <c r="G217" s="63">
        <v>0</v>
      </c>
      <c r="H217" s="63">
        <v>0</v>
      </c>
      <c r="I217" s="63">
        <v>0</v>
      </c>
      <c r="J217" s="63">
        <v>0</v>
      </c>
      <c r="K217" s="76">
        <v>0</v>
      </c>
      <c r="L217" s="497">
        <f t="shared" si="75"/>
        <v>0.33329999999999999</v>
      </c>
      <c r="M217" s="515"/>
      <c r="N217" s="476"/>
      <c r="O217" s="301"/>
      <c r="P217" s="490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68"/>
    </row>
    <row r="218" spans="1:58" s="51" customFormat="1" ht="12.75" customHeight="1">
      <c r="A218" s="796"/>
      <c r="B218" s="1117"/>
      <c r="C218" s="882"/>
      <c r="D218" s="62">
        <v>2027</v>
      </c>
      <c r="E218" s="63">
        <f>F218+G218+H218+I218+J218</f>
        <v>14</v>
      </c>
      <c r="F218" s="63">
        <v>0.7</v>
      </c>
      <c r="G218" s="63">
        <v>0</v>
      </c>
      <c r="H218" s="63">
        <v>13.3</v>
      </c>
      <c r="I218" s="63">
        <v>0</v>
      </c>
      <c r="J218" s="63">
        <v>0</v>
      </c>
      <c r="K218" s="76">
        <v>0</v>
      </c>
      <c r="L218" s="497">
        <f t="shared" si="75"/>
        <v>14</v>
      </c>
      <c r="M218" s="515"/>
      <c r="N218" s="476"/>
      <c r="O218" s="301"/>
      <c r="P218" s="490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68"/>
    </row>
    <row r="219" spans="1:58" s="51" customFormat="1" ht="15.75" customHeight="1">
      <c r="A219" s="510" t="s">
        <v>480</v>
      </c>
      <c r="B219" s="839" t="s">
        <v>473</v>
      </c>
      <c r="C219" s="190"/>
      <c r="D219" s="84" t="s">
        <v>16</v>
      </c>
      <c r="E219" s="85">
        <f>E220+E221</f>
        <v>18.7499</v>
      </c>
      <c r="F219" s="85">
        <f>F220+F221</f>
        <v>1.2541</v>
      </c>
      <c r="G219" s="85">
        <f>G220+G221</f>
        <v>0</v>
      </c>
      <c r="H219" s="85">
        <f>H220+H221</f>
        <v>17.495799999999999</v>
      </c>
      <c r="I219" s="85">
        <v>0</v>
      </c>
      <c r="J219" s="85">
        <v>0</v>
      </c>
      <c r="K219" s="76">
        <v>0</v>
      </c>
      <c r="L219" s="497">
        <f t="shared" si="75"/>
        <v>18.7499</v>
      </c>
      <c r="M219" s="515"/>
      <c r="N219" s="476"/>
      <c r="O219" s="301"/>
      <c r="P219" s="490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68"/>
    </row>
    <row r="220" spans="1:58" s="51" customFormat="1">
      <c r="A220" s="516"/>
      <c r="B220" s="839"/>
      <c r="C220" s="190"/>
      <c r="D220" s="62">
        <v>2026</v>
      </c>
      <c r="E220" s="63">
        <f>F220+G220+H220+I220+J220</f>
        <v>0.33329999999999999</v>
      </c>
      <c r="F220" s="63">
        <v>0.33329999999999999</v>
      </c>
      <c r="G220" s="63">
        <v>0</v>
      </c>
      <c r="H220" s="63">
        <v>0</v>
      </c>
      <c r="I220" s="63">
        <v>0</v>
      </c>
      <c r="J220" s="63">
        <v>0</v>
      </c>
      <c r="K220" s="76">
        <v>0</v>
      </c>
      <c r="L220" s="497">
        <f t="shared" si="75"/>
        <v>0.33329999999999999</v>
      </c>
      <c r="M220" s="515"/>
      <c r="N220" s="476"/>
      <c r="O220" s="301"/>
      <c r="P220" s="490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68"/>
    </row>
    <row r="221" spans="1:58" s="51" customFormat="1">
      <c r="A221" s="517"/>
      <c r="B221" s="854"/>
      <c r="C221" s="190"/>
      <c r="D221" s="62">
        <v>2027</v>
      </c>
      <c r="E221" s="63">
        <f>F221+G221+H221+I221+J221</f>
        <v>18.416599999999999</v>
      </c>
      <c r="F221" s="63">
        <v>0.92079999999999995</v>
      </c>
      <c r="G221" s="63">
        <v>0</v>
      </c>
      <c r="H221" s="63">
        <v>17.495799999999999</v>
      </c>
      <c r="I221" s="63">
        <v>0</v>
      </c>
      <c r="J221" s="63">
        <v>0</v>
      </c>
      <c r="K221" s="76">
        <v>0</v>
      </c>
      <c r="L221" s="497">
        <f t="shared" si="75"/>
        <v>18.416599999999999</v>
      </c>
      <c r="M221" s="515"/>
      <c r="N221" s="476"/>
      <c r="O221" s="301"/>
      <c r="P221" s="490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68"/>
    </row>
    <row r="222" spans="1:58" s="51" customFormat="1" ht="12.75" customHeight="1">
      <c r="A222" s="1112" t="s">
        <v>482</v>
      </c>
      <c r="B222" s="838" t="s">
        <v>475</v>
      </c>
      <c r="C222" s="190"/>
      <c r="D222" s="84" t="s">
        <v>16</v>
      </c>
      <c r="E222" s="85">
        <f t="shared" ref="E222:J222" si="77">E223+E224</f>
        <v>12.499899999999998</v>
      </c>
      <c r="F222" s="85">
        <f t="shared" si="77"/>
        <v>0.94159999999999999</v>
      </c>
      <c r="G222" s="85">
        <f t="shared" si="77"/>
        <v>0</v>
      </c>
      <c r="H222" s="85">
        <f t="shared" si="77"/>
        <v>11.558299999999999</v>
      </c>
      <c r="I222" s="85">
        <f t="shared" si="77"/>
        <v>0</v>
      </c>
      <c r="J222" s="85">
        <f t="shared" si="77"/>
        <v>0</v>
      </c>
      <c r="K222" s="76">
        <v>0</v>
      </c>
      <c r="L222" s="497">
        <f t="shared" si="75"/>
        <v>12.499899999999998</v>
      </c>
      <c r="M222" s="515"/>
      <c r="N222" s="476"/>
      <c r="O222" s="301"/>
      <c r="P222" s="490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68"/>
    </row>
    <row r="223" spans="1:58" s="51" customFormat="1" ht="12.75" customHeight="1">
      <c r="A223" s="795"/>
      <c r="B223" s="839"/>
      <c r="C223" s="190"/>
      <c r="D223" s="62">
        <v>2026</v>
      </c>
      <c r="E223" s="63">
        <f>F223+G223+H223+I223+J223</f>
        <v>0.33329999999999999</v>
      </c>
      <c r="F223" s="63">
        <v>0.33329999999999999</v>
      </c>
      <c r="G223" s="63">
        <v>0</v>
      </c>
      <c r="H223" s="63">
        <v>0</v>
      </c>
      <c r="I223" s="63">
        <v>0</v>
      </c>
      <c r="J223" s="63">
        <v>0</v>
      </c>
      <c r="K223" s="76">
        <v>0</v>
      </c>
      <c r="L223" s="497">
        <f t="shared" si="75"/>
        <v>0.33329999999999999</v>
      </c>
      <c r="M223" s="515"/>
      <c r="N223" s="476"/>
      <c r="O223" s="301"/>
      <c r="P223" s="490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68"/>
    </row>
    <row r="224" spans="1:58" s="51" customFormat="1" ht="12.75" customHeight="1">
      <c r="A224" s="151"/>
      <c r="B224" s="168"/>
      <c r="C224" s="190"/>
      <c r="D224" s="62">
        <v>2027</v>
      </c>
      <c r="E224" s="63">
        <f>F224+G224+H224+I224+J224</f>
        <v>12.166599999999999</v>
      </c>
      <c r="F224" s="63">
        <v>0.60829999999999995</v>
      </c>
      <c r="G224" s="63">
        <v>0</v>
      </c>
      <c r="H224" s="63">
        <v>11.558299999999999</v>
      </c>
      <c r="I224" s="63">
        <v>0</v>
      </c>
      <c r="J224" s="63">
        <v>0</v>
      </c>
      <c r="K224" s="76">
        <v>0</v>
      </c>
      <c r="L224" s="497">
        <f t="shared" si="75"/>
        <v>12.166599999999999</v>
      </c>
      <c r="M224" s="515"/>
      <c r="N224" s="476"/>
      <c r="O224" s="301"/>
      <c r="P224" s="490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68"/>
    </row>
    <row r="225" spans="1:58" s="51" customFormat="1" ht="12.75" customHeight="1">
      <c r="A225" s="1112" t="s">
        <v>484</v>
      </c>
      <c r="B225" s="838" t="s">
        <v>477</v>
      </c>
      <c r="C225" s="190"/>
      <c r="D225" s="84" t="s">
        <v>16</v>
      </c>
      <c r="E225" s="85">
        <f t="shared" ref="E225:J225" si="78">E226+E227</f>
        <v>19.999999999999996</v>
      </c>
      <c r="F225" s="85">
        <f t="shared" si="78"/>
        <v>0.94</v>
      </c>
      <c r="G225" s="85">
        <f t="shared" si="78"/>
        <v>0</v>
      </c>
      <c r="H225" s="85">
        <f t="shared" si="78"/>
        <v>19.059999999999999</v>
      </c>
      <c r="I225" s="85">
        <f t="shared" si="78"/>
        <v>0</v>
      </c>
      <c r="J225" s="85">
        <f t="shared" si="78"/>
        <v>0</v>
      </c>
      <c r="K225" s="76">
        <v>0</v>
      </c>
      <c r="L225" s="497">
        <f t="shared" si="75"/>
        <v>20</v>
      </c>
      <c r="M225" s="515"/>
      <c r="N225" s="476"/>
      <c r="O225" s="301"/>
      <c r="P225" s="490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68"/>
    </row>
    <row r="226" spans="1:58" s="51" customFormat="1" ht="12.75" customHeight="1">
      <c r="A226" s="795"/>
      <c r="B226" s="839"/>
      <c r="C226" s="190"/>
      <c r="D226" s="62">
        <v>2026</v>
      </c>
      <c r="E226" s="63">
        <f>F226</f>
        <v>0.2</v>
      </c>
      <c r="F226" s="63">
        <v>0.2</v>
      </c>
      <c r="G226" s="63">
        <v>0</v>
      </c>
      <c r="H226" s="63">
        <v>0</v>
      </c>
      <c r="I226" s="63">
        <v>0</v>
      </c>
      <c r="J226" s="63">
        <v>0</v>
      </c>
      <c r="K226" s="76">
        <v>0</v>
      </c>
      <c r="L226" s="497">
        <f t="shared" si="75"/>
        <v>0.2</v>
      </c>
      <c r="M226" s="515"/>
      <c r="N226" s="476"/>
      <c r="O226" s="301"/>
      <c r="P226" s="490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68"/>
    </row>
    <row r="227" spans="1:58" s="51" customFormat="1" ht="12.75" customHeight="1">
      <c r="A227" s="796"/>
      <c r="B227" s="854"/>
      <c r="C227" s="190"/>
      <c r="D227" s="62">
        <v>2027</v>
      </c>
      <c r="E227" s="63">
        <f>F227+G227+H227+I227+J227</f>
        <v>19.799999999999997</v>
      </c>
      <c r="F227" s="63">
        <v>0.74</v>
      </c>
      <c r="G227" s="63">
        <v>0</v>
      </c>
      <c r="H227" s="63">
        <v>19.059999999999999</v>
      </c>
      <c r="I227" s="63">
        <v>0</v>
      </c>
      <c r="J227" s="63">
        <v>0</v>
      </c>
      <c r="K227" s="76">
        <v>0</v>
      </c>
      <c r="L227" s="497">
        <f t="shared" si="75"/>
        <v>19.799999999999997</v>
      </c>
      <c r="M227" s="515"/>
      <c r="N227" s="476"/>
      <c r="O227" s="301"/>
      <c r="P227" s="490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68"/>
    </row>
    <row r="228" spans="1:58" s="51" customFormat="1" ht="12.75" customHeight="1">
      <c r="A228" s="1112" t="s">
        <v>486</v>
      </c>
      <c r="B228" s="838" t="s">
        <v>479</v>
      </c>
      <c r="C228" s="190"/>
      <c r="D228" s="84" t="s">
        <v>16</v>
      </c>
      <c r="E228" s="85">
        <f t="shared" ref="E228:J228" si="79">E229+E230</f>
        <v>16.25</v>
      </c>
      <c r="F228" s="85">
        <f t="shared" si="79"/>
        <v>1.05</v>
      </c>
      <c r="G228" s="85">
        <f t="shared" si="79"/>
        <v>0</v>
      </c>
      <c r="H228" s="85">
        <f t="shared" si="79"/>
        <v>15.2</v>
      </c>
      <c r="I228" s="85">
        <f t="shared" si="79"/>
        <v>0</v>
      </c>
      <c r="J228" s="85">
        <f t="shared" si="79"/>
        <v>0</v>
      </c>
      <c r="K228" s="76">
        <v>0</v>
      </c>
      <c r="L228" s="497">
        <f t="shared" si="75"/>
        <v>16.25</v>
      </c>
      <c r="M228" s="515"/>
      <c r="N228" s="476"/>
      <c r="O228" s="301"/>
      <c r="P228" s="490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68"/>
    </row>
    <row r="229" spans="1:58" s="51" customFormat="1" ht="12.75" customHeight="1">
      <c r="A229" s="795"/>
      <c r="B229" s="839"/>
      <c r="C229" s="190"/>
      <c r="D229" s="62">
        <v>2026</v>
      </c>
      <c r="E229" s="63">
        <f>F229</f>
        <v>0.25</v>
      </c>
      <c r="F229" s="63">
        <v>0.25</v>
      </c>
      <c r="G229" s="63">
        <v>0</v>
      </c>
      <c r="H229" s="63">
        <v>0</v>
      </c>
      <c r="I229" s="63">
        <v>0</v>
      </c>
      <c r="J229" s="63">
        <v>0</v>
      </c>
      <c r="K229" s="76">
        <v>0</v>
      </c>
      <c r="L229" s="497">
        <f t="shared" si="75"/>
        <v>0.25</v>
      </c>
      <c r="M229" s="515"/>
      <c r="N229" s="476"/>
      <c r="O229" s="301"/>
      <c r="P229" s="490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68"/>
    </row>
    <row r="230" spans="1:58" s="51" customFormat="1" ht="12.75" customHeight="1">
      <c r="A230" s="796"/>
      <c r="B230" s="854"/>
      <c r="C230" s="190"/>
      <c r="D230" s="62">
        <v>2027</v>
      </c>
      <c r="E230" s="63">
        <f>F230+G230+H230+I230+J230</f>
        <v>16</v>
      </c>
      <c r="F230" s="63">
        <v>0.8</v>
      </c>
      <c r="G230" s="63">
        <v>0</v>
      </c>
      <c r="H230" s="63">
        <v>15.2</v>
      </c>
      <c r="I230" s="63">
        <v>0</v>
      </c>
      <c r="J230" s="63">
        <v>0</v>
      </c>
      <c r="K230" s="76">
        <v>0</v>
      </c>
      <c r="L230" s="497">
        <f t="shared" si="75"/>
        <v>16</v>
      </c>
      <c r="M230" s="515"/>
      <c r="N230" s="476"/>
      <c r="O230" s="301"/>
      <c r="P230" s="490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68"/>
    </row>
    <row r="231" spans="1:58" s="51" customFormat="1" ht="12.75" customHeight="1">
      <c r="A231" s="1112" t="s">
        <v>488</v>
      </c>
      <c r="B231" s="838" t="s">
        <v>481</v>
      </c>
      <c r="C231" s="190"/>
      <c r="D231" s="84" t="s">
        <v>16</v>
      </c>
      <c r="E231" s="85">
        <f t="shared" ref="E231:J231" si="80">E233+E232</f>
        <v>16.25</v>
      </c>
      <c r="F231" s="85">
        <f t="shared" si="80"/>
        <v>1.05</v>
      </c>
      <c r="G231" s="85">
        <f t="shared" si="80"/>
        <v>0</v>
      </c>
      <c r="H231" s="85">
        <f t="shared" si="80"/>
        <v>15.2</v>
      </c>
      <c r="I231" s="85">
        <f t="shared" si="80"/>
        <v>0</v>
      </c>
      <c r="J231" s="85">
        <f t="shared" si="80"/>
        <v>0</v>
      </c>
      <c r="K231" s="76">
        <v>0</v>
      </c>
      <c r="L231" s="497">
        <f t="shared" si="75"/>
        <v>16.25</v>
      </c>
      <c r="M231" s="515"/>
      <c r="N231" s="476"/>
      <c r="O231" s="301"/>
      <c r="P231" s="490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68"/>
    </row>
    <row r="232" spans="1:58" s="51" customFormat="1" ht="12.75" customHeight="1">
      <c r="A232" s="795"/>
      <c r="B232" s="889"/>
      <c r="C232" s="190"/>
      <c r="D232" s="62">
        <v>2026</v>
      </c>
      <c r="E232" s="63">
        <f>F232</f>
        <v>0.25</v>
      </c>
      <c r="F232" s="63">
        <v>0.25</v>
      </c>
      <c r="G232" s="63">
        <v>0</v>
      </c>
      <c r="H232" s="63">
        <v>0</v>
      </c>
      <c r="I232" s="63">
        <v>0</v>
      </c>
      <c r="J232" s="63">
        <v>0</v>
      </c>
      <c r="K232" s="76">
        <v>0</v>
      </c>
      <c r="L232" s="497">
        <f t="shared" si="75"/>
        <v>0.25</v>
      </c>
      <c r="M232" s="515"/>
      <c r="N232" s="476"/>
      <c r="O232" s="301"/>
      <c r="P232" s="490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68"/>
    </row>
    <row r="233" spans="1:58" s="51" customFormat="1" ht="12.75" customHeight="1">
      <c r="A233" s="796"/>
      <c r="B233" s="890"/>
      <c r="C233" s="190"/>
      <c r="D233" s="62">
        <v>2027</v>
      </c>
      <c r="E233" s="63">
        <f>F233+G233+H233</f>
        <v>16</v>
      </c>
      <c r="F233" s="63">
        <v>0.8</v>
      </c>
      <c r="G233" s="63">
        <v>0</v>
      </c>
      <c r="H233" s="63">
        <v>15.2</v>
      </c>
      <c r="I233" s="63">
        <v>0</v>
      </c>
      <c r="J233" s="63">
        <v>0</v>
      </c>
      <c r="K233" s="76">
        <v>0</v>
      </c>
      <c r="L233" s="497">
        <f t="shared" si="75"/>
        <v>16</v>
      </c>
      <c r="M233" s="515"/>
      <c r="N233" s="476"/>
      <c r="O233" s="301"/>
      <c r="P233" s="490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68"/>
    </row>
    <row r="234" spans="1:58" s="51" customFormat="1" ht="12.75" customHeight="1">
      <c r="A234" s="1112" t="s">
        <v>491</v>
      </c>
      <c r="B234" s="838" t="s">
        <v>483</v>
      </c>
      <c r="C234" s="190"/>
      <c r="D234" s="84" t="s">
        <v>16</v>
      </c>
      <c r="E234" s="85">
        <f t="shared" ref="E234:J234" si="81">E236+E235</f>
        <v>22.5</v>
      </c>
      <c r="F234" s="85">
        <f t="shared" si="81"/>
        <v>1.5049999999999999</v>
      </c>
      <c r="G234" s="85">
        <f t="shared" si="81"/>
        <v>0</v>
      </c>
      <c r="H234" s="85">
        <f t="shared" si="81"/>
        <v>20.995000000000001</v>
      </c>
      <c r="I234" s="85">
        <f t="shared" si="81"/>
        <v>0</v>
      </c>
      <c r="J234" s="85">
        <f t="shared" si="81"/>
        <v>0</v>
      </c>
      <c r="K234" s="76">
        <v>0</v>
      </c>
      <c r="L234" s="497">
        <f t="shared" si="75"/>
        <v>22.5</v>
      </c>
      <c r="M234" s="515"/>
      <c r="N234" s="476"/>
      <c r="O234" s="301"/>
      <c r="P234" s="490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68"/>
    </row>
    <row r="235" spans="1:58" s="51" customFormat="1" ht="12.75" customHeight="1">
      <c r="A235" s="795"/>
      <c r="B235" s="839"/>
      <c r="C235" s="190"/>
      <c r="D235" s="62">
        <v>2026</v>
      </c>
      <c r="E235" s="63">
        <f>F235</f>
        <v>0.4</v>
      </c>
      <c r="F235" s="63">
        <v>0.4</v>
      </c>
      <c r="G235" s="63">
        <v>0</v>
      </c>
      <c r="H235" s="63">
        <v>0</v>
      </c>
      <c r="I235" s="63">
        <v>0</v>
      </c>
      <c r="J235" s="63">
        <v>0</v>
      </c>
      <c r="K235" s="76">
        <v>0</v>
      </c>
      <c r="L235" s="497">
        <f t="shared" si="75"/>
        <v>0.4</v>
      </c>
      <c r="M235" s="515"/>
      <c r="N235" s="476"/>
      <c r="O235" s="301"/>
      <c r="P235" s="490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68"/>
    </row>
    <row r="236" spans="1:58" s="51" customFormat="1" ht="12.75" customHeight="1">
      <c r="A236" s="796"/>
      <c r="B236" s="854"/>
      <c r="C236" s="190"/>
      <c r="D236" s="62">
        <v>2027</v>
      </c>
      <c r="E236" s="63">
        <f>F236+G236+H236+I236+J236</f>
        <v>22.1</v>
      </c>
      <c r="F236" s="63">
        <v>1.105</v>
      </c>
      <c r="G236" s="63">
        <v>0</v>
      </c>
      <c r="H236" s="63">
        <v>20.995000000000001</v>
      </c>
      <c r="I236" s="63">
        <v>0</v>
      </c>
      <c r="J236" s="63">
        <v>0</v>
      </c>
      <c r="K236" s="76">
        <v>0</v>
      </c>
      <c r="L236" s="497">
        <f t="shared" si="75"/>
        <v>22.1</v>
      </c>
      <c r="M236" s="515"/>
      <c r="N236" s="476"/>
      <c r="O236" s="301"/>
      <c r="P236" s="490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68"/>
    </row>
    <row r="237" spans="1:58" s="51" customFormat="1" ht="12.75" customHeight="1">
      <c r="A237" s="1112" t="s">
        <v>495</v>
      </c>
      <c r="B237" s="838" t="s">
        <v>485</v>
      </c>
      <c r="C237" s="1019" t="s">
        <v>372</v>
      </c>
      <c r="D237" s="84" t="s">
        <v>16</v>
      </c>
      <c r="E237" s="85">
        <f t="shared" ref="E237:J237" si="82">E238</f>
        <v>2.4718</v>
      </c>
      <c r="F237" s="85">
        <f t="shared" si="82"/>
        <v>2.4718</v>
      </c>
      <c r="G237" s="85">
        <f t="shared" si="82"/>
        <v>0</v>
      </c>
      <c r="H237" s="85">
        <f t="shared" si="82"/>
        <v>0</v>
      </c>
      <c r="I237" s="85">
        <f t="shared" si="82"/>
        <v>0</v>
      </c>
      <c r="J237" s="85">
        <f t="shared" si="82"/>
        <v>0</v>
      </c>
      <c r="K237" s="76">
        <v>0</v>
      </c>
      <c r="L237" s="497">
        <f t="shared" si="75"/>
        <v>2.4718</v>
      </c>
      <c r="M237" s="515"/>
      <c r="N237" s="476"/>
      <c r="O237" s="301"/>
      <c r="P237" s="490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68"/>
    </row>
    <row r="238" spans="1:58" s="51" customFormat="1" ht="12.75" customHeight="1">
      <c r="A238" s="795"/>
      <c r="B238" s="839"/>
      <c r="C238" s="1019"/>
      <c r="D238" s="62">
        <v>2019</v>
      </c>
      <c r="E238" s="63">
        <f>F238</f>
        <v>2.4718</v>
      </c>
      <c r="F238" s="63">
        <v>2.4718</v>
      </c>
      <c r="G238" s="63">
        <v>0</v>
      </c>
      <c r="H238" s="63">
        <v>0</v>
      </c>
      <c r="I238" s="63">
        <v>0</v>
      </c>
      <c r="J238" s="63">
        <v>0</v>
      </c>
      <c r="K238" s="76">
        <v>0</v>
      </c>
      <c r="L238" s="497">
        <f t="shared" si="75"/>
        <v>2.4718</v>
      </c>
      <c r="M238" s="515"/>
      <c r="N238" s="476"/>
      <c r="O238" s="301"/>
      <c r="P238" s="490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68"/>
    </row>
    <row r="239" spans="1:58" s="51" customFormat="1" ht="12.75" customHeight="1">
      <c r="A239" s="1112" t="s">
        <v>497</v>
      </c>
      <c r="B239" s="1116" t="s">
        <v>1442</v>
      </c>
      <c r="C239" s="881" t="s">
        <v>372</v>
      </c>
      <c r="D239" s="84" t="s">
        <v>16</v>
      </c>
      <c r="E239" s="85">
        <f t="shared" ref="E239:J239" si="83">E240+E241</f>
        <v>25.124799999999997</v>
      </c>
      <c r="F239" s="85">
        <f t="shared" si="83"/>
        <v>3.5467</v>
      </c>
      <c r="G239" s="85">
        <f t="shared" si="83"/>
        <v>0</v>
      </c>
      <c r="H239" s="85">
        <f t="shared" si="83"/>
        <v>21.578099999999999</v>
      </c>
      <c r="I239" s="85">
        <f t="shared" si="83"/>
        <v>0</v>
      </c>
      <c r="J239" s="85">
        <f t="shared" si="83"/>
        <v>0</v>
      </c>
      <c r="K239" s="76">
        <v>0</v>
      </c>
      <c r="L239" s="497">
        <f t="shared" si="75"/>
        <v>25.1248</v>
      </c>
      <c r="M239" s="515"/>
      <c r="N239" s="476"/>
      <c r="O239" s="301"/>
      <c r="P239" s="490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68"/>
    </row>
    <row r="240" spans="1:58" s="51" customFormat="1" ht="27" customHeight="1">
      <c r="A240" s="795"/>
      <c r="B240" s="839"/>
      <c r="C240" s="964"/>
      <c r="D240" s="62">
        <v>2019</v>
      </c>
      <c r="E240" s="63">
        <f>F240+G240+H240+I240+J240</f>
        <v>0.32229999999999998</v>
      </c>
      <c r="F240" s="63">
        <v>0.32229999999999998</v>
      </c>
      <c r="G240" s="63">
        <v>0</v>
      </c>
      <c r="H240" s="63">
        <v>0</v>
      </c>
      <c r="I240" s="63">
        <v>0</v>
      </c>
      <c r="J240" s="63">
        <v>0</v>
      </c>
      <c r="K240" s="76">
        <v>0</v>
      </c>
      <c r="L240" s="497">
        <f t="shared" si="75"/>
        <v>0.32229999999999998</v>
      </c>
      <c r="M240" s="515"/>
      <c r="N240" s="476"/>
      <c r="O240" s="301"/>
      <c r="P240" s="490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68"/>
    </row>
    <row r="241" spans="1:58" s="51" customFormat="1" ht="26.25" customHeight="1">
      <c r="A241" s="151"/>
      <c r="B241" s="168"/>
      <c r="C241" s="188" t="s">
        <v>1101</v>
      </c>
      <c r="D241" s="62">
        <v>2020</v>
      </c>
      <c r="E241" s="63">
        <f>F241+G241+H241</f>
        <v>24.802499999999998</v>
      </c>
      <c r="F241" s="63">
        <v>3.2244000000000002</v>
      </c>
      <c r="G241" s="63">
        <v>0</v>
      </c>
      <c r="H241" s="63">
        <v>21.578099999999999</v>
      </c>
      <c r="I241" s="63">
        <v>0</v>
      </c>
      <c r="J241" s="63">
        <v>0</v>
      </c>
      <c r="K241" s="76">
        <v>0</v>
      </c>
      <c r="L241" s="497">
        <f t="shared" si="75"/>
        <v>24.802499999999998</v>
      </c>
      <c r="M241" s="515"/>
      <c r="N241" s="476"/>
      <c r="O241" s="301"/>
      <c r="P241" s="490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68"/>
    </row>
    <row r="242" spans="1:58" s="51" customFormat="1" ht="26.25" customHeight="1">
      <c r="A242" s="737"/>
      <c r="B242" s="738"/>
      <c r="C242" s="739"/>
      <c r="D242" s="744">
        <v>2021</v>
      </c>
      <c r="E242" s="741">
        <f>F242</f>
        <v>0.60399999999999998</v>
      </c>
      <c r="F242" s="741">
        <v>0.60399999999999998</v>
      </c>
      <c r="G242" s="741">
        <v>0</v>
      </c>
      <c r="H242" s="741">
        <v>0</v>
      </c>
      <c r="I242" s="741">
        <v>0</v>
      </c>
      <c r="J242" s="741">
        <v>0</v>
      </c>
      <c r="K242" s="742">
        <v>0</v>
      </c>
      <c r="L242" s="497">
        <f t="shared" si="75"/>
        <v>0.60399999999999998</v>
      </c>
      <c r="M242" s="515"/>
      <c r="N242" s="747"/>
      <c r="O242" s="301"/>
      <c r="P242" s="746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68"/>
    </row>
    <row r="243" spans="1:58" s="51" customFormat="1" ht="12.75" customHeight="1">
      <c r="A243" s="1112" t="s">
        <v>499</v>
      </c>
      <c r="B243" s="838" t="s">
        <v>489</v>
      </c>
      <c r="C243" s="881" t="s">
        <v>407</v>
      </c>
      <c r="D243" s="84" t="s">
        <v>16</v>
      </c>
      <c r="E243" s="85">
        <f t="shared" ref="E243:J243" si="84">E244+E245+E246</f>
        <v>83.299970000000002</v>
      </c>
      <c r="F243" s="85">
        <f t="shared" si="84"/>
        <v>11.8714</v>
      </c>
      <c r="G243" s="85">
        <f t="shared" si="84"/>
        <v>0</v>
      </c>
      <c r="H243" s="85">
        <f t="shared" si="84"/>
        <v>71.428570000000008</v>
      </c>
      <c r="I243" s="85">
        <f t="shared" si="84"/>
        <v>0</v>
      </c>
      <c r="J243" s="85">
        <f t="shared" si="84"/>
        <v>0</v>
      </c>
      <c r="K243" s="76">
        <v>0</v>
      </c>
      <c r="L243" s="497">
        <f t="shared" si="75"/>
        <v>83.299970000000002</v>
      </c>
      <c r="M243" s="515"/>
      <c r="N243" s="476"/>
      <c r="O243" s="301"/>
      <c r="P243" s="490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68"/>
    </row>
    <row r="244" spans="1:58" s="51" customFormat="1" ht="12.75" customHeight="1">
      <c r="A244" s="795"/>
      <c r="B244" s="839"/>
      <c r="C244" s="882"/>
      <c r="D244" s="62">
        <v>2026</v>
      </c>
      <c r="E244" s="63">
        <f>F244+G244+H244+I244+J244</f>
        <v>8.3000000000000007</v>
      </c>
      <c r="F244" s="63">
        <v>8.3000000000000007</v>
      </c>
      <c r="G244" s="63">
        <v>0</v>
      </c>
      <c r="H244" s="63">
        <v>0</v>
      </c>
      <c r="I244" s="63">
        <v>0</v>
      </c>
      <c r="J244" s="63">
        <v>0</v>
      </c>
      <c r="K244" s="76">
        <v>0</v>
      </c>
      <c r="L244" s="497">
        <f t="shared" si="75"/>
        <v>8.3000000000000007</v>
      </c>
      <c r="M244" s="515"/>
      <c r="N244" s="476"/>
      <c r="O244" s="301"/>
      <c r="P244" s="490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68"/>
    </row>
    <row r="245" spans="1:58" s="51" customFormat="1">
      <c r="A245" s="795"/>
      <c r="B245" s="839"/>
      <c r="C245" s="882"/>
      <c r="D245" s="62">
        <v>2027</v>
      </c>
      <c r="E245" s="63">
        <f>F245+G245+H245+I245+J245</f>
        <v>30.817500000000003</v>
      </c>
      <c r="F245" s="63">
        <v>1.4675</v>
      </c>
      <c r="G245" s="63">
        <v>0</v>
      </c>
      <c r="H245" s="63">
        <v>29.35</v>
      </c>
      <c r="I245" s="63">
        <v>0</v>
      </c>
      <c r="J245" s="63">
        <v>0</v>
      </c>
      <c r="K245" s="76">
        <v>0</v>
      </c>
      <c r="L245" s="497">
        <f t="shared" si="75"/>
        <v>30.817500000000003</v>
      </c>
      <c r="M245" s="965" t="s">
        <v>490</v>
      </c>
      <c r="N245" s="476"/>
      <c r="O245" s="301"/>
      <c r="P245" s="490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68"/>
    </row>
    <row r="246" spans="1:58" s="51" customFormat="1">
      <c r="A246" s="796"/>
      <c r="B246" s="854"/>
      <c r="C246" s="964"/>
      <c r="D246" s="62">
        <v>2028</v>
      </c>
      <c r="E246" s="63">
        <f>F246+G246+H246+I246+J246</f>
        <v>44.182470000000002</v>
      </c>
      <c r="F246" s="63">
        <v>2.1038999999999999</v>
      </c>
      <c r="G246" s="63">
        <v>0</v>
      </c>
      <c r="H246" s="63">
        <v>42.078569999999999</v>
      </c>
      <c r="I246" s="63">
        <v>0</v>
      </c>
      <c r="J246" s="63">
        <v>0</v>
      </c>
      <c r="K246" s="76">
        <v>0</v>
      </c>
      <c r="L246" s="497">
        <f t="shared" si="75"/>
        <v>44.182470000000002</v>
      </c>
      <c r="M246" s="966"/>
      <c r="N246" s="476"/>
      <c r="O246" s="301"/>
      <c r="P246" s="490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68"/>
    </row>
    <row r="247" spans="1:58" s="51" customFormat="1" ht="12.75" customHeight="1">
      <c r="A247" s="1105" t="s">
        <v>501</v>
      </c>
      <c r="B247" s="915" t="s">
        <v>492</v>
      </c>
      <c r="C247" s="881" t="s">
        <v>493</v>
      </c>
      <c r="D247" s="84" t="s">
        <v>16</v>
      </c>
      <c r="E247" s="480">
        <f>E248+E249+E250</f>
        <v>833.41599999999994</v>
      </c>
      <c r="F247" s="480">
        <f>F248+F249+F250</f>
        <v>45.2136</v>
      </c>
      <c r="G247" s="480">
        <f>G248+G249+G250</f>
        <v>0</v>
      </c>
      <c r="H247" s="480">
        <f>H248+H249+H250</f>
        <v>788.20240000000001</v>
      </c>
      <c r="I247" s="480">
        <f>I248+I249+I250</f>
        <v>0</v>
      </c>
      <c r="J247" s="85">
        <f>J248+J249</f>
        <v>0</v>
      </c>
      <c r="K247" s="76">
        <v>0</v>
      </c>
      <c r="L247" s="497">
        <f t="shared" si="75"/>
        <v>833.41600000000005</v>
      </c>
      <c r="M247" s="1031" t="s">
        <v>494</v>
      </c>
      <c r="N247" s="476"/>
      <c r="O247" s="301">
        <v>50</v>
      </c>
      <c r="P247" s="490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68"/>
    </row>
    <row r="248" spans="1:58" s="51" customFormat="1" ht="63" customHeight="1">
      <c r="A248" s="921"/>
      <c r="B248" s="916"/>
      <c r="C248" s="964"/>
      <c r="D248" s="62">
        <v>2019</v>
      </c>
      <c r="E248" s="63">
        <f>F248+G248+H248+I248+J248</f>
        <v>189.26400000000001</v>
      </c>
      <c r="F248" s="63">
        <v>12.787599999999999</v>
      </c>
      <c r="G248" s="63">
        <v>0</v>
      </c>
      <c r="H248" s="63">
        <v>176.47640000000001</v>
      </c>
      <c r="I248" s="63">
        <v>0</v>
      </c>
      <c r="J248" s="63">
        <v>0</v>
      </c>
      <c r="K248" s="76">
        <v>0</v>
      </c>
      <c r="L248" s="497">
        <f t="shared" si="75"/>
        <v>189.26400000000001</v>
      </c>
      <c r="M248" s="944"/>
      <c r="N248" s="476"/>
      <c r="O248" s="81"/>
      <c r="P248" s="490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68"/>
    </row>
    <row r="249" spans="1:58" s="51" customFormat="1" ht="21.75" customHeight="1">
      <c r="A249" s="921"/>
      <c r="B249" s="916"/>
      <c r="C249" s="915" t="s">
        <v>1101</v>
      </c>
      <c r="D249" s="62">
        <v>2020</v>
      </c>
      <c r="E249" s="63">
        <f>F249+G249+H249+I249+J249</f>
        <v>337.75060000000002</v>
      </c>
      <c r="F249" s="63">
        <v>16.887599999999999</v>
      </c>
      <c r="G249" s="63">
        <v>0</v>
      </c>
      <c r="H249" s="63">
        <v>320.863</v>
      </c>
      <c r="I249" s="63">
        <v>0</v>
      </c>
      <c r="J249" s="63">
        <v>0</v>
      </c>
      <c r="K249" s="76">
        <v>0</v>
      </c>
      <c r="L249" s="497">
        <f t="shared" si="75"/>
        <v>337.75060000000002</v>
      </c>
      <c r="M249" s="945"/>
      <c r="N249" s="476"/>
      <c r="O249" s="301"/>
      <c r="P249" s="490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68"/>
    </row>
    <row r="250" spans="1:58" s="51" customFormat="1" ht="21.75" customHeight="1">
      <c r="A250" s="921"/>
      <c r="B250" s="999"/>
      <c r="C250" s="999"/>
      <c r="D250" s="62">
        <v>2021</v>
      </c>
      <c r="E250" s="63">
        <f>F250+G250+H250+I250+J250</f>
        <v>306.40140000000002</v>
      </c>
      <c r="F250" s="63">
        <f>15.3086+0.2298</f>
        <v>15.538399999999999</v>
      </c>
      <c r="G250" s="63">
        <v>0</v>
      </c>
      <c r="H250" s="63">
        <v>290.863</v>
      </c>
      <c r="I250" s="63">
        <v>0</v>
      </c>
      <c r="J250" s="63">
        <v>0</v>
      </c>
      <c r="K250" s="76">
        <v>0</v>
      </c>
      <c r="L250" s="497">
        <f t="shared" si="75"/>
        <v>306.40140000000002</v>
      </c>
      <c r="M250" s="330"/>
      <c r="N250" s="476"/>
      <c r="O250" s="301"/>
      <c r="P250" s="490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68"/>
    </row>
    <row r="251" spans="1:58" s="51" customFormat="1" ht="21.75" customHeight="1">
      <c r="A251" s="1216" t="s">
        <v>503</v>
      </c>
      <c r="B251" s="915" t="s">
        <v>1128</v>
      </c>
      <c r="C251" s="915" t="s">
        <v>1101</v>
      </c>
      <c r="D251" s="84" t="s">
        <v>16</v>
      </c>
      <c r="E251" s="85">
        <f t="shared" ref="E251:K251" si="85">E252</f>
        <v>12.5</v>
      </c>
      <c r="F251" s="85">
        <f t="shared" si="85"/>
        <v>12.5</v>
      </c>
      <c r="G251" s="85">
        <f t="shared" si="85"/>
        <v>0</v>
      </c>
      <c r="H251" s="85">
        <f t="shared" si="85"/>
        <v>0</v>
      </c>
      <c r="I251" s="85">
        <f t="shared" si="85"/>
        <v>0</v>
      </c>
      <c r="J251" s="85">
        <f t="shared" si="85"/>
        <v>0</v>
      </c>
      <c r="K251" s="85">
        <f t="shared" si="85"/>
        <v>0</v>
      </c>
      <c r="L251" s="497"/>
      <c r="M251" s="1031" t="s">
        <v>1129</v>
      </c>
      <c r="N251" s="476"/>
      <c r="O251" s="301"/>
      <c r="P251" s="490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68"/>
    </row>
    <row r="252" spans="1:58" s="51" customFormat="1" ht="33.75" customHeight="1">
      <c r="A252" s="1216"/>
      <c r="B252" s="916"/>
      <c r="C252" s="999"/>
      <c r="D252" s="62">
        <v>2021</v>
      </c>
      <c r="E252" s="63">
        <f>F252+G252+H252+I252+J252</f>
        <v>12.5</v>
      </c>
      <c r="F252" s="63">
        <v>12.5</v>
      </c>
      <c r="G252" s="63">
        <v>0</v>
      </c>
      <c r="H252" s="63">
        <v>0</v>
      </c>
      <c r="I252" s="63">
        <v>0</v>
      </c>
      <c r="J252" s="63">
        <v>0</v>
      </c>
      <c r="K252" s="76">
        <v>0</v>
      </c>
      <c r="L252" s="497"/>
      <c r="M252" s="1032"/>
      <c r="N252" s="476"/>
      <c r="O252" s="301"/>
      <c r="P252" s="490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68"/>
    </row>
    <row r="253" spans="1:58" s="51" customFormat="1" ht="22.5" customHeight="1">
      <c r="A253" s="1105" t="s">
        <v>505</v>
      </c>
      <c r="B253" s="870" t="s">
        <v>496</v>
      </c>
      <c r="C253" s="1077" t="s">
        <v>1101</v>
      </c>
      <c r="D253" s="84" t="s">
        <v>16</v>
      </c>
      <c r="E253" s="480">
        <f>E254</f>
        <v>4.3884999999999996</v>
      </c>
      <c r="F253" s="480">
        <f>F254</f>
        <v>4.3884999999999996</v>
      </c>
      <c r="G253" s="85">
        <f>G255</f>
        <v>0</v>
      </c>
      <c r="H253" s="85">
        <f>H255</f>
        <v>0</v>
      </c>
      <c r="I253" s="85">
        <f>I255</f>
        <v>0</v>
      </c>
      <c r="J253" s="85">
        <f>J255</f>
        <v>0</v>
      </c>
      <c r="K253" s="76">
        <v>0</v>
      </c>
      <c r="L253" s="497">
        <f>F253+G253+H253+I253+J253</f>
        <v>4.3884999999999996</v>
      </c>
      <c r="M253" s="330"/>
      <c r="N253" s="476"/>
      <c r="O253" s="301"/>
      <c r="P253" s="493"/>
      <c r="Q253" s="333"/>
      <c r="R253" s="333"/>
      <c r="S253" s="333"/>
      <c r="T253" s="333"/>
      <c r="U253" s="333"/>
      <c r="V253" s="333"/>
      <c r="W253" s="333"/>
      <c r="X253" s="333"/>
      <c r="Y253" s="333"/>
      <c r="Z253" s="333"/>
      <c r="AA253" s="333"/>
      <c r="AB253" s="333"/>
      <c r="AC253" s="333"/>
      <c r="AD253" s="333"/>
      <c r="AE253" s="333"/>
      <c r="AF253" s="333"/>
      <c r="AG253" s="333"/>
      <c r="AH253" s="333"/>
      <c r="AI253" s="333"/>
      <c r="AJ253" s="333"/>
      <c r="AK253" s="333"/>
      <c r="AL253" s="333"/>
      <c r="AM253" s="333"/>
      <c r="AN253" s="333"/>
      <c r="AO253" s="333"/>
      <c r="AP253" s="333"/>
      <c r="AQ253" s="333"/>
      <c r="AR253" s="333"/>
      <c r="AS253" s="333"/>
      <c r="AT253" s="333"/>
      <c r="AU253" s="333"/>
      <c r="AV253" s="333"/>
      <c r="AW253" s="333"/>
      <c r="AX253" s="333"/>
      <c r="AY253" s="333"/>
      <c r="AZ253" s="333"/>
      <c r="BA253" s="333"/>
      <c r="BB253" s="333"/>
      <c r="BC253" s="333"/>
      <c r="BD253" s="333"/>
      <c r="BE253" s="333"/>
      <c r="BF253" s="68"/>
    </row>
    <row r="254" spans="1:58" s="51" customFormat="1" ht="22.5" customHeight="1">
      <c r="A254" s="921"/>
      <c r="B254" s="870"/>
      <c r="C254" s="1077"/>
      <c r="D254" s="518">
        <v>2019</v>
      </c>
      <c r="E254" s="480">
        <f>F254</f>
        <v>4.3884999999999996</v>
      </c>
      <c r="F254" s="480">
        <v>4.3884999999999996</v>
      </c>
      <c r="G254" s="63">
        <v>0</v>
      </c>
      <c r="H254" s="63">
        <v>0</v>
      </c>
      <c r="I254" s="63">
        <v>0</v>
      </c>
      <c r="J254" s="63">
        <v>0</v>
      </c>
      <c r="K254" s="63">
        <v>0</v>
      </c>
      <c r="L254" s="497"/>
      <c r="M254" s="519"/>
      <c r="N254" s="476"/>
      <c r="O254" s="399"/>
      <c r="P254" s="520"/>
      <c r="Q254" s="508"/>
      <c r="R254" s="508"/>
      <c r="S254" s="508"/>
      <c r="T254" s="508"/>
      <c r="U254" s="508"/>
      <c r="V254" s="508"/>
      <c r="W254" s="508"/>
      <c r="X254" s="508"/>
      <c r="Y254" s="508"/>
      <c r="Z254" s="508"/>
      <c r="AA254" s="508"/>
      <c r="AB254" s="508"/>
      <c r="AC254" s="508"/>
      <c r="AD254" s="508"/>
      <c r="AE254" s="508"/>
      <c r="AF254" s="508"/>
      <c r="AG254" s="508"/>
      <c r="AH254" s="508"/>
      <c r="AI254" s="508"/>
      <c r="AJ254" s="508"/>
      <c r="AK254" s="508"/>
      <c r="AL254" s="508"/>
      <c r="AM254" s="508"/>
      <c r="AN254" s="508"/>
      <c r="AO254" s="508"/>
      <c r="AP254" s="508"/>
      <c r="AQ254" s="508"/>
      <c r="AR254" s="508"/>
      <c r="AS254" s="508"/>
      <c r="AT254" s="508"/>
      <c r="AU254" s="508"/>
      <c r="AV254" s="508"/>
      <c r="AW254" s="508"/>
      <c r="AX254" s="508"/>
      <c r="AY254" s="508"/>
      <c r="AZ254" s="508"/>
      <c r="BA254" s="508"/>
      <c r="BB254" s="508"/>
      <c r="BC254" s="508"/>
      <c r="BD254" s="508"/>
      <c r="BE254" s="508"/>
      <c r="BF254" s="68"/>
    </row>
    <row r="255" spans="1:58" s="51" customFormat="1" ht="15.75" customHeight="1">
      <c r="A255" s="921"/>
      <c r="B255" s="867"/>
      <c r="C255" s="1077"/>
      <c r="D255" s="62">
        <v>2022</v>
      </c>
      <c r="E255" s="63">
        <f>F255+G255+H255+I255+J255</f>
        <v>0</v>
      </c>
      <c r="F255" s="63">
        <v>0</v>
      </c>
      <c r="G255" s="63">
        <v>0</v>
      </c>
      <c r="H255" s="63">
        <v>0</v>
      </c>
      <c r="I255" s="63">
        <v>0</v>
      </c>
      <c r="J255" s="63">
        <v>0</v>
      </c>
      <c r="K255" s="76">
        <v>0</v>
      </c>
      <c r="L255" s="497">
        <f>F255+G255+H255+I255+J255</f>
        <v>0</v>
      </c>
      <c r="M255" s="519"/>
      <c r="N255" s="476"/>
      <c r="O255" s="301"/>
      <c r="P255" s="521"/>
      <c r="Q255" s="509"/>
      <c r="R255" s="509"/>
      <c r="S255" s="509"/>
      <c r="T255" s="509"/>
      <c r="U255" s="509"/>
      <c r="V255" s="509"/>
      <c r="W255" s="509"/>
      <c r="X255" s="509"/>
      <c r="Y255" s="509"/>
      <c r="Z255" s="509"/>
      <c r="AA255" s="509"/>
      <c r="AB255" s="509"/>
      <c r="AC255" s="509"/>
      <c r="AD255" s="509"/>
      <c r="AE255" s="509"/>
      <c r="AF255" s="509"/>
      <c r="AG255" s="509"/>
      <c r="AH255" s="509"/>
      <c r="AI255" s="509"/>
      <c r="AJ255" s="509"/>
      <c r="AK255" s="509"/>
      <c r="AL255" s="509"/>
      <c r="AM255" s="509"/>
      <c r="AN255" s="509"/>
      <c r="AO255" s="509"/>
      <c r="AP255" s="509"/>
      <c r="AQ255" s="509"/>
      <c r="AR255" s="509"/>
      <c r="AS255" s="509"/>
      <c r="AT255" s="509"/>
      <c r="AU255" s="509"/>
      <c r="AV255" s="509"/>
      <c r="AW255" s="509"/>
      <c r="AX255" s="509"/>
      <c r="AY255" s="509"/>
      <c r="AZ255" s="509"/>
      <c r="BA255" s="509"/>
      <c r="BB255" s="509"/>
      <c r="BC255" s="509"/>
      <c r="BD255" s="509"/>
      <c r="BE255" s="509"/>
      <c r="BF255" s="68"/>
    </row>
    <row r="256" spans="1:58" s="51" customFormat="1">
      <c r="A256" s="1105" t="s">
        <v>507</v>
      </c>
      <c r="B256" s="870" t="s">
        <v>498</v>
      </c>
      <c r="C256" s="1077" t="s">
        <v>1101</v>
      </c>
      <c r="D256" s="84" t="s">
        <v>16</v>
      </c>
      <c r="E256" s="480">
        <f>E257</f>
        <v>0.25580000000000003</v>
      </c>
      <c r="F256" s="480">
        <f>F257</f>
        <v>0.25580000000000003</v>
      </c>
      <c r="G256" s="480">
        <f>G257</f>
        <v>0</v>
      </c>
      <c r="H256" s="85">
        <f>H258</f>
        <v>0</v>
      </c>
      <c r="I256" s="85">
        <f>I258</f>
        <v>0</v>
      </c>
      <c r="J256" s="85">
        <f>J258</f>
        <v>0</v>
      </c>
      <c r="K256" s="76">
        <v>0</v>
      </c>
      <c r="L256" s="497">
        <f>F256+G256+H256+I256+J256</f>
        <v>0.25580000000000003</v>
      </c>
      <c r="M256" s="330"/>
      <c r="N256" s="476"/>
      <c r="O256" s="301"/>
      <c r="P256" s="49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  <c r="AA256" s="333"/>
      <c r="AB256" s="333"/>
      <c r="AC256" s="333"/>
      <c r="AD256" s="333"/>
      <c r="AE256" s="333"/>
      <c r="AF256" s="333"/>
      <c r="AG256" s="333"/>
      <c r="AH256" s="333"/>
      <c r="AI256" s="333"/>
      <c r="AJ256" s="333"/>
      <c r="AK256" s="333"/>
      <c r="AL256" s="333"/>
      <c r="AM256" s="333"/>
      <c r="AN256" s="333"/>
      <c r="AO256" s="333"/>
      <c r="AP256" s="333"/>
      <c r="AQ256" s="333"/>
      <c r="AR256" s="333"/>
      <c r="AS256" s="333"/>
      <c r="AT256" s="333"/>
      <c r="AU256" s="333"/>
      <c r="AV256" s="333"/>
      <c r="AW256" s="333"/>
      <c r="AX256" s="333"/>
      <c r="AY256" s="333"/>
      <c r="AZ256" s="333"/>
      <c r="BA256" s="333"/>
      <c r="BB256" s="333"/>
      <c r="BC256" s="333"/>
      <c r="BD256" s="333"/>
      <c r="BE256" s="333"/>
      <c r="BF256" s="68"/>
    </row>
    <row r="257" spans="1:58" s="51" customFormat="1">
      <c r="A257" s="921"/>
      <c r="B257" s="870"/>
      <c r="C257" s="1077"/>
      <c r="D257" s="518">
        <v>2019</v>
      </c>
      <c r="E257" s="480">
        <f>F257</f>
        <v>0.25580000000000003</v>
      </c>
      <c r="F257" s="480">
        <v>0.25580000000000003</v>
      </c>
      <c r="G257" s="63">
        <v>0</v>
      </c>
      <c r="H257" s="63">
        <v>0</v>
      </c>
      <c r="I257" s="63">
        <v>0</v>
      </c>
      <c r="J257" s="63">
        <v>0</v>
      </c>
      <c r="K257" s="63">
        <v>0</v>
      </c>
      <c r="L257" s="497"/>
      <c r="M257" s="519"/>
      <c r="N257" s="476"/>
      <c r="O257" s="399"/>
      <c r="P257" s="520"/>
      <c r="Q257" s="508"/>
      <c r="R257" s="508"/>
      <c r="S257" s="508"/>
      <c r="T257" s="508"/>
      <c r="U257" s="508"/>
      <c r="V257" s="508"/>
      <c r="W257" s="508"/>
      <c r="X257" s="508"/>
      <c r="Y257" s="508"/>
      <c r="Z257" s="508"/>
      <c r="AA257" s="508"/>
      <c r="AB257" s="508"/>
      <c r="AC257" s="508"/>
      <c r="AD257" s="508"/>
      <c r="AE257" s="508"/>
      <c r="AF257" s="508"/>
      <c r="AG257" s="508"/>
      <c r="AH257" s="508"/>
      <c r="AI257" s="508"/>
      <c r="AJ257" s="508"/>
      <c r="AK257" s="508"/>
      <c r="AL257" s="508"/>
      <c r="AM257" s="508"/>
      <c r="AN257" s="508"/>
      <c r="AO257" s="508"/>
      <c r="AP257" s="508"/>
      <c r="AQ257" s="508"/>
      <c r="AR257" s="508"/>
      <c r="AS257" s="508"/>
      <c r="AT257" s="508"/>
      <c r="AU257" s="508"/>
      <c r="AV257" s="508"/>
      <c r="AW257" s="508"/>
      <c r="AX257" s="508"/>
      <c r="AY257" s="508"/>
      <c r="AZ257" s="508"/>
      <c r="BA257" s="508"/>
      <c r="BB257" s="508"/>
      <c r="BC257" s="508"/>
      <c r="BD257" s="508"/>
      <c r="BE257" s="508"/>
      <c r="BF257" s="68"/>
    </row>
    <row r="258" spans="1:58" s="51" customFormat="1" ht="18" customHeight="1">
      <c r="A258" s="921"/>
      <c r="B258" s="867"/>
      <c r="C258" s="1077"/>
      <c r="D258" s="62">
        <v>2022</v>
      </c>
      <c r="E258" s="63">
        <f>F258+G258+H258+I258+J258</f>
        <v>0</v>
      </c>
      <c r="F258" s="63">
        <v>0</v>
      </c>
      <c r="G258" s="63">
        <v>0</v>
      </c>
      <c r="H258" s="63">
        <v>0</v>
      </c>
      <c r="I258" s="63">
        <v>0</v>
      </c>
      <c r="J258" s="63">
        <v>0</v>
      </c>
      <c r="K258" s="76">
        <v>0</v>
      </c>
      <c r="L258" s="497">
        <f>F258+G258+H258+I258+J258</f>
        <v>0</v>
      </c>
      <c r="M258" s="519"/>
      <c r="N258" s="476"/>
      <c r="O258" s="301"/>
      <c r="P258" s="521"/>
      <c r="Q258" s="509"/>
      <c r="R258" s="509"/>
      <c r="S258" s="509"/>
      <c r="T258" s="509"/>
      <c r="U258" s="509"/>
      <c r="V258" s="509"/>
      <c r="W258" s="509"/>
      <c r="X258" s="509"/>
      <c r="Y258" s="509"/>
      <c r="Z258" s="509"/>
      <c r="AA258" s="509"/>
      <c r="AB258" s="509"/>
      <c r="AC258" s="509"/>
      <c r="AD258" s="509"/>
      <c r="AE258" s="509"/>
      <c r="AF258" s="509"/>
      <c r="AG258" s="509"/>
      <c r="AH258" s="509"/>
      <c r="AI258" s="509"/>
      <c r="AJ258" s="509"/>
      <c r="AK258" s="509"/>
      <c r="AL258" s="509"/>
      <c r="AM258" s="509"/>
      <c r="AN258" s="509"/>
      <c r="AO258" s="509"/>
      <c r="AP258" s="509"/>
      <c r="AQ258" s="509"/>
      <c r="AR258" s="509"/>
      <c r="AS258" s="509"/>
      <c r="AT258" s="509"/>
      <c r="AU258" s="509"/>
      <c r="AV258" s="509"/>
      <c r="AW258" s="509"/>
      <c r="AX258" s="509"/>
      <c r="AY258" s="509"/>
      <c r="AZ258" s="509"/>
      <c r="BA258" s="509"/>
      <c r="BB258" s="509"/>
      <c r="BC258" s="509"/>
      <c r="BD258" s="509"/>
      <c r="BE258" s="509"/>
      <c r="BF258" s="68"/>
    </row>
    <row r="259" spans="1:58" s="51" customFormat="1">
      <c r="A259" s="1118" t="s">
        <v>509</v>
      </c>
      <c r="B259" s="934" t="s">
        <v>500</v>
      </c>
      <c r="C259" s="1077" t="s">
        <v>1101</v>
      </c>
      <c r="D259" s="84" t="s">
        <v>16</v>
      </c>
      <c r="E259" s="480">
        <f>E260</f>
        <v>2.5539000000000001</v>
      </c>
      <c r="F259" s="480">
        <f>F260</f>
        <v>2.5539000000000001</v>
      </c>
      <c r="G259" s="480">
        <f>G260</f>
        <v>0</v>
      </c>
      <c r="H259" s="85">
        <f>H261</f>
        <v>0</v>
      </c>
      <c r="I259" s="85">
        <f>I261</f>
        <v>0</v>
      </c>
      <c r="J259" s="85">
        <f>J261</f>
        <v>0</v>
      </c>
      <c r="K259" s="76">
        <v>0</v>
      </c>
      <c r="L259" s="497">
        <f>F259+G259+H259+I259+J259</f>
        <v>2.5539000000000001</v>
      </c>
      <c r="M259" s="330"/>
      <c r="N259" s="476"/>
      <c r="O259" s="301"/>
      <c r="P259" s="493"/>
      <c r="Q259" s="333"/>
      <c r="R259" s="333"/>
      <c r="S259" s="333"/>
      <c r="T259" s="333"/>
      <c r="U259" s="333"/>
      <c r="V259" s="333"/>
      <c r="W259" s="333"/>
      <c r="X259" s="333"/>
      <c r="Y259" s="333"/>
      <c r="Z259" s="333"/>
      <c r="AA259" s="333"/>
      <c r="AB259" s="333"/>
      <c r="AC259" s="333"/>
      <c r="AD259" s="333"/>
      <c r="AE259" s="333"/>
      <c r="AF259" s="333"/>
      <c r="AG259" s="333"/>
      <c r="AH259" s="333"/>
      <c r="AI259" s="333"/>
      <c r="AJ259" s="333"/>
      <c r="AK259" s="333"/>
      <c r="AL259" s="333"/>
      <c r="AM259" s="333"/>
      <c r="AN259" s="333"/>
      <c r="AO259" s="333"/>
      <c r="AP259" s="333"/>
      <c r="AQ259" s="333"/>
      <c r="AR259" s="333"/>
      <c r="AS259" s="333"/>
      <c r="AT259" s="333"/>
      <c r="AU259" s="333"/>
      <c r="AV259" s="333"/>
      <c r="AW259" s="333"/>
      <c r="AX259" s="333"/>
      <c r="AY259" s="333"/>
      <c r="AZ259" s="333"/>
      <c r="BA259" s="333"/>
      <c r="BB259" s="333"/>
      <c r="BC259" s="333"/>
      <c r="BD259" s="333"/>
      <c r="BE259" s="333"/>
      <c r="BF259" s="68"/>
    </row>
    <row r="260" spans="1:58" s="51" customFormat="1">
      <c r="A260" s="1119"/>
      <c r="B260" s="934"/>
      <c r="C260" s="1077"/>
      <c r="D260" s="518">
        <v>2019</v>
      </c>
      <c r="E260" s="480">
        <f>F260</f>
        <v>2.5539000000000001</v>
      </c>
      <c r="F260" s="480">
        <v>2.5539000000000001</v>
      </c>
      <c r="G260" s="63">
        <v>0</v>
      </c>
      <c r="H260" s="63">
        <v>0</v>
      </c>
      <c r="I260" s="63">
        <v>0</v>
      </c>
      <c r="J260" s="63">
        <v>0</v>
      </c>
      <c r="K260" s="63">
        <v>0</v>
      </c>
      <c r="L260" s="497"/>
      <c r="M260" s="519"/>
      <c r="N260" s="476"/>
      <c r="O260" s="399"/>
      <c r="P260" s="520"/>
      <c r="Q260" s="508"/>
      <c r="R260" s="508"/>
      <c r="S260" s="508"/>
      <c r="T260" s="508"/>
      <c r="U260" s="508"/>
      <c r="V260" s="508"/>
      <c r="W260" s="508"/>
      <c r="X260" s="508"/>
      <c r="Y260" s="508"/>
      <c r="Z260" s="508"/>
      <c r="AA260" s="508"/>
      <c r="AB260" s="508"/>
      <c r="AC260" s="508"/>
      <c r="AD260" s="508"/>
      <c r="AE260" s="508"/>
      <c r="AF260" s="508"/>
      <c r="AG260" s="508"/>
      <c r="AH260" s="508"/>
      <c r="AI260" s="508"/>
      <c r="AJ260" s="508"/>
      <c r="AK260" s="508"/>
      <c r="AL260" s="508"/>
      <c r="AM260" s="508"/>
      <c r="AN260" s="508"/>
      <c r="AO260" s="508"/>
      <c r="AP260" s="508"/>
      <c r="AQ260" s="508"/>
      <c r="AR260" s="508"/>
      <c r="AS260" s="508"/>
      <c r="AT260" s="508"/>
      <c r="AU260" s="508"/>
      <c r="AV260" s="508"/>
      <c r="AW260" s="508"/>
      <c r="AX260" s="508"/>
      <c r="AY260" s="508"/>
      <c r="AZ260" s="508"/>
      <c r="BA260" s="508"/>
      <c r="BB260" s="508"/>
      <c r="BC260" s="508"/>
      <c r="BD260" s="508"/>
      <c r="BE260" s="508"/>
      <c r="BF260" s="68"/>
    </row>
    <row r="261" spans="1:58" s="51" customFormat="1">
      <c r="A261" s="1119"/>
      <c r="B261" s="934"/>
      <c r="C261" s="1077"/>
      <c r="D261" s="62">
        <v>2022</v>
      </c>
      <c r="E261" s="63">
        <f>F261+G261+H261+I261+J261</f>
        <v>0</v>
      </c>
      <c r="F261" s="63">
        <v>0</v>
      </c>
      <c r="G261" s="63">
        <v>0</v>
      </c>
      <c r="H261" s="63">
        <v>0</v>
      </c>
      <c r="I261" s="63">
        <v>0</v>
      </c>
      <c r="J261" s="63">
        <v>0</v>
      </c>
      <c r="K261" s="76">
        <v>0</v>
      </c>
      <c r="L261" s="497">
        <f>F261+G261+H261+I261+J261</f>
        <v>0</v>
      </c>
      <c r="M261" s="519"/>
      <c r="N261" s="476"/>
      <c r="O261" s="301"/>
      <c r="P261" s="521"/>
      <c r="Q261" s="509"/>
      <c r="R261" s="509"/>
      <c r="S261" s="509"/>
      <c r="T261" s="509"/>
      <c r="U261" s="509"/>
      <c r="V261" s="509"/>
      <c r="W261" s="509"/>
      <c r="X261" s="509"/>
      <c r="Y261" s="509"/>
      <c r="Z261" s="509"/>
      <c r="AA261" s="509"/>
      <c r="AB261" s="509"/>
      <c r="AC261" s="509"/>
      <c r="AD261" s="509"/>
      <c r="AE261" s="509"/>
      <c r="AF261" s="509"/>
      <c r="AG261" s="509"/>
      <c r="AH261" s="509"/>
      <c r="AI261" s="509"/>
      <c r="AJ261" s="509"/>
      <c r="AK261" s="509"/>
      <c r="AL261" s="509"/>
      <c r="AM261" s="509"/>
      <c r="AN261" s="509"/>
      <c r="AO261" s="509"/>
      <c r="AP261" s="509"/>
      <c r="AQ261" s="509"/>
      <c r="AR261" s="509"/>
      <c r="AS261" s="509"/>
      <c r="AT261" s="509"/>
      <c r="AU261" s="509"/>
      <c r="AV261" s="509"/>
      <c r="AW261" s="509"/>
      <c r="AX261" s="509"/>
      <c r="AY261" s="509"/>
      <c r="AZ261" s="509"/>
      <c r="BA261" s="509"/>
      <c r="BB261" s="509"/>
      <c r="BC261" s="509"/>
      <c r="BD261" s="509"/>
      <c r="BE261" s="509"/>
      <c r="BF261" s="68"/>
    </row>
    <row r="262" spans="1:58" s="51" customFormat="1">
      <c r="A262" s="1105" t="s">
        <v>511</v>
      </c>
      <c r="B262" s="934" t="s">
        <v>502</v>
      </c>
      <c r="C262" s="1077" t="s">
        <v>1101</v>
      </c>
      <c r="D262" s="84" t="s">
        <v>16</v>
      </c>
      <c r="E262" s="480">
        <f>E263</f>
        <v>1.1483000000000001</v>
      </c>
      <c r="F262" s="480">
        <f>F263</f>
        <v>1.1483000000000001</v>
      </c>
      <c r="G262" s="480">
        <f>G263</f>
        <v>0</v>
      </c>
      <c r="H262" s="85">
        <f>H264</f>
        <v>0</v>
      </c>
      <c r="I262" s="85">
        <f>I264</f>
        <v>0</v>
      </c>
      <c r="J262" s="85">
        <f>J264</f>
        <v>0</v>
      </c>
      <c r="K262" s="76">
        <v>0</v>
      </c>
      <c r="L262" s="497">
        <f>F262+G262+H262+I262+J262</f>
        <v>1.1483000000000001</v>
      </c>
      <c r="M262" s="330"/>
      <c r="N262" s="476"/>
      <c r="O262" s="301"/>
      <c r="P262" s="493"/>
      <c r="Q262" s="333"/>
      <c r="R262" s="333"/>
      <c r="S262" s="333"/>
      <c r="T262" s="333"/>
      <c r="U262" s="333"/>
      <c r="V262" s="333"/>
      <c r="W262" s="333"/>
      <c r="X262" s="333"/>
      <c r="Y262" s="333"/>
      <c r="Z262" s="333"/>
      <c r="AA262" s="333"/>
      <c r="AB262" s="333"/>
      <c r="AC262" s="333"/>
      <c r="AD262" s="333"/>
      <c r="AE262" s="333"/>
      <c r="AF262" s="333"/>
      <c r="AG262" s="333"/>
      <c r="AH262" s="333"/>
      <c r="AI262" s="333"/>
      <c r="AJ262" s="333"/>
      <c r="AK262" s="333"/>
      <c r="AL262" s="333"/>
      <c r="AM262" s="333"/>
      <c r="AN262" s="333"/>
      <c r="AO262" s="333"/>
      <c r="AP262" s="333"/>
      <c r="AQ262" s="333"/>
      <c r="AR262" s="333"/>
      <c r="AS262" s="333"/>
      <c r="AT262" s="333"/>
      <c r="AU262" s="333"/>
      <c r="AV262" s="333"/>
      <c r="AW262" s="333"/>
      <c r="AX262" s="333"/>
      <c r="AY262" s="333"/>
      <c r="AZ262" s="333"/>
      <c r="BA262" s="333"/>
      <c r="BB262" s="333"/>
      <c r="BC262" s="333"/>
      <c r="BD262" s="333"/>
      <c r="BE262" s="333"/>
      <c r="BF262" s="68"/>
    </row>
    <row r="263" spans="1:58" s="51" customFormat="1">
      <c r="A263" s="921"/>
      <c r="B263" s="934"/>
      <c r="C263" s="1077"/>
      <c r="D263" s="518">
        <v>2019</v>
      </c>
      <c r="E263" s="480">
        <f>F263</f>
        <v>1.1483000000000001</v>
      </c>
      <c r="F263" s="480">
        <v>1.1483000000000001</v>
      </c>
      <c r="G263" s="63">
        <v>0</v>
      </c>
      <c r="H263" s="63">
        <v>0</v>
      </c>
      <c r="I263" s="63">
        <v>0</v>
      </c>
      <c r="J263" s="63">
        <v>0</v>
      </c>
      <c r="K263" s="63">
        <v>0</v>
      </c>
      <c r="L263" s="497"/>
      <c r="M263" s="519"/>
      <c r="N263" s="476"/>
      <c r="O263" s="399"/>
      <c r="P263" s="520"/>
      <c r="Q263" s="508"/>
      <c r="R263" s="508"/>
      <c r="S263" s="508"/>
      <c r="T263" s="508"/>
      <c r="U263" s="508"/>
      <c r="V263" s="508"/>
      <c r="W263" s="508"/>
      <c r="X263" s="508"/>
      <c r="Y263" s="508"/>
      <c r="Z263" s="508"/>
      <c r="AA263" s="508"/>
      <c r="AB263" s="508"/>
      <c r="AC263" s="508"/>
      <c r="AD263" s="508"/>
      <c r="AE263" s="508"/>
      <c r="AF263" s="508"/>
      <c r="AG263" s="508"/>
      <c r="AH263" s="508"/>
      <c r="AI263" s="508"/>
      <c r="AJ263" s="508"/>
      <c r="AK263" s="508"/>
      <c r="AL263" s="508"/>
      <c r="AM263" s="508"/>
      <c r="AN263" s="508"/>
      <c r="AO263" s="508"/>
      <c r="AP263" s="508"/>
      <c r="AQ263" s="508"/>
      <c r="AR263" s="508"/>
      <c r="AS263" s="508"/>
      <c r="AT263" s="508"/>
      <c r="AU263" s="508"/>
      <c r="AV263" s="508"/>
      <c r="AW263" s="508"/>
      <c r="AX263" s="508"/>
      <c r="AY263" s="508"/>
      <c r="AZ263" s="508"/>
      <c r="BA263" s="508"/>
      <c r="BB263" s="508"/>
      <c r="BC263" s="508"/>
      <c r="BD263" s="508"/>
      <c r="BE263" s="508"/>
      <c r="BF263" s="68"/>
    </row>
    <row r="264" spans="1:58" s="51" customFormat="1">
      <c r="A264" s="921"/>
      <c r="B264" s="934"/>
      <c r="C264" s="1077"/>
      <c r="D264" s="62">
        <v>2023</v>
      </c>
      <c r="E264" s="63">
        <f>F264+G264+H264+I264+J264</f>
        <v>0</v>
      </c>
      <c r="F264" s="63">
        <v>0</v>
      </c>
      <c r="G264" s="63">
        <v>0</v>
      </c>
      <c r="H264" s="63">
        <v>0</v>
      </c>
      <c r="I264" s="63">
        <v>0</v>
      </c>
      <c r="J264" s="63">
        <v>0</v>
      </c>
      <c r="K264" s="76">
        <v>0</v>
      </c>
      <c r="L264" s="497">
        <f>F264+G264+H264+I264+J264</f>
        <v>0</v>
      </c>
      <c r="M264" s="519"/>
      <c r="N264" s="476"/>
      <c r="O264" s="301"/>
      <c r="P264" s="521"/>
      <c r="Q264" s="509"/>
      <c r="R264" s="509"/>
      <c r="S264" s="509"/>
      <c r="T264" s="509"/>
      <c r="U264" s="509"/>
      <c r="V264" s="509"/>
      <c r="W264" s="509"/>
      <c r="X264" s="509"/>
      <c r="Y264" s="509"/>
      <c r="Z264" s="509"/>
      <c r="AA264" s="509"/>
      <c r="AB264" s="509"/>
      <c r="AC264" s="509"/>
      <c r="AD264" s="509"/>
      <c r="AE264" s="509"/>
      <c r="AF264" s="509"/>
      <c r="AG264" s="509"/>
      <c r="AH264" s="509"/>
      <c r="AI264" s="509"/>
      <c r="AJ264" s="509"/>
      <c r="AK264" s="509"/>
      <c r="AL264" s="509"/>
      <c r="AM264" s="509"/>
      <c r="AN264" s="509"/>
      <c r="AO264" s="509"/>
      <c r="AP264" s="509"/>
      <c r="AQ264" s="509"/>
      <c r="AR264" s="509"/>
      <c r="AS264" s="509"/>
      <c r="AT264" s="509"/>
      <c r="AU264" s="509"/>
      <c r="AV264" s="509"/>
      <c r="AW264" s="509"/>
      <c r="AX264" s="509"/>
      <c r="AY264" s="509"/>
      <c r="AZ264" s="509"/>
      <c r="BA264" s="509"/>
      <c r="BB264" s="509"/>
      <c r="BC264" s="509"/>
      <c r="BD264" s="509"/>
      <c r="BE264" s="509"/>
      <c r="BF264" s="68"/>
    </row>
    <row r="265" spans="1:58" s="51" customFormat="1">
      <c r="A265" s="1105" t="s">
        <v>1130</v>
      </c>
      <c r="B265" s="934" t="s">
        <v>1131</v>
      </c>
      <c r="C265" s="1077" t="s">
        <v>1101</v>
      </c>
      <c r="D265" s="84" t="s">
        <v>429</v>
      </c>
      <c r="E265" s="507">
        <f>E266</f>
        <v>2.3197000000000001</v>
      </c>
      <c r="F265" s="507">
        <f>F266</f>
        <v>2.3197000000000001</v>
      </c>
      <c r="G265" s="507">
        <f>G266</f>
        <v>0</v>
      </c>
      <c r="H265" s="507">
        <f>H266</f>
        <v>0</v>
      </c>
      <c r="I265" s="63">
        <f>I267</f>
        <v>0</v>
      </c>
      <c r="J265" s="63">
        <f>J267</f>
        <v>0</v>
      </c>
      <c r="K265" s="76">
        <v>0</v>
      </c>
      <c r="L265" s="497">
        <f>F265+G265+H265+I265+J265</f>
        <v>2.3197000000000001</v>
      </c>
      <c r="M265" s="330"/>
      <c r="N265" s="476"/>
      <c r="O265" s="301"/>
      <c r="P265" s="522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  <c r="AA265" s="333"/>
      <c r="AB265" s="333"/>
      <c r="AC265" s="333"/>
      <c r="AD265" s="333"/>
      <c r="AE265" s="333"/>
      <c r="AF265" s="333"/>
      <c r="AG265" s="333"/>
      <c r="AH265" s="333"/>
      <c r="AI265" s="333"/>
      <c r="AJ265" s="333"/>
      <c r="AK265" s="333"/>
      <c r="AL265" s="333"/>
      <c r="AM265" s="333"/>
      <c r="AN265" s="333"/>
      <c r="AO265" s="333"/>
      <c r="AP265" s="333"/>
      <c r="AQ265" s="333"/>
      <c r="AR265" s="333"/>
      <c r="AS265" s="333"/>
      <c r="AT265" s="333"/>
      <c r="AU265" s="333"/>
      <c r="AV265" s="333"/>
      <c r="AW265" s="333"/>
      <c r="AX265" s="333"/>
      <c r="AY265" s="333"/>
      <c r="AZ265" s="333"/>
      <c r="BA265" s="333"/>
      <c r="BB265" s="333"/>
      <c r="BC265" s="333"/>
      <c r="BD265" s="333"/>
      <c r="BE265" s="333"/>
      <c r="BF265" s="68"/>
    </row>
    <row r="266" spans="1:58" s="51" customFormat="1">
      <c r="A266" s="921"/>
      <c r="B266" s="934"/>
      <c r="C266" s="1077"/>
      <c r="D266" s="518">
        <v>2019</v>
      </c>
      <c r="E266" s="507">
        <f>F266</f>
        <v>2.3197000000000001</v>
      </c>
      <c r="F266" s="507">
        <v>2.3197000000000001</v>
      </c>
      <c r="G266" s="63">
        <v>0</v>
      </c>
      <c r="H266" s="63">
        <v>0</v>
      </c>
      <c r="I266" s="63">
        <v>0</v>
      </c>
      <c r="J266" s="63">
        <v>0</v>
      </c>
      <c r="K266" s="63">
        <v>0</v>
      </c>
      <c r="L266" s="497"/>
      <c r="M266" s="519"/>
      <c r="N266" s="476"/>
      <c r="O266" s="399"/>
      <c r="P266" s="523"/>
      <c r="Q266" s="508"/>
      <c r="R266" s="508"/>
      <c r="S266" s="508"/>
      <c r="T266" s="508"/>
      <c r="U266" s="508"/>
      <c r="V266" s="508"/>
      <c r="W266" s="508"/>
      <c r="X266" s="508"/>
      <c r="Y266" s="508"/>
      <c r="Z266" s="508"/>
      <c r="AA266" s="508"/>
      <c r="AB266" s="508"/>
      <c r="AC266" s="508"/>
      <c r="AD266" s="508"/>
      <c r="AE266" s="508"/>
      <c r="AF266" s="508"/>
      <c r="AG266" s="508"/>
      <c r="AH266" s="508"/>
      <c r="AI266" s="508"/>
      <c r="AJ266" s="508"/>
      <c r="AK266" s="508"/>
      <c r="AL266" s="508"/>
      <c r="AM266" s="508"/>
      <c r="AN266" s="508"/>
      <c r="AO266" s="508"/>
      <c r="AP266" s="508"/>
      <c r="AQ266" s="508"/>
      <c r="AR266" s="508"/>
      <c r="AS266" s="508"/>
      <c r="AT266" s="508"/>
      <c r="AU266" s="508"/>
      <c r="AV266" s="508"/>
      <c r="AW266" s="508"/>
      <c r="AX266" s="508"/>
      <c r="AY266" s="508"/>
      <c r="AZ266" s="508"/>
      <c r="BA266" s="508"/>
      <c r="BB266" s="508"/>
      <c r="BC266" s="508"/>
      <c r="BD266" s="508"/>
      <c r="BE266" s="508"/>
      <c r="BF266" s="68"/>
    </row>
    <row r="267" spans="1:58" s="51" customFormat="1">
      <c r="A267" s="921"/>
      <c r="B267" s="934"/>
      <c r="C267" s="1077"/>
      <c r="D267" s="62">
        <v>2023</v>
      </c>
      <c r="E267" s="63">
        <f>F267</f>
        <v>0</v>
      </c>
      <c r="F267" s="63">
        <v>0</v>
      </c>
      <c r="G267" s="63">
        <v>0</v>
      </c>
      <c r="H267" s="63">
        <v>0</v>
      </c>
      <c r="I267" s="63">
        <v>0</v>
      </c>
      <c r="J267" s="63">
        <v>0</v>
      </c>
      <c r="K267" s="76">
        <v>0</v>
      </c>
      <c r="L267" s="497">
        <f>F267+G267+H267+I267+J267</f>
        <v>0</v>
      </c>
      <c r="M267" s="519"/>
      <c r="N267" s="476"/>
      <c r="O267" s="301"/>
      <c r="P267" s="524"/>
      <c r="Q267" s="509"/>
      <c r="R267" s="509"/>
      <c r="S267" s="509"/>
      <c r="T267" s="509"/>
      <c r="U267" s="509"/>
      <c r="V267" s="509"/>
      <c r="W267" s="509"/>
      <c r="X267" s="509"/>
      <c r="Y267" s="509"/>
      <c r="Z267" s="509"/>
      <c r="AA267" s="509"/>
      <c r="AB267" s="509"/>
      <c r="AC267" s="509"/>
      <c r="AD267" s="509"/>
      <c r="AE267" s="509"/>
      <c r="AF267" s="509"/>
      <c r="AG267" s="509"/>
      <c r="AH267" s="509"/>
      <c r="AI267" s="509"/>
      <c r="AJ267" s="509"/>
      <c r="AK267" s="509"/>
      <c r="AL267" s="509"/>
      <c r="AM267" s="509"/>
      <c r="AN267" s="509"/>
      <c r="AO267" s="509"/>
      <c r="AP267" s="509"/>
      <c r="AQ267" s="509"/>
      <c r="AR267" s="509"/>
      <c r="AS267" s="509"/>
      <c r="AT267" s="509"/>
      <c r="AU267" s="509"/>
      <c r="AV267" s="509"/>
      <c r="AW267" s="509"/>
      <c r="AX267" s="509"/>
      <c r="AY267" s="509"/>
      <c r="AZ267" s="509"/>
      <c r="BA267" s="509"/>
      <c r="BB267" s="509"/>
      <c r="BC267" s="509"/>
      <c r="BD267" s="509"/>
      <c r="BE267" s="509"/>
      <c r="BF267" s="68"/>
    </row>
    <row r="268" spans="1:58" s="51" customFormat="1">
      <c r="A268" s="1105" t="s">
        <v>1132</v>
      </c>
      <c r="B268" s="934" t="s">
        <v>1133</v>
      </c>
      <c r="C268" s="1077" t="s">
        <v>1101</v>
      </c>
      <c r="D268" s="84" t="s">
        <v>429</v>
      </c>
      <c r="E268" s="507">
        <f>E269</f>
        <v>2.0299</v>
      </c>
      <c r="F268" s="507">
        <f>F269</f>
        <v>2.0299</v>
      </c>
      <c r="G268" s="507">
        <f>G269</f>
        <v>0</v>
      </c>
      <c r="H268" s="63">
        <f>H270</f>
        <v>0</v>
      </c>
      <c r="I268" s="63">
        <f>I270</f>
        <v>0</v>
      </c>
      <c r="J268" s="63">
        <f>J270</f>
        <v>0</v>
      </c>
      <c r="K268" s="76">
        <v>0</v>
      </c>
      <c r="L268" s="497">
        <f>F268+G268+H268+I268+J268</f>
        <v>2.0299</v>
      </c>
      <c r="M268" s="330"/>
      <c r="N268" s="476"/>
      <c r="O268" s="301"/>
      <c r="P268" s="522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  <c r="AA268" s="333"/>
      <c r="AB268" s="333"/>
      <c r="AC268" s="333"/>
      <c r="AD268" s="333"/>
      <c r="AE268" s="333"/>
      <c r="AF268" s="333"/>
      <c r="AG268" s="333"/>
      <c r="AH268" s="333"/>
      <c r="AI268" s="333"/>
      <c r="AJ268" s="333"/>
      <c r="AK268" s="333"/>
      <c r="AL268" s="333"/>
      <c r="AM268" s="333"/>
      <c r="AN268" s="333"/>
      <c r="AO268" s="333"/>
      <c r="AP268" s="333"/>
      <c r="AQ268" s="333"/>
      <c r="AR268" s="333"/>
      <c r="AS268" s="333"/>
      <c r="AT268" s="333"/>
      <c r="AU268" s="333"/>
      <c r="AV268" s="333"/>
      <c r="AW268" s="333"/>
      <c r="AX268" s="333"/>
      <c r="AY268" s="333"/>
      <c r="AZ268" s="333"/>
      <c r="BA268" s="333"/>
      <c r="BB268" s="333"/>
      <c r="BC268" s="333"/>
      <c r="BD268" s="333"/>
      <c r="BE268" s="333"/>
      <c r="BF268" s="68"/>
    </row>
    <row r="269" spans="1:58" s="51" customFormat="1">
      <c r="A269" s="921"/>
      <c r="B269" s="934"/>
      <c r="C269" s="1077"/>
      <c r="D269" s="518">
        <v>2019</v>
      </c>
      <c r="E269" s="507">
        <f>F269</f>
        <v>2.0299</v>
      </c>
      <c r="F269" s="507">
        <v>2.0299</v>
      </c>
      <c r="G269" s="63">
        <v>0</v>
      </c>
      <c r="H269" s="63">
        <v>0</v>
      </c>
      <c r="I269" s="63">
        <v>0</v>
      </c>
      <c r="J269" s="63">
        <v>0</v>
      </c>
      <c r="K269" s="63">
        <v>0</v>
      </c>
      <c r="L269" s="497"/>
      <c r="M269" s="519"/>
      <c r="N269" s="476"/>
      <c r="O269" s="399"/>
      <c r="P269" s="523"/>
      <c r="Q269" s="508"/>
      <c r="R269" s="508"/>
      <c r="S269" s="508"/>
      <c r="T269" s="508"/>
      <c r="U269" s="508"/>
      <c r="V269" s="508"/>
      <c r="W269" s="508"/>
      <c r="X269" s="508"/>
      <c r="Y269" s="508"/>
      <c r="Z269" s="508"/>
      <c r="AA269" s="508"/>
      <c r="AB269" s="508"/>
      <c r="AC269" s="508"/>
      <c r="AD269" s="508"/>
      <c r="AE269" s="508"/>
      <c r="AF269" s="508"/>
      <c r="AG269" s="508"/>
      <c r="AH269" s="508"/>
      <c r="AI269" s="508"/>
      <c r="AJ269" s="508"/>
      <c r="AK269" s="508"/>
      <c r="AL269" s="508"/>
      <c r="AM269" s="508"/>
      <c r="AN269" s="508"/>
      <c r="AO269" s="508"/>
      <c r="AP269" s="508"/>
      <c r="AQ269" s="508"/>
      <c r="AR269" s="508"/>
      <c r="AS269" s="508"/>
      <c r="AT269" s="508"/>
      <c r="AU269" s="508"/>
      <c r="AV269" s="508"/>
      <c r="AW269" s="508"/>
      <c r="AX269" s="508"/>
      <c r="AY269" s="508"/>
      <c r="AZ269" s="508"/>
      <c r="BA269" s="508"/>
      <c r="BB269" s="508"/>
      <c r="BC269" s="508"/>
      <c r="BD269" s="508"/>
      <c r="BE269" s="508"/>
      <c r="BF269" s="68"/>
    </row>
    <row r="270" spans="1:58" s="51" customFormat="1">
      <c r="A270" s="921"/>
      <c r="B270" s="934"/>
      <c r="C270" s="1077"/>
      <c r="D270" s="62">
        <v>2023</v>
      </c>
      <c r="E270" s="63">
        <f>F270</f>
        <v>0</v>
      </c>
      <c r="F270" s="63">
        <v>0</v>
      </c>
      <c r="G270" s="63">
        <v>0</v>
      </c>
      <c r="H270" s="63">
        <v>0</v>
      </c>
      <c r="I270" s="63">
        <v>0</v>
      </c>
      <c r="J270" s="63">
        <v>0</v>
      </c>
      <c r="K270" s="76">
        <v>0</v>
      </c>
      <c r="L270" s="497">
        <f>F270+G270+H270+I270+J270</f>
        <v>0</v>
      </c>
      <c r="M270" s="519"/>
      <c r="N270" s="476"/>
      <c r="O270" s="301"/>
      <c r="P270" s="524"/>
      <c r="Q270" s="509"/>
      <c r="R270" s="509"/>
      <c r="S270" s="509"/>
      <c r="T270" s="509"/>
      <c r="U270" s="509"/>
      <c r="V270" s="509"/>
      <c r="W270" s="509"/>
      <c r="X270" s="509"/>
      <c r="Y270" s="509"/>
      <c r="Z270" s="509"/>
      <c r="AA270" s="509"/>
      <c r="AB270" s="509"/>
      <c r="AC270" s="509"/>
      <c r="AD270" s="509"/>
      <c r="AE270" s="509"/>
      <c r="AF270" s="509"/>
      <c r="AG270" s="509"/>
      <c r="AH270" s="509"/>
      <c r="AI270" s="509"/>
      <c r="AJ270" s="509"/>
      <c r="AK270" s="509"/>
      <c r="AL270" s="509"/>
      <c r="AM270" s="509"/>
      <c r="AN270" s="509"/>
      <c r="AO270" s="509"/>
      <c r="AP270" s="509"/>
      <c r="AQ270" s="509"/>
      <c r="AR270" s="509"/>
      <c r="AS270" s="509"/>
      <c r="AT270" s="509"/>
      <c r="AU270" s="509"/>
      <c r="AV270" s="509"/>
      <c r="AW270" s="509"/>
      <c r="AX270" s="509"/>
      <c r="AY270" s="509"/>
      <c r="AZ270" s="509"/>
      <c r="BA270" s="509"/>
      <c r="BB270" s="509"/>
      <c r="BC270" s="509"/>
      <c r="BD270" s="509"/>
      <c r="BE270" s="509"/>
      <c r="BF270" s="68"/>
    </row>
    <row r="271" spans="1:58" s="51" customFormat="1">
      <c r="A271" s="1105" t="s">
        <v>1134</v>
      </c>
      <c r="B271" s="934" t="s">
        <v>1135</v>
      </c>
      <c r="C271" s="1077" t="s">
        <v>1101</v>
      </c>
      <c r="D271" s="84" t="s">
        <v>16</v>
      </c>
      <c r="E271" s="480">
        <f>E272</f>
        <v>2.0417000000000001</v>
      </c>
      <c r="F271" s="480">
        <f>F272</f>
        <v>2.0417000000000001</v>
      </c>
      <c r="G271" s="480">
        <f>G272</f>
        <v>0</v>
      </c>
      <c r="H271" s="85">
        <f>H273</f>
        <v>0</v>
      </c>
      <c r="I271" s="85">
        <f>I273</f>
        <v>0</v>
      </c>
      <c r="J271" s="85">
        <f>J273</f>
        <v>0</v>
      </c>
      <c r="K271" s="76">
        <v>0</v>
      </c>
      <c r="L271" s="497">
        <f>F271+G271+H271+I271+J271</f>
        <v>2.0417000000000001</v>
      </c>
      <c r="M271" s="330"/>
      <c r="N271" s="476"/>
      <c r="O271" s="301"/>
      <c r="P271" s="522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  <c r="AA271" s="333"/>
      <c r="AB271" s="333"/>
      <c r="AC271" s="333"/>
      <c r="AD271" s="333"/>
      <c r="AE271" s="333"/>
      <c r="AF271" s="333"/>
      <c r="AG271" s="333"/>
      <c r="AH271" s="333"/>
      <c r="AI271" s="333"/>
      <c r="AJ271" s="333"/>
      <c r="AK271" s="333"/>
      <c r="AL271" s="333"/>
      <c r="AM271" s="333"/>
      <c r="AN271" s="333"/>
      <c r="AO271" s="333"/>
      <c r="AP271" s="333"/>
      <c r="AQ271" s="333"/>
      <c r="AR271" s="333"/>
      <c r="AS271" s="333"/>
      <c r="AT271" s="333"/>
      <c r="AU271" s="333"/>
      <c r="AV271" s="333"/>
      <c r="AW271" s="333"/>
      <c r="AX271" s="333"/>
      <c r="AY271" s="333"/>
      <c r="AZ271" s="333"/>
      <c r="BA271" s="333"/>
      <c r="BB271" s="333"/>
      <c r="BC271" s="333"/>
      <c r="BD271" s="333"/>
      <c r="BE271" s="333"/>
      <c r="BF271" s="68"/>
    </row>
    <row r="272" spans="1:58" s="51" customFormat="1">
      <c r="A272" s="921"/>
      <c r="B272" s="934"/>
      <c r="C272" s="1077"/>
      <c r="D272" s="518">
        <v>2019</v>
      </c>
      <c r="E272" s="480">
        <f>F272</f>
        <v>2.0417000000000001</v>
      </c>
      <c r="F272" s="480">
        <v>2.0417000000000001</v>
      </c>
      <c r="G272" s="63">
        <v>0</v>
      </c>
      <c r="H272" s="63">
        <v>0</v>
      </c>
      <c r="I272" s="63">
        <v>0</v>
      </c>
      <c r="J272" s="63">
        <v>0</v>
      </c>
      <c r="K272" s="63">
        <v>0</v>
      </c>
      <c r="L272" s="497"/>
      <c r="M272" s="519"/>
      <c r="N272" s="476"/>
      <c r="O272" s="399"/>
      <c r="P272" s="523"/>
      <c r="Q272" s="508"/>
      <c r="R272" s="508"/>
      <c r="S272" s="508"/>
      <c r="T272" s="508"/>
      <c r="U272" s="508"/>
      <c r="V272" s="508"/>
      <c r="W272" s="508"/>
      <c r="X272" s="508"/>
      <c r="Y272" s="508"/>
      <c r="Z272" s="508"/>
      <c r="AA272" s="508"/>
      <c r="AB272" s="508"/>
      <c r="AC272" s="508"/>
      <c r="AD272" s="508"/>
      <c r="AE272" s="508"/>
      <c r="AF272" s="508"/>
      <c r="AG272" s="508"/>
      <c r="AH272" s="508"/>
      <c r="AI272" s="508"/>
      <c r="AJ272" s="508"/>
      <c r="AK272" s="508"/>
      <c r="AL272" s="508"/>
      <c r="AM272" s="508"/>
      <c r="AN272" s="508"/>
      <c r="AO272" s="508"/>
      <c r="AP272" s="508"/>
      <c r="AQ272" s="508"/>
      <c r="AR272" s="508"/>
      <c r="AS272" s="508"/>
      <c r="AT272" s="508"/>
      <c r="AU272" s="508"/>
      <c r="AV272" s="508"/>
      <c r="AW272" s="508"/>
      <c r="AX272" s="508"/>
      <c r="AY272" s="508"/>
      <c r="AZ272" s="508"/>
      <c r="BA272" s="508"/>
      <c r="BB272" s="508"/>
      <c r="BC272" s="508"/>
      <c r="BD272" s="508"/>
      <c r="BE272" s="508"/>
      <c r="BF272" s="68"/>
    </row>
    <row r="273" spans="1:58" s="51" customFormat="1">
      <c r="A273" s="921"/>
      <c r="B273" s="934"/>
      <c r="C273" s="1077"/>
      <c r="D273" s="62">
        <v>2022</v>
      </c>
      <c r="E273" s="63">
        <f>F273</f>
        <v>0</v>
      </c>
      <c r="F273" s="63">
        <v>0</v>
      </c>
      <c r="G273" s="63">
        <v>0</v>
      </c>
      <c r="H273" s="63">
        <v>0</v>
      </c>
      <c r="I273" s="63">
        <v>0</v>
      </c>
      <c r="J273" s="63">
        <v>0</v>
      </c>
      <c r="K273" s="76">
        <v>0</v>
      </c>
      <c r="L273" s="497">
        <f>F273+G273+H273+I273+J273</f>
        <v>0</v>
      </c>
      <c r="M273" s="519"/>
      <c r="N273" s="476"/>
      <c r="O273" s="301"/>
      <c r="P273" s="524"/>
      <c r="Q273" s="509"/>
      <c r="R273" s="509"/>
      <c r="S273" s="509"/>
      <c r="T273" s="509"/>
      <c r="U273" s="509"/>
      <c r="V273" s="509"/>
      <c r="W273" s="509"/>
      <c r="X273" s="509"/>
      <c r="Y273" s="509"/>
      <c r="Z273" s="509"/>
      <c r="AA273" s="509"/>
      <c r="AB273" s="509"/>
      <c r="AC273" s="509"/>
      <c r="AD273" s="509"/>
      <c r="AE273" s="509"/>
      <c r="AF273" s="509"/>
      <c r="AG273" s="509"/>
      <c r="AH273" s="509"/>
      <c r="AI273" s="509"/>
      <c r="AJ273" s="509"/>
      <c r="AK273" s="509"/>
      <c r="AL273" s="509"/>
      <c r="AM273" s="509"/>
      <c r="AN273" s="509"/>
      <c r="AO273" s="509"/>
      <c r="AP273" s="509"/>
      <c r="AQ273" s="509"/>
      <c r="AR273" s="509"/>
      <c r="AS273" s="509"/>
      <c r="AT273" s="509"/>
      <c r="AU273" s="509"/>
      <c r="AV273" s="509"/>
      <c r="AW273" s="509"/>
      <c r="AX273" s="509"/>
      <c r="AY273" s="509"/>
      <c r="AZ273" s="509"/>
      <c r="BA273" s="509"/>
      <c r="BB273" s="509"/>
      <c r="BC273" s="509"/>
      <c r="BD273" s="509"/>
      <c r="BE273" s="509"/>
      <c r="BF273" s="68"/>
    </row>
    <row r="274" spans="1:58" s="51" customFormat="1">
      <c r="A274" s="1105" t="s">
        <v>1136</v>
      </c>
      <c r="B274" s="934" t="s">
        <v>1137</v>
      </c>
      <c r="C274" s="1077" t="s">
        <v>373</v>
      </c>
      <c r="D274" s="84" t="s">
        <v>429</v>
      </c>
      <c r="E274" s="507">
        <f>E275</f>
        <v>3.1196999999999999</v>
      </c>
      <c r="F274" s="507">
        <f>F275</f>
        <v>3.1196999999999999</v>
      </c>
      <c r="G274" s="63">
        <f>G276</f>
        <v>0</v>
      </c>
      <c r="H274" s="63">
        <f>H276</f>
        <v>0</v>
      </c>
      <c r="I274" s="63">
        <f>I276</f>
        <v>0</v>
      </c>
      <c r="J274" s="63">
        <f>J276</f>
        <v>0</v>
      </c>
      <c r="K274" s="76">
        <v>0</v>
      </c>
      <c r="L274" s="497">
        <f>F274+G274+H274+I274+J274</f>
        <v>3.1196999999999999</v>
      </c>
      <c r="M274" s="330"/>
      <c r="N274" s="476"/>
      <c r="O274" s="301"/>
      <c r="P274" s="522"/>
      <c r="Q274" s="333"/>
      <c r="R274" s="333"/>
      <c r="S274" s="333"/>
      <c r="T274" s="333"/>
      <c r="U274" s="333"/>
      <c r="V274" s="333"/>
      <c r="W274" s="333"/>
      <c r="X274" s="333"/>
      <c r="Y274" s="333"/>
      <c r="Z274" s="333"/>
      <c r="AA274" s="333"/>
      <c r="AB274" s="333"/>
      <c r="AC274" s="333"/>
      <c r="AD274" s="333"/>
      <c r="AE274" s="333"/>
      <c r="AF274" s="333"/>
      <c r="AG274" s="333"/>
      <c r="AH274" s="333"/>
      <c r="AI274" s="333"/>
      <c r="AJ274" s="333"/>
      <c r="AK274" s="333"/>
      <c r="AL274" s="333"/>
      <c r="AM274" s="333"/>
      <c r="AN274" s="333"/>
      <c r="AO274" s="333"/>
      <c r="AP274" s="333"/>
      <c r="AQ274" s="333"/>
      <c r="AR274" s="333"/>
      <c r="AS274" s="333"/>
      <c r="AT274" s="333"/>
      <c r="AU274" s="333"/>
      <c r="AV274" s="333"/>
      <c r="AW274" s="333"/>
      <c r="AX274" s="333"/>
      <c r="AY274" s="333"/>
      <c r="AZ274" s="333"/>
      <c r="BA274" s="333"/>
      <c r="BB274" s="333"/>
      <c r="BC274" s="333"/>
      <c r="BD274" s="333"/>
      <c r="BE274" s="333"/>
      <c r="BF274" s="68"/>
    </row>
    <row r="275" spans="1:58" s="51" customFormat="1">
      <c r="A275" s="921"/>
      <c r="B275" s="934"/>
      <c r="C275" s="1077"/>
      <c r="D275" s="518">
        <v>2019</v>
      </c>
      <c r="E275" s="63">
        <f>F275</f>
        <v>3.1196999999999999</v>
      </c>
      <c r="F275" s="63">
        <v>3.1196999999999999</v>
      </c>
      <c r="G275" s="63">
        <v>0</v>
      </c>
      <c r="H275" s="63">
        <v>0</v>
      </c>
      <c r="I275" s="63">
        <v>0</v>
      </c>
      <c r="J275" s="63">
        <v>0</v>
      </c>
      <c r="K275" s="63">
        <v>0</v>
      </c>
      <c r="L275" s="497"/>
      <c r="M275" s="519"/>
      <c r="N275" s="476"/>
      <c r="O275" s="399"/>
      <c r="P275" s="523"/>
      <c r="Q275" s="508"/>
      <c r="R275" s="508"/>
      <c r="S275" s="508"/>
      <c r="T275" s="508"/>
      <c r="U275" s="508"/>
      <c r="V275" s="508"/>
      <c r="W275" s="508"/>
      <c r="X275" s="508"/>
      <c r="Y275" s="508"/>
      <c r="Z275" s="508"/>
      <c r="AA275" s="508"/>
      <c r="AB275" s="508"/>
      <c r="AC275" s="508"/>
      <c r="AD275" s="508"/>
      <c r="AE275" s="508"/>
      <c r="AF275" s="508"/>
      <c r="AG275" s="508"/>
      <c r="AH275" s="508"/>
      <c r="AI275" s="508"/>
      <c r="AJ275" s="508"/>
      <c r="AK275" s="508"/>
      <c r="AL275" s="508"/>
      <c r="AM275" s="508"/>
      <c r="AN275" s="508"/>
      <c r="AO275" s="508"/>
      <c r="AP275" s="508"/>
      <c r="AQ275" s="508"/>
      <c r="AR275" s="508"/>
      <c r="AS275" s="508"/>
      <c r="AT275" s="508"/>
      <c r="AU275" s="508"/>
      <c r="AV275" s="508"/>
      <c r="AW275" s="508"/>
      <c r="AX275" s="508"/>
      <c r="AY275" s="508"/>
      <c r="AZ275" s="508"/>
      <c r="BA275" s="508"/>
      <c r="BB275" s="508"/>
      <c r="BC275" s="508"/>
      <c r="BD275" s="508"/>
      <c r="BE275" s="508"/>
      <c r="BF275" s="68"/>
    </row>
    <row r="276" spans="1:58" s="51" customFormat="1" ht="12.75" customHeight="1">
      <c r="A276" s="921"/>
      <c r="B276" s="934"/>
      <c r="C276" s="1077"/>
      <c r="D276" s="62">
        <v>2025</v>
      </c>
      <c r="E276" s="63">
        <v>0</v>
      </c>
      <c r="F276" s="63">
        <v>0</v>
      </c>
      <c r="G276" s="63">
        <v>0</v>
      </c>
      <c r="H276" s="63">
        <v>0</v>
      </c>
      <c r="I276" s="63">
        <v>0</v>
      </c>
      <c r="J276" s="63">
        <v>0</v>
      </c>
      <c r="K276" s="76">
        <v>0</v>
      </c>
      <c r="L276" s="497">
        <f>F276+G276+H276+I276+J276</f>
        <v>0</v>
      </c>
      <c r="M276" s="519"/>
      <c r="N276" s="476"/>
      <c r="O276" s="301"/>
      <c r="P276" s="1020" t="s">
        <v>405</v>
      </c>
      <c r="Q276" s="509"/>
      <c r="R276" s="509"/>
      <c r="S276" s="509"/>
      <c r="T276" s="509"/>
      <c r="U276" s="509"/>
      <c r="V276" s="509"/>
      <c r="W276" s="509"/>
      <c r="X276" s="509"/>
      <c r="Y276" s="509"/>
      <c r="Z276" s="509"/>
      <c r="AA276" s="509"/>
      <c r="AB276" s="509"/>
      <c r="AC276" s="509"/>
      <c r="AD276" s="509"/>
      <c r="AE276" s="509"/>
      <c r="AF276" s="509"/>
      <c r="AG276" s="509"/>
      <c r="AH276" s="509"/>
      <c r="AI276" s="509"/>
      <c r="AJ276" s="509"/>
      <c r="AK276" s="509"/>
      <c r="AL276" s="509"/>
      <c r="AM276" s="509"/>
      <c r="AN276" s="509"/>
      <c r="AO276" s="509"/>
      <c r="AP276" s="509"/>
      <c r="AQ276" s="509"/>
      <c r="AR276" s="509"/>
      <c r="AS276" s="509"/>
      <c r="AT276" s="509"/>
      <c r="AU276" s="509"/>
      <c r="AV276" s="509"/>
      <c r="AW276" s="509"/>
      <c r="AX276" s="509"/>
      <c r="AY276" s="509"/>
      <c r="AZ276" s="509"/>
      <c r="BA276" s="509"/>
      <c r="BB276" s="509"/>
      <c r="BC276" s="509"/>
      <c r="BD276" s="509"/>
      <c r="BE276" s="509"/>
      <c r="BF276" s="68"/>
    </row>
    <row r="277" spans="1:58" s="51" customFormat="1">
      <c r="A277" s="1105" t="s">
        <v>1138</v>
      </c>
      <c r="B277" s="934" t="s">
        <v>1139</v>
      </c>
      <c r="C277" s="1077" t="s">
        <v>373</v>
      </c>
      <c r="D277" s="84" t="s">
        <v>429</v>
      </c>
      <c r="E277" s="507">
        <f>E278</f>
        <v>0.1774</v>
      </c>
      <c r="F277" s="507">
        <f>F278</f>
        <v>0.1774</v>
      </c>
      <c r="G277" s="63">
        <f>G279</f>
        <v>0</v>
      </c>
      <c r="H277" s="63">
        <f>H279</f>
        <v>0</v>
      </c>
      <c r="I277" s="63">
        <f>I279</f>
        <v>0</v>
      </c>
      <c r="J277" s="63">
        <f>J279</f>
        <v>0</v>
      </c>
      <c r="K277" s="76">
        <v>0</v>
      </c>
      <c r="L277" s="497">
        <f>F277+G277+H277+I277+J277</f>
        <v>0.1774</v>
      </c>
      <c r="M277" s="330"/>
      <c r="N277" s="476"/>
      <c r="O277" s="301"/>
      <c r="P277" s="1106"/>
      <c r="Q277" s="333"/>
      <c r="R277" s="333"/>
      <c r="S277" s="333"/>
      <c r="T277" s="333"/>
      <c r="U277" s="333"/>
      <c r="V277" s="333"/>
      <c r="W277" s="333"/>
      <c r="X277" s="333"/>
      <c r="Y277" s="333"/>
      <c r="Z277" s="333"/>
      <c r="AA277" s="333"/>
      <c r="AB277" s="333"/>
      <c r="AC277" s="333"/>
      <c r="AD277" s="333"/>
      <c r="AE277" s="333"/>
      <c r="AF277" s="333"/>
      <c r="AG277" s="333"/>
      <c r="AH277" s="333"/>
      <c r="AI277" s="333"/>
      <c r="AJ277" s="333"/>
      <c r="AK277" s="333"/>
      <c r="AL277" s="333"/>
      <c r="AM277" s="333"/>
      <c r="AN277" s="333"/>
      <c r="AO277" s="333"/>
      <c r="AP277" s="333"/>
      <c r="AQ277" s="333"/>
      <c r="AR277" s="333"/>
      <c r="AS277" s="333"/>
      <c r="AT277" s="333"/>
      <c r="AU277" s="333"/>
      <c r="AV277" s="333"/>
      <c r="AW277" s="333"/>
      <c r="AX277" s="333"/>
      <c r="AY277" s="333"/>
      <c r="AZ277" s="333"/>
      <c r="BA277" s="333"/>
      <c r="BB277" s="333"/>
      <c r="BC277" s="333"/>
      <c r="BD277" s="333"/>
      <c r="BE277" s="333"/>
      <c r="BF277" s="68"/>
    </row>
    <row r="278" spans="1:58" s="51" customFormat="1">
      <c r="A278" s="921"/>
      <c r="B278" s="934"/>
      <c r="C278" s="1077"/>
      <c r="D278" s="518">
        <v>2019</v>
      </c>
      <c r="E278" s="507">
        <f>F278</f>
        <v>0.1774</v>
      </c>
      <c r="F278" s="507">
        <v>0.1774</v>
      </c>
      <c r="G278" s="63">
        <v>0</v>
      </c>
      <c r="H278" s="63">
        <v>0</v>
      </c>
      <c r="I278" s="63">
        <v>0</v>
      </c>
      <c r="J278" s="63">
        <v>0</v>
      </c>
      <c r="K278" s="63">
        <v>0</v>
      </c>
      <c r="L278" s="497"/>
      <c r="M278" s="519"/>
      <c r="N278" s="476"/>
      <c r="O278" s="399"/>
      <c r="P278" s="1107"/>
      <c r="Q278" s="508"/>
      <c r="R278" s="508"/>
      <c r="S278" s="508"/>
      <c r="T278" s="508"/>
      <c r="U278" s="508"/>
      <c r="V278" s="508"/>
      <c r="W278" s="508"/>
      <c r="X278" s="508"/>
      <c r="Y278" s="508"/>
      <c r="Z278" s="508"/>
      <c r="AA278" s="508"/>
      <c r="AB278" s="508"/>
      <c r="AC278" s="508"/>
      <c r="AD278" s="508"/>
      <c r="AE278" s="508"/>
      <c r="AF278" s="508"/>
      <c r="AG278" s="508"/>
      <c r="AH278" s="508"/>
      <c r="AI278" s="508"/>
      <c r="AJ278" s="508"/>
      <c r="AK278" s="508"/>
      <c r="AL278" s="508"/>
      <c r="AM278" s="508"/>
      <c r="AN278" s="508"/>
      <c r="AO278" s="508"/>
      <c r="AP278" s="508"/>
      <c r="AQ278" s="508"/>
      <c r="AR278" s="508"/>
      <c r="AS278" s="508"/>
      <c r="AT278" s="508"/>
      <c r="AU278" s="508"/>
      <c r="AV278" s="508"/>
      <c r="AW278" s="508"/>
      <c r="AX278" s="508"/>
      <c r="AY278" s="508"/>
      <c r="AZ278" s="508"/>
      <c r="BA278" s="508"/>
      <c r="BB278" s="508"/>
      <c r="BC278" s="508"/>
      <c r="BD278" s="508"/>
      <c r="BE278" s="508"/>
      <c r="BF278" s="68"/>
    </row>
    <row r="279" spans="1:58" s="51" customFormat="1">
      <c r="A279" s="921"/>
      <c r="B279" s="934"/>
      <c r="C279" s="1077"/>
      <c r="D279" s="62">
        <v>2022</v>
      </c>
      <c r="E279" s="63">
        <f>F279</f>
        <v>0</v>
      </c>
      <c r="F279" s="63">
        <v>0</v>
      </c>
      <c r="G279" s="63">
        <v>0</v>
      </c>
      <c r="H279" s="63">
        <v>0</v>
      </c>
      <c r="I279" s="63">
        <v>0</v>
      </c>
      <c r="J279" s="63">
        <v>0</v>
      </c>
      <c r="K279" s="76">
        <v>0</v>
      </c>
      <c r="L279" s="497">
        <f>F279+G279+H279+I279+J279</f>
        <v>0</v>
      </c>
      <c r="M279" s="519"/>
      <c r="N279" s="476"/>
      <c r="O279" s="301"/>
      <c r="P279" s="1020"/>
      <c r="Q279" s="509"/>
      <c r="R279" s="509"/>
      <c r="S279" s="509"/>
      <c r="T279" s="509"/>
      <c r="U279" s="509"/>
      <c r="V279" s="509"/>
      <c r="W279" s="509"/>
      <c r="X279" s="509"/>
      <c r="Y279" s="509"/>
      <c r="Z279" s="509"/>
      <c r="AA279" s="509"/>
      <c r="AB279" s="509"/>
      <c r="AC279" s="509"/>
      <c r="AD279" s="509"/>
      <c r="AE279" s="509"/>
      <c r="AF279" s="509"/>
      <c r="AG279" s="509"/>
      <c r="AH279" s="509"/>
      <c r="AI279" s="509"/>
      <c r="AJ279" s="509"/>
      <c r="AK279" s="509"/>
      <c r="AL279" s="509"/>
      <c r="AM279" s="509"/>
      <c r="AN279" s="509"/>
      <c r="AO279" s="509"/>
      <c r="AP279" s="509"/>
      <c r="AQ279" s="509"/>
      <c r="AR279" s="509"/>
      <c r="AS279" s="509"/>
      <c r="AT279" s="509"/>
      <c r="AU279" s="509"/>
      <c r="AV279" s="509"/>
      <c r="AW279" s="509"/>
      <c r="AX279" s="509"/>
      <c r="AY279" s="509"/>
      <c r="AZ279" s="509"/>
      <c r="BA279" s="509"/>
      <c r="BB279" s="509"/>
      <c r="BC279" s="509"/>
      <c r="BD279" s="509"/>
      <c r="BE279" s="509"/>
      <c r="BF279" s="68"/>
    </row>
    <row r="280" spans="1:58" s="51" customFormat="1">
      <c r="A280" s="1105" t="s">
        <v>1140</v>
      </c>
      <c r="B280" s="934" t="s">
        <v>1141</v>
      </c>
      <c r="C280" s="1077" t="s">
        <v>373</v>
      </c>
      <c r="D280" s="84" t="s">
        <v>429</v>
      </c>
      <c r="E280" s="507">
        <f>E281</f>
        <v>0.47360000000000002</v>
      </c>
      <c r="F280" s="507">
        <f>F281</f>
        <v>0.47360000000000002</v>
      </c>
      <c r="G280" s="63">
        <f>G282</f>
        <v>0</v>
      </c>
      <c r="H280" s="63">
        <f>H282</f>
        <v>0</v>
      </c>
      <c r="I280" s="63">
        <f>I282</f>
        <v>0</v>
      </c>
      <c r="J280" s="63">
        <f>J282</f>
        <v>0</v>
      </c>
      <c r="K280" s="76">
        <v>0</v>
      </c>
      <c r="L280" s="497">
        <f>F280+G280+H280+I280+J280</f>
        <v>0.47360000000000002</v>
      </c>
      <c r="M280" s="330"/>
      <c r="N280" s="476"/>
      <c r="O280" s="301"/>
      <c r="P280" s="1106"/>
      <c r="Q280" s="333"/>
      <c r="R280" s="333"/>
      <c r="S280" s="333"/>
      <c r="T280" s="333"/>
      <c r="U280" s="333"/>
      <c r="V280" s="333"/>
      <c r="W280" s="333"/>
      <c r="X280" s="333"/>
      <c r="Y280" s="333"/>
      <c r="Z280" s="333"/>
      <c r="AA280" s="333"/>
      <c r="AB280" s="333"/>
      <c r="AC280" s="333"/>
      <c r="AD280" s="333"/>
      <c r="AE280" s="333"/>
      <c r="AF280" s="333"/>
      <c r="AG280" s="333"/>
      <c r="AH280" s="333"/>
      <c r="AI280" s="333"/>
      <c r="AJ280" s="333"/>
      <c r="AK280" s="333"/>
      <c r="AL280" s="333"/>
      <c r="AM280" s="333"/>
      <c r="AN280" s="333"/>
      <c r="AO280" s="333"/>
      <c r="AP280" s="333"/>
      <c r="AQ280" s="333"/>
      <c r="AR280" s="333"/>
      <c r="AS280" s="333"/>
      <c r="AT280" s="333"/>
      <c r="AU280" s="333"/>
      <c r="AV280" s="333"/>
      <c r="AW280" s="333"/>
      <c r="AX280" s="333"/>
      <c r="AY280" s="333"/>
      <c r="AZ280" s="333"/>
      <c r="BA280" s="333"/>
      <c r="BB280" s="333"/>
      <c r="BC280" s="333"/>
      <c r="BD280" s="333"/>
      <c r="BE280" s="333"/>
      <c r="BF280" s="68"/>
    </row>
    <row r="281" spans="1:58" s="51" customFormat="1" ht="23.25" customHeight="1">
      <c r="A281" s="921"/>
      <c r="B281" s="934"/>
      <c r="C281" s="1077"/>
      <c r="D281" s="518">
        <v>2019</v>
      </c>
      <c r="E281" s="507">
        <f>F281</f>
        <v>0.47360000000000002</v>
      </c>
      <c r="F281" s="507">
        <v>0.47360000000000002</v>
      </c>
      <c r="G281" s="63">
        <v>0</v>
      </c>
      <c r="H281" s="63">
        <v>0</v>
      </c>
      <c r="I281" s="63">
        <v>0</v>
      </c>
      <c r="J281" s="63">
        <v>0</v>
      </c>
      <c r="K281" s="63">
        <v>0</v>
      </c>
      <c r="L281" s="497"/>
      <c r="M281" s="519"/>
      <c r="N281" s="476"/>
      <c r="O281" s="399"/>
      <c r="P281" s="1107"/>
      <c r="Q281" s="508"/>
      <c r="R281" s="508"/>
      <c r="S281" s="508"/>
      <c r="T281" s="508"/>
      <c r="U281" s="508"/>
      <c r="V281" s="508"/>
      <c r="W281" s="508"/>
      <c r="X281" s="508"/>
      <c r="Y281" s="508"/>
      <c r="Z281" s="508"/>
      <c r="AA281" s="508"/>
      <c r="AB281" s="508"/>
      <c r="AC281" s="508"/>
      <c r="AD281" s="508"/>
      <c r="AE281" s="508"/>
      <c r="AF281" s="508"/>
      <c r="AG281" s="508"/>
      <c r="AH281" s="508"/>
      <c r="AI281" s="508"/>
      <c r="AJ281" s="508"/>
      <c r="AK281" s="508"/>
      <c r="AL281" s="508"/>
      <c r="AM281" s="508"/>
      <c r="AN281" s="508"/>
      <c r="AO281" s="508"/>
      <c r="AP281" s="508"/>
      <c r="AQ281" s="508"/>
      <c r="AR281" s="508"/>
      <c r="AS281" s="508"/>
      <c r="AT281" s="508"/>
      <c r="AU281" s="508"/>
      <c r="AV281" s="508"/>
      <c r="AW281" s="508"/>
      <c r="AX281" s="508"/>
      <c r="AY281" s="508"/>
      <c r="AZ281" s="508"/>
      <c r="BA281" s="508"/>
      <c r="BB281" s="508"/>
      <c r="BC281" s="508"/>
      <c r="BD281" s="508"/>
      <c r="BE281" s="508"/>
      <c r="BF281" s="68"/>
    </row>
    <row r="282" spans="1:58" s="51" customFormat="1">
      <c r="A282" s="921"/>
      <c r="B282" s="934"/>
      <c r="C282" s="1077"/>
      <c r="D282" s="62">
        <v>2023</v>
      </c>
      <c r="E282" s="63">
        <f>F282</f>
        <v>0</v>
      </c>
      <c r="F282" s="63">
        <v>0</v>
      </c>
      <c r="G282" s="63">
        <v>0</v>
      </c>
      <c r="H282" s="63">
        <v>0</v>
      </c>
      <c r="I282" s="63">
        <v>0</v>
      </c>
      <c r="J282" s="63">
        <v>0</v>
      </c>
      <c r="K282" s="76">
        <v>0</v>
      </c>
      <c r="L282" s="497">
        <f>F282+G282+H282+I282+J282</f>
        <v>0</v>
      </c>
      <c r="M282" s="519"/>
      <c r="N282" s="476"/>
      <c r="O282" s="301"/>
      <c r="P282" s="1107"/>
      <c r="Q282" s="508"/>
      <c r="R282" s="508"/>
      <c r="S282" s="508"/>
      <c r="T282" s="508"/>
      <c r="U282" s="508"/>
      <c r="V282" s="508"/>
      <c r="W282" s="508"/>
      <c r="X282" s="508"/>
      <c r="Y282" s="508"/>
      <c r="Z282" s="508"/>
      <c r="AA282" s="508"/>
      <c r="AB282" s="508"/>
      <c r="AC282" s="508"/>
      <c r="AD282" s="508"/>
      <c r="AE282" s="508"/>
      <c r="AF282" s="508"/>
      <c r="AG282" s="508"/>
      <c r="AH282" s="508"/>
      <c r="AI282" s="508"/>
      <c r="AJ282" s="508"/>
      <c r="AK282" s="508"/>
      <c r="AL282" s="508"/>
      <c r="AM282" s="508"/>
      <c r="AN282" s="508"/>
      <c r="AO282" s="508"/>
      <c r="AP282" s="508"/>
      <c r="AQ282" s="508"/>
      <c r="AR282" s="508"/>
      <c r="AS282" s="508"/>
      <c r="AT282" s="508"/>
      <c r="AU282" s="508"/>
      <c r="AV282" s="508"/>
      <c r="AW282" s="508"/>
      <c r="AX282" s="508"/>
      <c r="AY282" s="508"/>
      <c r="AZ282" s="508"/>
      <c r="BA282" s="508"/>
      <c r="BB282" s="508"/>
      <c r="BC282" s="508"/>
      <c r="BD282" s="508"/>
      <c r="BE282" s="508"/>
      <c r="BF282" s="68"/>
    </row>
    <row r="283" spans="1:58" s="51" customFormat="1">
      <c r="A283" s="1112" t="s">
        <v>1142</v>
      </c>
      <c r="B283" s="1215" t="s">
        <v>1143</v>
      </c>
      <c r="C283" s="915"/>
      <c r="D283" s="506" t="s">
        <v>16</v>
      </c>
      <c r="E283" s="507">
        <f t="shared" ref="E283:K283" si="86">E284</f>
        <v>3.1156000000000001</v>
      </c>
      <c r="F283" s="507">
        <f t="shared" si="86"/>
        <v>3.1156000000000001</v>
      </c>
      <c r="G283" s="507">
        <f t="shared" si="86"/>
        <v>0</v>
      </c>
      <c r="H283" s="507">
        <f t="shared" si="86"/>
        <v>0</v>
      </c>
      <c r="I283" s="507">
        <f t="shared" si="86"/>
        <v>0</v>
      </c>
      <c r="J283" s="507">
        <f t="shared" si="86"/>
        <v>0</v>
      </c>
      <c r="K283" s="507">
        <f t="shared" si="86"/>
        <v>0</v>
      </c>
      <c r="L283" s="497"/>
      <c r="M283" s="519"/>
      <c r="N283" s="476"/>
      <c r="O283" s="399"/>
      <c r="P283" s="1107"/>
      <c r="Q283" s="508"/>
      <c r="R283" s="508"/>
      <c r="S283" s="508"/>
      <c r="T283" s="508"/>
      <c r="U283" s="508"/>
      <c r="V283" s="508"/>
      <c r="W283" s="508"/>
      <c r="X283" s="508"/>
      <c r="Y283" s="508"/>
      <c r="Z283" s="508"/>
      <c r="AA283" s="508"/>
      <c r="AB283" s="508"/>
      <c r="AC283" s="508"/>
      <c r="AD283" s="508"/>
      <c r="AE283" s="508"/>
      <c r="AF283" s="508"/>
      <c r="AG283" s="508"/>
      <c r="AH283" s="508"/>
      <c r="AI283" s="508"/>
      <c r="AJ283" s="508"/>
      <c r="AK283" s="508"/>
      <c r="AL283" s="508"/>
      <c r="AM283" s="508"/>
      <c r="AN283" s="508"/>
      <c r="AO283" s="508"/>
      <c r="AP283" s="508"/>
      <c r="AQ283" s="508"/>
      <c r="AR283" s="508"/>
      <c r="AS283" s="508"/>
      <c r="AT283" s="508"/>
      <c r="AU283" s="508"/>
      <c r="AV283" s="508"/>
      <c r="AW283" s="508"/>
      <c r="AX283" s="508"/>
      <c r="AY283" s="508"/>
      <c r="AZ283" s="508"/>
      <c r="BA283" s="508"/>
      <c r="BB283" s="508"/>
      <c r="BC283" s="508"/>
      <c r="BD283" s="508"/>
      <c r="BE283" s="508"/>
      <c r="BF283" s="68"/>
    </row>
    <row r="284" spans="1:58" s="51" customFormat="1" ht="28.5" customHeight="1">
      <c r="A284" s="796"/>
      <c r="B284" s="854"/>
      <c r="C284" s="999"/>
      <c r="D284" s="506">
        <v>2021</v>
      </c>
      <c r="E284" s="507">
        <f>F284</f>
        <v>3.1156000000000001</v>
      </c>
      <c r="F284" s="507">
        <v>3.1156000000000001</v>
      </c>
      <c r="G284" s="63">
        <v>0</v>
      </c>
      <c r="H284" s="63">
        <v>0</v>
      </c>
      <c r="I284" s="63">
        <v>0</v>
      </c>
      <c r="J284" s="63">
        <v>0</v>
      </c>
      <c r="K284" s="63">
        <v>0</v>
      </c>
      <c r="L284" s="497"/>
      <c r="M284" s="519"/>
      <c r="N284" s="476"/>
      <c r="O284" s="399"/>
      <c r="P284" s="1107"/>
      <c r="Q284" s="508"/>
      <c r="R284" s="508"/>
      <c r="S284" s="508"/>
      <c r="T284" s="508"/>
      <c r="U284" s="508"/>
      <c r="V284" s="508"/>
      <c r="W284" s="508"/>
      <c r="X284" s="508"/>
      <c r="Y284" s="508"/>
      <c r="Z284" s="508"/>
      <c r="AA284" s="508"/>
      <c r="AB284" s="508"/>
      <c r="AC284" s="508"/>
      <c r="AD284" s="508"/>
      <c r="AE284" s="508"/>
      <c r="AF284" s="508"/>
      <c r="AG284" s="508"/>
      <c r="AH284" s="508"/>
      <c r="AI284" s="508"/>
      <c r="AJ284" s="508"/>
      <c r="AK284" s="508"/>
      <c r="AL284" s="508"/>
      <c r="AM284" s="508"/>
      <c r="AN284" s="508"/>
      <c r="AO284" s="508"/>
      <c r="AP284" s="508"/>
      <c r="AQ284" s="508"/>
      <c r="AR284" s="508"/>
      <c r="AS284" s="508"/>
      <c r="AT284" s="508"/>
      <c r="AU284" s="508"/>
      <c r="AV284" s="508"/>
      <c r="AW284" s="508"/>
      <c r="AX284" s="508"/>
      <c r="AY284" s="508"/>
      <c r="AZ284" s="508"/>
      <c r="BA284" s="508"/>
      <c r="BB284" s="508"/>
      <c r="BC284" s="508"/>
      <c r="BD284" s="508"/>
      <c r="BE284" s="508"/>
      <c r="BF284" s="68"/>
    </row>
    <row r="285" spans="1:58" s="51" customFormat="1" ht="24.75" customHeight="1">
      <c r="A285" s="1112" t="s">
        <v>1144</v>
      </c>
      <c r="B285" s="915" t="s">
        <v>504</v>
      </c>
      <c r="C285" s="881" t="s">
        <v>407</v>
      </c>
      <c r="D285" s="84" t="s">
        <v>16</v>
      </c>
      <c r="E285" s="85">
        <f>E286</f>
        <v>130</v>
      </c>
      <c r="F285" s="85">
        <f>F286</f>
        <v>41.94</v>
      </c>
      <c r="G285" s="85">
        <f>G286</f>
        <v>0</v>
      </c>
      <c r="H285" s="85">
        <f>H286</f>
        <v>88.06</v>
      </c>
      <c r="I285" s="85">
        <f>I286</f>
        <v>0</v>
      </c>
      <c r="J285" s="63">
        <v>0</v>
      </c>
      <c r="K285" s="76">
        <v>0</v>
      </c>
      <c r="L285" s="497">
        <f t="shared" ref="L285:L305" si="87">F285+G285+H285+I285+J285</f>
        <v>130</v>
      </c>
      <c r="M285" s="519"/>
      <c r="N285" s="476"/>
      <c r="O285" s="301"/>
      <c r="P285" s="1020"/>
      <c r="Q285" s="509"/>
      <c r="R285" s="509"/>
      <c r="S285" s="509"/>
      <c r="T285" s="509"/>
      <c r="U285" s="509"/>
      <c r="V285" s="509"/>
      <c r="W285" s="509"/>
      <c r="X285" s="509"/>
      <c r="Y285" s="509"/>
      <c r="Z285" s="509"/>
      <c r="AA285" s="509"/>
      <c r="AB285" s="509"/>
      <c r="AC285" s="509"/>
      <c r="AD285" s="509"/>
      <c r="AE285" s="509"/>
      <c r="AF285" s="509"/>
      <c r="AG285" s="509"/>
      <c r="AH285" s="509"/>
      <c r="AI285" s="509"/>
      <c r="AJ285" s="509"/>
      <c r="AK285" s="509"/>
      <c r="AL285" s="509"/>
      <c r="AM285" s="509"/>
      <c r="AN285" s="509"/>
      <c r="AO285" s="509"/>
      <c r="AP285" s="509"/>
      <c r="AQ285" s="509"/>
      <c r="AR285" s="509"/>
      <c r="AS285" s="509"/>
      <c r="AT285" s="509"/>
      <c r="AU285" s="509"/>
      <c r="AV285" s="509"/>
      <c r="AW285" s="509"/>
      <c r="AX285" s="509"/>
      <c r="AY285" s="509"/>
      <c r="AZ285" s="509"/>
      <c r="BA285" s="509"/>
      <c r="BB285" s="509"/>
      <c r="BC285" s="509"/>
      <c r="BD285" s="509"/>
      <c r="BE285" s="509"/>
      <c r="BF285" s="68"/>
    </row>
    <row r="286" spans="1:58" s="51" customFormat="1" ht="32.25" customHeight="1">
      <c r="A286" s="795"/>
      <c r="B286" s="999"/>
      <c r="C286" s="964"/>
      <c r="D286" s="62">
        <v>2026</v>
      </c>
      <c r="E286" s="63">
        <f>F286+G286+H286+I286+J286</f>
        <v>130</v>
      </c>
      <c r="F286" s="63">
        <v>41.94</v>
      </c>
      <c r="G286" s="63">
        <v>0</v>
      </c>
      <c r="H286" s="63">
        <v>88.06</v>
      </c>
      <c r="I286" s="63">
        <v>0</v>
      </c>
      <c r="J286" s="63">
        <v>0</v>
      </c>
      <c r="K286" s="76">
        <v>0</v>
      </c>
      <c r="L286" s="497">
        <f t="shared" si="87"/>
        <v>130</v>
      </c>
      <c r="M286" s="330"/>
      <c r="N286" s="476"/>
      <c r="O286" s="301"/>
      <c r="P286" s="1021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  <c r="BD286" s="49"/>
      <c r="BE286" s="49"/>
      <c r="BF286" s="68"/>
    </row>
    <row r="287" spans="1:58" s="51" customFormat="1" ht="24" customHeight="1">
      <c r="A287" s="1105" t="s">
        <v>1145</v>
      </c>
      <c r="B287" s="915" t="s">
        <v>506</v>
      </c>
      <c r="C287" s="881" t="s">
        <v>407</v>
      </c>
      <c r="D287" s="84" t="s">
        <v>16</v>
      </c>
      <c r="E287" s="85">
        <f>E288</f>
        <v>11</v>
      </c>
      <c r="F287" s="85">
        <f>F288</f>
        <v>11</v>
      </c>
      <c r="G287" s="85">
        <f>G288</f>
        <v>0</v>
      </c>
      <c r="H287" s="85">
        <f>H288</f>
        <v>0</v>
      </c>
      <c r="I287" s="85">
        <f>I288</f>
        <v>0</v>
      </c>
      <c r="J287" s="63">
        <v>0</v>
      </c>
      <c r="K287" s="76">
        <v>0</v>
      </c>
      <c r="L287" s="497">
        <f t="shared" si="87"/>
        <v>11</v>
      </c>
      <c r="M287" s="330"/>
      <c r="N287" s="476"/>
      <c r="O287" s="301"/>
      <c r="P287" s="1021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  <c r="BD287" s="49"/>
      <c r="BE287" s="49"/>
      <c r="BF287" s="68"/>
    </row>
    <row r="288" spans="1:58" s="51" customFormat="1" ht="41.25" customHeight="1">
      <c r="A288" s="921"/>
      <c r="B288" s="999"/>
      <c r="C288" s="964"/>
      <c r="D288" s="62">
        <v>2026</v>
      </c>
      <c r="E288" s="63">
        <f>F288+G288+H288+I288+J288</f>
        <v>11</v>
      </c>
      <c r="F288" s="63">
        <v>11</v>
      </c>
      <c r="G288" s="63">
        <v>0</v>
      </c>
      <c r="H288" s="63">
        <v>0</v>
      </c>
      <c r="I288" s="63">
        <v>0</v>
      </c>
      <c r="J288" s="63">
        <v>0</v>
      </c>
      <c r="K288" s="76">
        <v>0</v>
      </c>
      <c r="L288" s="497">
        <f t="shared" si="87"/>
        <v>11</v>
      </c>
      <c r="M288" s="330"/>
      <c r="N288" s="476"/>
      <c r="O288" s="301"/>
      <c r="P288" s="1021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  <c r="BD288" s="49"/>
      <c r="BE288" s="49"/>
      <c r="BF288" s="68"/>
    </row>
    <row r="289" spans="1:58" s="51" customFormat="1" ht="41.25" customHeight="1">
      <c r="A289" s="794"/>
      <c r="B289" s="915" t="s">
        <v>1441</v>
      </c>
      <c r="C289" s="740"/>
      <c r="D289" s="748" t="s">
        <v>16</v>
      </c>
      <c r="E289" s="751">
        <f>E290</f>
        <v>14.0974</v>
      </c>
      <c r="F289" s="751">
        <f t="shared" ref="F289:K289" si="88">F290</f>
        <v>4.0974000000000004</v>
      </c>
      <c r="G289" s="751">
        <f t="shared" si="88"/>
        <v>0</v>
      </c>
      <c r="H289" s="751">
        <f t="shared" si="88"/>
        <v>10</v>
      </c>
      <c r="I289" s="751">
        <f t="shared" si="88"/>
        <v>0</v>
      </c>
      <c r="J289" s="751">
        <f t="shared" si="88"/>
        <v>0</v>
      </c>
      <c r="K289" s="751">
        <f t="shared" si="88"/>
        <v>0</v>
      </c>
      <c r="L289" s="497"/>
      <c r="M289" s="330"/>
      <c r="N289" s="747"/>
      <c r="O289" s="301"/>
      <c r="P289" s="745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49"/>
      <c r="BF289" s="68"/>
    </row>
    <row r="290" spans="1:58" s="51" customFormat="1" ht="21.75" customHeight="1">
      <c r="A290" s="796"/>
      <c r="B290" s="999"/>
      <c r="C290" s="740"/>
      <c r="D290" s="744">
        <v>2021</v>
      </c>
      <c r="E290" s="741">
        <f>F290+G290+H290+I290+J290+K290</f>
        <v>14.0974</v>
      </c>
      <c r="F290" s="741">
        <v>4.0974000000000004</v>
      </c>
      <c r="G290" s="741">
        <v>0</v>
      </c>
      <c r="H290" s="741">
        <v>10</v>
      </c>
      <c r="I290" s="741">
        <v>0</v>
      </c>
      <c r="J290" s="741">
        <v>0</v>
      </c>
      <c r="K290" s="742">
        <v>0</v>
      </c>
      <c r="L290" s="497"/>
      <c r="M290" s="330"/>
      <c r="N290" s="747"/>
      <c r="O290" s="301"/>
      <c r="P290" s="745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  <c r="BD290" s="49"/>
      <c r="BE290" s="49"/>
      <c r="BF290" s="68"/>
    </row>
    <row r="291" spans="1:58" s="51" customFormat="1" ht="12.75" customHeight="1">
      <c r="A291" s="1112" t="s">
        <v>1146</v>
      </c>
      <c r="B291" s="1077" t="s">
        <v>508</v>
      </c>
      <c r="C291" s="915" t="s">
        <v>1101</v>
      </c>
      <c r="D291" s="84" t="s">
        <v>16</v>
      </c>
      <c r="E291" s="85">
        <f t="shared" ref="E291:J291" si="89">E292</f>
        <v>6.4947999999999997</v>
      </c>
      <c r="F291" s="85">
        <f t="shared" si="89"/>
        <v>0.84430000000000005</v>
      </c>
      <c r="G291" s="85">
        <f t="shared" si="89"/>
        <v>0</v>
      </c>
      <c r="H291" s="85">
        <f t="shared" si="89"/>
        <v>5.6505000000000001</v>
      </c>
      <c r="I291" s="85">
        <f t="shared" si="89"/>
        <v>0</v>
      </c>
      <c r="J291" s="85">
        <f t="shared" si="89"/>
        <v>0</v>
      </c>
      <c r="K291" s="76">
        <v>0</v>
      </c>
      <c r="L291" s="497">
        <f t="shared" si="87"/>
        <v>6.4947999999999997</v>
      </c>
      <c r="M291" s="330"/>
      <c r="N291" s="476"/>
      <c r="O291" s="301"/>
      <c r="P291" s="1107" t="s">
        <v>369</v>
      </c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68"/>
    </row>
    <row r="292" spans="1:58" s="51" customFormat="1" ht="15.75" customHeight="1">
      <c r="A292" s="796"/>
      <c r="B292" s="1077"/>
      <c r="C292" s="999"/>
      <c r="D292" s="62">
        <v>2020</v>
      </c>
      <c r="E292" s="63">
        <f>F292+G292+H292+I292+J292</f>
        <v>6.4947999999999997</v>
      </c>
      <c r="F292" s="63">
        <v>0.84430000000000005</v>
      </c>
      <c r="G292" s="63">
        <v>0</v>
      </c>
      <c r="H292" s="63">
        <v>5.6505000000000001</v>
      </c>
      <c r="I292" s="63">
        <v>0</v>
      </c>
      <c r="J292" s="63">
        <v>0</v>
      </c>
      <c r="K292" s="76">
        <v>0</v>
      </c>
      <c r="L292" s="497">
        <f t="shared" si="87"/>
        <v>6.4947999999999997</v>
      </c>
      <c r="M292" s="330"/>
      <c r="N292" s="476"/>
      <c r="O292" s="301"/>
      <c r="P292" s="1107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  <c r="BD292" s="49"/>
      <c r="BE292" s="49"/>
      <c r="BF292" s="68"/>
    </row>
    <row r="293" spans="1:58" s="51" customFormat="1" ht="12.75" customHeight="1">
      <c r="A293" s="1112" t="s">
        <v>1147</v>
      </c>
      <c r="B293" s="881" t="s">
        <v>512</v>
      </c>
      <c r="C293" s="881" t="s">
        <v>1101</v>
      </c>
      <c r="D293" s="84" t="s">
        <v>429</v>
      </c>
      <c r="E293" s="85">
        <f t="shared" ref="E293:J293" si="90">E294+E295+E296+E297</f>
        <v>27.145099999999999</v>
      </c>
      <c r="F293" s="85">
        <f t="shared" si="90"/>
        <v>4.4446000000000003</v>
      </c>
      <c r="G293" s="85">
        <f t="shared" si="90"/>
        <v>0</v>
      </c>
      <c r="H293" s="85">
        <f t="shared" si="90"/>
        <v>22.700499999999998</v>
      </c>
      <c r="I293" s="85">
        <f t="shared" si="90"/>
        <v>0</v>
      </c>
      <c r="J293" s="85">
        <f t="shared" si="90"/>
        <v>0</v>
      </c>
      <c r="K293" s="76">
        <v>0</v>
      </c>
      <c r="L293" s="497">
        <f t="shared" si="87"/>
        <v>27.145099999999999</v>
      </c>
      <c r="M293" s="330"/>
      <c r="N293" s="476"/>
      <c r="O293" s="301"/>
      <c r="P293" s="1107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49"/>
      <c r="BF293" s="68"/>
    </row>
    <row r="294" spans="1:58" s="51" customFormat="1">
      <c r="A294" s="795"/>
      <c r="B294" s="882"/>
      <c r="C294" s="882"/>
      <c r="D294" s="62">
        <v>2020</v>
      </c>
      <c r="E294" s="63">
        <f>F294+G294+H294+I294+J294</f>
        <v>0.94510000000000005</v>
      </c>
      <c r="F294" s="63">
        <v>0.94510000000000005</v>
      </c>
      <c r="G294" s="63">
        <v>0</v>
      </c>
      <c r="H294" s="63">
        <v>0</v>
      </c>
      <c r="I294" s="63">
        <v>0</v>
      </c>
      <c r="J294" s="63">
        <v>0</v>
      </c>
      <c r="K294" s="76">
        <v>0</v>
      </c>
      <c r="L294" s="497">
        <f t="shared" si="87"/>
        <v>0.94510000000000005</v>
      </c>
      <c r="M294" s="330"/>
      <c r="N294" s="476"/>
      <c r="O294" s="301"/>
      <c r="P294" s="1107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49"/>
      <c r="BD294" s="49"/>
      <c r="BE294" s="49"/>
      <c r="BF294" s="68"/>
    </row>
    <row r="295" spans="1:58" s="51" customFormat="1">
      <c r="A295" s="795"/>
      <c r="B295" s="882"/>
      <c r="C295" s="882"/>
      <c r="D295" s="62">
        <v>2021</v>
      </c>
      <c r="E295" s="63">
        <v>0</v>
      </c>
      <c r="F295" s="63">
        <v>0</v>
      </c>
      <c r="G295" s="63">
        <v>0</v>
      </c>
      <c r="H295" s="63">
        <v>0</v>
      </c>
      <c r="I295" s="63">
        <v>0</v>
      </c>
      <c r="J295" s="63">
        <v>0</v>
      </c>
      <c r="K295" s="76">
        <v>0</v>
      </c>
      <c r="L295" s="497">
        <f t="shared" si="87"/>
        <v>0</v>
      </c>
      <c r="M295" s="330"/>
      <c r="N295" s="476"/>
      <c r="O295" s="301"/>
      <c r="P295" s="1107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  <c r="BD295" s="49"/>
      <c r="BE295" s="49"/>
      <c r="BF295" s="68"/>
    </row>
    <row r="296" spans="1:58" s="51" customFormat="1">
      <c r="A296" s="795"/>
      <c r="B296" s="882"/>
      <c r="C296" s="882"/>
      <c r="D296" s="62">
        <v>2022</v>
      </c>
      <c r="E296" s="63">
        <f>F296+G296+H296+I296+J296</f>
        <v>16.850000000000001</v>
      </c>
      <c r="F296" s="63">
        <v>2.1905000000000001</v>
      </c>
      <c r="G296" s="63">
        <v>0</v>
      </c>
      <c r="H296" s="63">
        <v>14.6595</v>
      </c>
      <c r="I296" s="63">
        <v>0</v>
      </c>
      <c r="J296" s="63">
        <v>0</v>
      </c>
      <c r="K296" s="76">
        <v>0</v>
      </c>
      <c r="L296" s="497">
        <f t="shared" si="87"/>
        <v>16.850000000000001</v>
      </c>
      <c r="M296" s="330"/>
      <c r="N296" s="476"/>
      <c r="O296" s="301"/>
      <c r="P296" s="1107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68"/>
    </row>
    <row r="297" spans="1:58" s="51" customFormat="1">
      <c r="A297" s="796"/>
      <c r="B297" s="964"/>
      <c r="C297" s="964"/>
      <c r="D297" s="62">
        <v>2023</v>
      </c>
      <c r="E297" s="63">
        <f>F297+G297+H297+I297+J297</f>
        <v>9.35</v>
      </c>
      <c r="F297" s="63">
        <v>1.3089999999999999</v>
      </c>
      <c r="G297" s="63">
        <v>0</v>
      </c>
      <c r="H297" s="63">
        <v>8.0410000000000004</v>
      </c>
      <c r="I297" s="63">
        <v>0</v>
      </c>
      <c r="J297" s="63">
        <v>0</v>
      </c>
      <c r="K297" s="76">
        <v>0</v>
      </c>
      <c r="L297" s="497">
        <f t="shared" si="87"/>
        <v>9.35</v>
      </c>
      <c r="M297" s="330"/>
      <c r="N297" s="476"/>
      <c r="O297" s="301"/>
      <c r="P297" s="1107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  <c r="BD297" s="49"/>
      <c r="BE297" s="49"/>
      <c r="BF297" s="68"/>
    </row>
    <row r="298" spans="1:58" s="51" customFormat="1" ht="21" customHeight="1">
      <c r="A298" s="1149">
        <v>3</v>
      </c>
      <c r="B298" s="1000" t="s">
        <v>513</v>
      </c>
      <c r="C298" s="881"/>
      <c r="D298" s="84" t="s">
        <v>16</v>
      </c>
      <c r="E298" s="85">
        <f t="shared" ref="E298:J298" si="91">E299+E300+E301+E302+E303+E304+E305</f>
        <v>6.7199999999999989</v>
      </c>
      <c r="F298" s="85">
        <f t="shared" si="91"/>
        <v>6.7199999999999989</v>
      </c>
      <c r="G298" s="85">
        <f t="shared" si="91"/>
        <v>0</v>
      </c>
      <c r="H298" s="85">
        <f t="shared" si="91"/>
        <v>0</v>
      </c>
      <c r="I298" s="85">
        <f t="shared" si="91"/>
        <v>0</v>
      </c>
      <c r="J298" s="85">
        <f t="shared" si="91"/>
        <v>0</v>
      </c>
      <c r="K298" s="76">
        <v>0</v>
      </c>
      <c r="L298" s="497">
        <f t="shared" si="87"/>
        <v>6.7199999999999989</v>
      </c>
      <c r="M298" s="185"/>
      <c r="N298" s="476"/>
      <c r="O298" s="301"/>
      <c r="P298" s="1148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  <c r="BD298" s="49"/>
      <c r="BE298" s="49"/>
      <c r="BF298" s="68"/>
    </row>
    <row r="299" spans="1:58" s="51" customFormat="1" ht="15.75" customHeight="1">
      <c r="A299" s="1150"/>
      <c r="B299" s="1001"/>
      <c r="C299" s="882"/>
      <c r="D299" s="84">
        <v>2019</v>
      </c>
      <c r="E299" s="85">
        <f t="shared" ref="E299:J299" si="92">E307+E308+E309+E310+E314</f>
        <v>1.2</v>
      </c>
      <c r="F299" s="85">
        <f t="shared" si="92"/>
        <v>1.2</v>
      </c>
      <c r="G299" s="85">
        <f t="shared" si="92"/>
        <v>0</v>
      </c>
      <c r="H299" s="85">
        <f t="shared" si="92"/>
        <v>0</v>
      </c>
      <c r="I299" s="85">
        <f t="shared" si="92"/>
        <v>0</v>
      </c>
      <c r="J299" s="85">
        <f t="shared" si="92"/>
        <v>0</v>
      </c>
      <c r="K299" s="76">
        <v>0</v>
      </c>
      <c r="L299" s="497">
        <f t="shared" si="87"/>
        <v>1.2</v>
      </c>
      <c r="M299" s="185"/>
      <c r="N299" s="476"/>
      <c r="O299" s="301"/>
      <c r="P299" s="894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  <c r="BD299" s="49"/>
      <c r="BE299" s="49"/>
      <c r="BF299" s="68"/>
    </row>
    <row r="300" spans="1:58" s="51" customFormat="1" ht="15.75" customHeight="1">
      <c r="A300" s="1150"/>
      <c r="B300" s="1001"/>
      <c r="C300" s="882"/>
      <c r="D300" s="84">
        <v>2020</v>
      </c>
      <c r="E300" s="85">
        <f t="shared" ref="E300:J305" si="93">E315</f>
        <v>1.92</v>
      </c>
      <c r="F300" s="85">
        <f t="shared" si="93"/>
        <v>1.92</v>
      </c>
      <c r="G300" s="85">
        <f t="shared" si="93"/>
        <v>0</v>
      </c>
      <c r="H300" s="85">
        <f t="shared" si="93"/>
        <v>0</v>
      </c>
      <c r="I300" s="85">
        <f t="shared" si="93"/>
        <v>0</v>
      </c>
      <c r="J300" s="85">
        <f t="shared" si="93"/>
        <v>0</v>
      </c>
      <c r="K300" s="76">
        <v>0</v>
      </c>
      <c r="L300" s="497">
        <f t="shared" si="87"/>
        <v>1.92</v>
      </c>
      <c r="M300" s="185"/>
      <c r="N300" s="476"/>
      <c r="O300" s="301"/>
      <c r="P300" s="894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49"/>
      <c r="BC300" s="49"/>
      <c r="BD300" s="49"/>
      <c r="BE300" s="49"/>
      <c r="BF300" s="68"/>
    </row>
    <row r="301" spans="1:58" s="51" customFormat="1" ht="15.75" customHeight="1">
      <c r="A301" s="1150"/>
      <c r="B301" s="1001"/>
      <c r="C301" s="882"/>
      <c r="D301" s="84">
        <v>2021</v>
      </c>
      <c r="E301" s="85">
        <f t="shared" si="93"/>
        <v>0.72</v>
      </c>
      <c r="F301" s="85">
        <f t="shared" si="93"/>
        <v>0.72</v>
      </c>
      <c r="G301" s="85">
        <f t="shared" si="93"/>
        <v>0</v>
      </c>
      <c r="H301" s="85">
        <f t="shared" si="93"/>
        <v>0</v>
      </c>
      <c r="I301" s="85">
        <f t="shared" si="93"/>
        <v>0</v>
      </c>
      <c r="J301" s="85">
        <f t="shared" si="93"/>
        <v>0</v>
      </c>
      <c r="K301" s="76">
        <v>0</v>
      </c>
      <c r="L301" s="497">
        <f t="shared" si="87"/>
        <v>0.72</v>
      </c>
      <c r="M301" s="185"/>
      <c r="N301" s="476"/>
      <c r="O301" s="301"/>
      <c r="P301" s="894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  <c r="BD301" s="49"/>
      <c r="BE301" s="49"/>
      <c r="BF301" s="68"/>
    </row>
    <row r="302" spans="1:58" s="51" customFormat="1" ht="15.75" customHeight="1">
      <c r="A302" s="1150"/>
      <c r="B302" s="1001"/>
      <c r="C302" s="479"/>
      <c r="D302" s="84">
        <v>2022</v>
      </c>
      <c r="E302" s="85">
        <f t="shared" si="93"/>
        <v>0.72</v>
      </c>
      <c r="F302" s="85">
        <f t="shared" si="93"/>
        <v>0.72</v>
      </c>
      <c r="G302" s="85">
        <f t="shared" si="93"/>
        <v>0</v>
      </c>
      <c r="H302" s="85">
        <f t="shared" si="93"/>
        <v>0</v>
      </c>
      <c r="I302" s="85">
        <f t="shared" si="93"/>
        <v>0</v>
      </c>
      <c r="J302" s="85">
        <f t="shared" si="93"/>
        <v>0</v>
      </c>
      <c r="K302" s="76">
        <v>0</v>
      </c>
      <c r="L302" s="497">
        <f t="shared" si="87"/>
        <v>0.72</v>
      </c>
      <c r="M302" s="185"/>
      <c r="N302" s="476"/>
      <c r="O302" s="301"/>
      <c r="P302" s="894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49"/>
      <c r="BC302" s="49"/>
      <c r="BD302" s="49"/>
      <c r="BE302" s="49"/>
      <c r="BF302" s="68"/>
    </row>
    <row r="303" spans="1:58" s="51" customFormat="1" ht="15.75" customHeight="1">
      <c r="A303" s="1150"/>
      <c r="B303" s="1001"/>
      <c r="C303" s="479"/>
      <c r="D303" s="84">
        <v>2023</v>
      </c>
      <c r="E303" s="85">
        <f t="shared" si="93"/>
        <v>0.72</v>
      </c>
      <c r="F303" s="85">
        <f t="shared" si="93"/>
        <v>0.72</v>
      </c>
      <c r="G303" s="85">
        <f t="shared" si="93"/>
        <v>0</v>
      </c>
      <c r="H303" s="85">
        <f t="shared" si="93"/>
        <v>0</v>
      </c>
      <c r="I303" s="85">
        <f t="shared" si="93"/>
        <v>0</v>
      </c>
      <c r="J303" s="85">
        <f t="shared" si="93"/>
        <v>0</v>
      </c>
      <c r="K303" s="76">
        <v>0</v>
      </c>
      <c r="L303" s="497">
        <f t="shared" si="87"/>
        <v>0.72</v>
      </c>
      <c r="M303" s="185"/>
      <c r="N303" s="476"/>
      <c r="O303" s="301"/>
      <c r="P303" s="894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49"/>
      <c r="BC303" s="49"/>
      <c r="BD303" s="49"/>
      <c r="BE303" s="49"/>
      <c r="BF303" s="68"/>
    </row>
    <row r="304" spans="1:58" s="51" customFormat="1" ht="15.75" customHeight="1">
      <c r="A304" s="1150"/>
      <c r="B304" s="1001"/>
      <c r="C304" s="479"/>
      <c r="D304" s="84">
        <v>2024</v>
      </c>
      <c r="E304" s="85">
        <f t="shared" si="93"/>
        <v>0.72</v>
      </c>
      <c r="F304" s="85">
        <f t="shared" si="93"/>
        <v>0.72</v>
      </c>
      <c r="G304" s="85">
        <f t="shared" si="93"/>
        <v>0</v>
      </c>
      <c r="H304" s="85">
        <f t="shared" si="93"/>
        <v>0</v>
      </c>
      <c r="I304" s="85">
        <f t="shared" si="93"/>
        <v>0</v>
      </c>
      <c r="J304" s="85">
        <f t="shared" si="93"/>
        <v>0</v>
      </c>
      <c r="K304" s="76">
        <v>0</v>
      </c>
      <c r="L304" s="497">
        <f t="shared" si="87"/>
        <v>0.72</v>
      </c>
      <c r="M304" s="185"/>
      <c r="N304" s="476"/>
      <c r="O304" s="301"/>
      <c r="P304" s="894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49"/>
      <c r="BD304" s="49"/>
      <c r="BE304" s="49"/>
      <c r="BF304" s="68"/>
    </row>
    <row r="305" spans="1:58" s="51" customFormat="1" ht="15.75" customHeight="1">
      <c r="A305" s="1150"/>
      <c r="B305" s="1001"/>
      <c r="C305" s="479"/>
      <c r="D305" s="84">
        <v>2025</v>
      </c>
      <c r="E305" s="85">
        <f t="shared" si="93"/>
        <v>0.72</v>
      </c>
      <c r="F305" s="85">
        <f t="shared" si="93"/>
        <v>0.72</v>
      </c>
      <c r="G305" s="85">
        <f t="shared" si="93"/>
        <v>0</v>
      </c>
      <c r="H305" s="85">
        <f t="shared" si="93"/>
        <v>0</v>
      </c>
      <c r="I305" s="85">
        <f t="shared" si="93"/>
        <v>0</v>
      </c>
      <c r="J305" s="85">
        <f t="shared" si="93"/>
        <v>0</v>
      </c>
      <c r="K305" s="76">
        <v>0</v>
      </c>
      <c r="L305" s="497">
        <f t="shared" si="87"/>
        <v>0.72</v>
      </c>
      <c r="M305" s="185"/>
      <c r="N305" s="476"/>
      <c r="O305" s="301"/>
      <c r="P305" s="894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49"/>
      <c r="BC305" s="49"/>
      <c r="BD305" s="49"/>
      <c r="BE305" s="49"/>
      <c r="BF305" s="68"/>
    </row>
    <row r="306" spans="1:58" s="51" customFormat="1" ht="15.75" customHeight="1">
      <c r="A306" s="1151"/>
      <c r="B306" s="1002"/>
      <c r="C306" s="479"/>
      <c r="D306" s="84">
        <v>2027</v>
      </c>
      <c r="E306" s="85">
        <f t="shared" ref="E306:J306" si="94">E311</f>
        <v>0</v>
      </c>
      <c r="F306" s="85">
        <f t="shared" si="94"/>
        <v>0</v>
      </c>
      <c r="G306" s="85">
        <f t="shared" si="94"/>
        <v>0</v>
      </c>
      <c r="H306" s="85">
        <f t="shared" si="94"/>
        <v>0</v>
      </c>
      <c r="I306" s="85">
        <f t="shared" si="94"/>
        <v>0</v>
      </c>
      <c r="J306" s="85">
        <f t="shared" si="94"/>
        <v>0</v>
      </c>
      <c r="K306" s="76">
        <v>0</v>
      </c>
      <c r="L306" s="497"/>
      <c r="M306" s="185"/>
      <c r="N306" s="476"/>
      <c r="O306" s="301"/>
      <c r="P306" s="893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49"/>
      <c r="BC306" s="49"/>
      <c r="BD306" s="49"/>
      <c r="BE306" s="49"/>
      <c r="BF306" s="68"/>
    </row>
    <row r="307" spans="1:58" s="51" customFormat="1" ht="25.5" customHeight="1">
      <c r="A307" s="59" t="s">
        <v>514</v>
      </c>
      <c r="B307" s="283" t="s">
        <v>515</v>
      </c>
      <c r="C307" s="1104" t="s">
        <v>516</v>
      </c>
      <c r="D307" s="62">
        <v>2019</v>
      </c>
      <c r="E307" s="63">
        <f t="shared" ref="E307:E312" si="95">F307+G307+H307+I307+J307</f>
        <v>0</v>
      </c>
      <c r="F307" s="63">
        <v>0</v>
      </c>
      <c r="G307" s="63">
        <v>0</v>
      </c>
      <c r="H307" s="63">
        <v>0</v>
      </c>
      <c r="I307" s="63">
        <v>0</v>
      </c>
      <c r="J307" s="63">
        <v>0</v>
      </c>
      <c r="K307" s="76">
        <v>0</v>
      </c>
      <c r="L307" s="497">
        <f>F307+G307+H307+I307+J307</f>
        <v>0</v>
      </c>
      <c r="M307" s="185"/>
      <c r="N307" s="476"/>
      <c r="O307" s="301"/>
      <c r="P307" s="1077" t="s">
        <v>517</v>
      </c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49"/>
      <c r="BD307" s="49"/>
      <c r="BE307" s="49"/>
      <c r="BF307" s="68"/>
    </row>
    <row r="308" spans="1:58" s="51" customFormat="1" ht="25.5">
      <c r="A308" s="59" t="s">
        <v>518</v>
      </c>
      <c r="B308" s="283" t="s">
        <v>519</v>
      </c>
      <c r="C308" s="992"/>
      <c r="D308" s="62">
        <v>2019</v>
      </c>
      <c r="E308" s="63">
        <f t="shared" si="95"/>
        <v>0</v>
      </c>
      <c r="F308" s="63">
        <v>0</v>
      </c>
      <c r="G308" s="63">
        <v>0</v>
      </c>
      <c r="H308" s="63">
        <v>0</v>
      </c>
      <c r="I308" s="63">
        <v>0</v>
      </c>
      <c r="J308" s="63">
        <v>0</v>
      </c>
      <c r="K308" s="76">
        <v>0</v>
      </c>
      <c r="L308" s="497">
        <f>F308+G308+H308+I308+J308</f>
        <v>0</v>
      </c>
      <c r="M308" s="185"/>
      <c r="N308" s="476"/>
      <c r="O308" s="301"/>
      <c r="P308" s="1077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  <c r="BD308" s="49"/>
      <c r="BE308" s="49"/>
      <c r="BF308" s="68"/>
    </row>
    <row r="309" spans="1:58" s="51" customFormat="1" ht="25.5">
      <c r="A309" s="59" t="s">
        <v>520</v>
      </c>
      <c r="B309" s="283" t="s">
        <v>521</v>
      </c>
      <c r="C309" s="992"/>
      <c r="D309" s="62">
        <v>2019</v>
      </c>
      <c r="E309" s="63">
        <f t="shared" si="95"/>
        <v>0</v>
      </c>
      <c r="F309" s="63">
        <v>0</v>
      </c>
      <c r="G309" s="63">
        <v>0</v>
      </c>
      <c r="H309" s="63">
        <v>0</v>
      </c>
      <c r="I309" s="63">
        <v>0</v>
      </c>
      <c r="J309" s="63">
        <v>0</v>
      </c>
      <c r="K309" s="76">
        <v>0</v>
      </c>
      <c r="L309" s="497">
        <f>F309+G309+H309+I309+J309</f>
        <v>0</v>
      </c>
      <c r="M309" s="185"/>
      <c r="N309" s="476"/>
      <c r="O309" s="301"/>
      <c r="P309" s="1077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49"/>
      <c r="BC309" s="49"/>
      <c r="BD309" s="49"/>
      <c r="BE309" s="49"/>
      <c r="BF309" s="68"/>
    </row>
    <row r="310" spans="1:58" s="51" customFormat="1" ht="33" customHeight="1">
      <c r="A310" s="59" t="s">
        <v>522</v>
      </c>
      <c r="B310" s="283" t="s">
        <v>523</v>
      </c>
      <c r="C310" s="993"/>
      <c r="D310" s="62">
        <v>2019</v>
      </c>
      <c r="E310" s="63">
        <f t="shared" si="95"/>
        <v>0</v>
      </c>
      <c r="F310" s="63">
        <v>0</v>
      </c>
      <c r="G310" s="63">
        <v>0</v>
      </c>
      <c r="H310" s="63">
        <v>0</v>
      </c>
      <c r="I310" s="63">
        <v>0</v>
      </c>
      <c r="J310" s="63">
        <v>0</v>
      </c>
      <c r="K310" s="76">
        <v>0</v>
      </c>
      <c r="L310" s="497">
        <f>F310+G310+H310+I310+J310</f>
        <v>0</v>
      </c>
      <c r="M310" s="185"/>
      <c r="N310" s="476"/>
      <c r="O310" s="301"/>
      <c r="P310" s="1077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49"/>
      <c r="BC310" s="49"/>
      <c r="BD310" s="49"/>
      <c r="BE310" s="49"/>
      <c r="BF310" s="68"/>
    </row>
    <row r="311" spans="1:58" s="51" customFormat="1" ht="59.25" customHeight="1">
      <c r="A311" s="83" t="s">
        <v>1148</v>
      </c>
      <c r="B311" s="149" t="s">
        <v>1149</v>
      </c>
      <c r="C311" s="430" t="s">
        <v>1150</v>
      </c>
      <c r="D311" s="62">
        <v>2027</v>
      </c>
      <c r="E311" s="63">
        <f t="shared" si="95"/>
        <v>0</v>
      </c>
      <c r="F311" s="63">
        <v>0</v>
      </c>
      <c r="G311" s="63">
        <v>0</v>
      </c>
      <c r="H311" s="63">
        <v>0</v>
      </c>
      <c r="I311" s="63">
        <v>0</v>
      </c>
      <c r="J311" s="63">
        <v>0</v>
      </c>
      <c r="K311" s="76">
        <v>0</v>
      </c>
      <c r="L311" s="497"/>
      <c r="M311" s="185"/>
      <c r="N311" s="476"/>
      <c r="O311" s="301"/>
      <c r="P311" s="1077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49"/>
      <c r="BC311" s="49"/>
      <c r="BD311" s="49"/>
      <c r="BE311" s="49"/>
      <c r="BF311" s="68"/>
    </row>
    <row r="312" spans="1:58" s="51" customFormat="1" ht="49.5" customHeight="1">
      <c r="A312" s="83" t="s">
        <v>1151</v>
      </c>
      <c r="B312" s="149" t="s">
        <v>1152</v>
      </c>
      <c r="C312" s="526" t="s">
        <v>1150</v>
      </c>
      <c r="D312" s="62">
        <v>2027</v>
      </c>
      <c r="E312" s="63">
        <f t="shared" si="95"/>
        <v>0</v>
      </c>
      <c r="F312" s="63">
        <v>0</v>
      </c>
      <c r="G312" s="63">
        <v>0</v>
      </c>
      <c r="H312" s="63">
        <v>0</v>
      </c>
      <c r="I312" s="63">
        <v>0</v>
      </c>
      <c r="J312" s="63">
        <v>0</v>
      </c>
      <c r="K312" s="76">
        <v>0</v>
      </c>
      <c r="L312" s="497"/>
      <c r="M312" s="185"/>
      <c r="N312" s="476"/>
      <c r="O312" s="301"/>
      <c r="P312" s="1077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49"/>
      <c r="BC312" s="49"/>
      <c r="BD312" s="49"/>
      <c r="BE312" s="49"/>
      <c r="BF312" s="68"/>
    </row>
    <row r="313" spans="1:58" s="51" customFormat="1">
      <c r="A313" s="794" t="s">
        <v>1153</v>
      </c>
      <c r="B313" s="867" t="s">
        <v>525</v>
      </c>
      <c r="C313" s="881" t="s">
        <v>1154</v>
      </c>
      <c r="D313" s="84" t="s">
        <v>16</v>
      </c>
      <c r="E313" s="85">
        <f t="shared" ref="E313:J313" si="96">E314+E315+E316+E317+E318+E319+E320</f>
        <v>6.7199999999999989</v>
      </c>
      <c r="F313" s="85">
        <f t="shared" si="96"/>
        <v>6.7199999999999989</v>
      </c>
      <c r="G313" s="85">
        <f t="shared" si="96"/>
        <v>0</v>
      </c>
      <c r="H313" s="85">
        <f t="shared" si="96"/>
        <v>0</v>
      </c>
      <c r="I313" s="85">
        <f t="shared" si="96"/>
        <v>0</v>
      </c>
      <c r="J313" s="85">
        <f t="shared" si="96"/>
        <v>0</v>
      </c>
      <c r="K313" s="76">
        <v>0</v>
      </c>
      <c r="L313" s="497">
        <f t="shared" ref="L313:L321" si="97">F313+G313+H313+I313+J313</f>
        <v>6.7199999999999989</v>
      </c>
      <c r="M313" s="185"/>
      <c r="N313" s="476"/>
      <c r="O313" s="301"/>
      <c r="P313" s="184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  <c r="BD313" s="49"/>
      <c r="BE313" s="49"/>
      <c r="BF313" s="68"/>
    </row>
    <row r="314" spans="1:58" s="51" customFormat="1" ht="12.75" customHeight="1">
      <c r="A314" s="795"/>
      <c r="B314" s="872"/>
      <c r="C314" s="882"/>
      <c r="D314" s="62">
        <v>2019</v>
      </c>
      <c r="E314" s="63">
        <f t="shared" ref="E314:E320" si="98">F314+G314+H314+I314+J314</f>
        <v>1.2</v>
      </c>
      <c r="F314" s="63">
        <v>1.2</v>
      </c>
      <c r="G314" s="63">
        <v>0</v>
      </c>
      <c r="H314" s="63">
        <v>0</v>
      </c>
      <c r="I314" s="63">
        <v>0</v>
      </c>
      <c r="J314" s="63">
        <v>0</v>
      </c>
      <c r="K314" s="76">
        <v>0</v>
      </c>
      <c r="L314" s="497">
        <f t="shared" si="97"/>
        <v>1.2</v>
      </c>
      <c r="M314" s="185"/>
      <c r="N314" s="476"/>
      <c r="O314" s="301"/>
      <c r="P314" s="1104" t="s">
        <v>527</v>
      </c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  <c r="BD314" s="49"/>
      <c r="BE314" s="49"/>
      <c r="BF314" s="68"/>
    </row>
    <row r="315" spans="1:58" s="51" customFormat="1" ht="15.75" customHeight="1">
      <c r="A315" s="795"/>
      <c r="B315" s="872"/>
      <c r="C315" s="882"/>
      <c r="D315" s="62">
        <v>2020</v>
      </c>
      <c r="E315" s="63">
        <f t="shared" si="98"/>
        <v>1.92</v>
      </c>
      <c r="F315" s="63">
        <v>1.92</v>
      </c>
      <c r="G315" s="63">
        <v>0</v>
      </c>
      <c r="H315" s="63">
        <v>0</v>
      </c>
      <c r="I315" s="63">
        <v>0</v>
      </c>
      <c r="J315" s="63">
        <v>0</v>
      </c>
      <c r="K315" s="76">
        <v>0</v>
      </c>
      <c r="L315" s="497">
        <f t="shared" si="97"/>
        <v>1.92</v>
      </c>
      <c r="M315" s="185"/>
      <c r="N315" s="476"/>
      <c r="O315" s="301"/>
      <c r="P315" s="992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49"/>
      <c r="BC315" s="49"/>
      <c r="BD315" s="49"/>
      <c r="BE315" s="49"/>
      <c r="BF315" s="68"/>
    </row>
    <row r="316" spans="1:58" s="51" customFormat="1">
      <c r="A316" s="795"/>
      <c r="B316" s="872"/>
      <c r="C316" s="882"/>
      <c r="D316" s="62">
        <v>2021</v>
      </c>
      <c r="E316" s="63">
        <f t="shared" si="98"/>
        <v>0.72</v>
      </c>
      <c r="F316" s="63">
        <v>0.72</v>
      </c>
      <c r="G316" s="63">
        <v>0</v>
      </c>
      <c r="H316" s="63">
        <v>0</v>
      </c>
      <c r="I316" s="63">
        <v>0</v>
      </c>
      <c r="J316" s="63">
        <v>0</v>
      </c>
      <c r="K316" s="76">
        <v>0</v>
      </c>
      <c r="L316" s="497">
        <f t="shared" si="97"/>
        <v>0.72</v>
      </c>
      <c r="M316" s="185"/>
      <c r="N316" s="476"/>
      <c r="O316" s="301"/>
      <c r="P316" s="993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49"/>
      <c r="BC316" s="49"/>
      <c r="BD316" s="49"/>
      <c r="BE316" s="49"/>
      <c r="BF316" s="68"/>
    </row>
    <row r="317" spans="1:58" s="51" customFormat="1">
      <c r="A317" s="795"/>
      <c r="B317" s="872"/>
      <c r="C317" s="882"/>
      <c r="D317" s="62">
        <v>2022</v>
      </c>
      <c r="E317" s="63">
        <f t="shared" si="98"/>
        <v>0.72</v>
      </c>
      <c r="F317" s="63">
        <v>0.72</v>
      </c>
      <c r="G317" s="63">
        <v>0</v>
      </c>
      <c r="H317" s="63">
        <v>0</v>
      </c>
      <c r="I317" s="63">
        <v>0</v>
      </c>
      <c r="J317" s="63">
        <v>0</v>
      </c>
      <c r="K317" s="76">
        <v>0</v>
      </c>
      <c r="L317" s="497">
        <f t="shared" si="97"/>
        <v>0.72</v>
      </c>
      <c r="M317" s="185"/>
      <c r="N317" s="476"/>
      <c r="O317" s="301"/>
      <c r="P317" s="32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49"/>
      <c r="BD317" s="49"/>
      <c r="BE317" s="49"/>
      <c r="BF317" s="68"/>
    </row>
    <row r="318" spans="1:58" s="51" customFormat="1">
      <c r="A318" s="795"/>
      <c r="B318" s="872"/>
      <c r="C318" s="882"/>
      <c r="D318" s="62">
        <v>2023</v>
      </c>
      <c r="E318" s="63">
        <f t="shared" si="98"/>
        <v>0.72</v>
      </c>
      <c r="F318" s="63">
        <v>0.72</v>
      </c>
      <c r="G318" s="63">
        <v>0</v>
      </c>
      <c r="H318" s="63">
        <v>0</v>
      </c>
      <c r="I318" s="63">
        <v>0</v>
      </c>
      <c r="J318" s="63">
        <v>0</v>
      </c>
      <c r="K318" s="76">
        <v>0</v>
      </c>
      <c r="L318" s="497">
        <f t="shared" si="97"/>
        <v>0.72</v>
      </c>
      <c r="M318" s="185"/>
      <c r="N318" s="476"/>
      <c r="O318" s="301"/>
      <c r="P318" s="32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  <c r="BD318" s="49"/>
      <c r="BE318" s="49"/>
      <c r="BF318" s="68"/>
    </row>
    <row r="319" spans="1:58" s="51" customFormat="1">
      <c r="A319" s="795"/>
      <c r="B319" s="872"/>
      <c r="C319" s="882"/>
      <c r="D319" s="62">
        <v>2024</v>
      </c>
      <c r="E319" s="63">
        <f t="shared" si="98"/>
        <v>0.72</v>
      </c>
      <c r="F319" s="63">
        <v>0.72</v>
      </c>
      <c r="G319" s="63">
        <v>0</v>
      </c>
      <c r="H319" s="63">
        <v>0</v>
      </c>
      <c r="I319" s="63">
        <v>0</v>
      </c>
      <c r="J319" s="63">
        <v>0</v>
      </c>
      <c r="K319" s="76">
        <v>0</v>
      </c>
      <c r="L319" s="497">
        <f t="shared" si="97"/>
        <v>0.72</v>
      </c>
      <c r="M319" s="185"/>
      <c r="N319" s="476"/>
      <c r="O319" s="301"/>
      <c r="P319" s="32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49"/>
      <c r="BC319" s="49"/>
      <c r="BD319" s="49"/>
      <c r="BE319" s="49"/>
      <c r="BF319" s="68"/>
    </row>
    <row r="320" spans="1:58" s="51" customFormat="1">
      <c r="A320" s="795"/>
      <c r="B320" s="872"/>
      <c r="C320" s="964"/>
      <c r="D320" s="62">
        <v>2025</v>
      </c>
      <c r="E320" s="63">
        <f t="shared" si="98"/>
        <v>0.72</v>
      </c>
      <c r="F320" s="63">
        <v>0.72</v>
      </c>
      <c r="G320" s="63">
        <v>0</v>
      </c>
      <c r="H320" s="63">
        <v>0</v>
      </c>
      <c r="I320" s="63">
        <v>0</v>
      </c>
      <c r="J320" s="63">
        <v>0</v>
      </c>
      <c r="K320" s="76">
        <v>0</v>
      </c>
      <c r="L320" s="497">
        <f t="shared" si="97"/>
        <v>0.72</v>
      </c>
      <c r="M320" s="185"/>
      <c r="N320" s="476"/>
      <c r="O320" s="301"/>
      <c r="P320" s="32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49"/>
      <c r="BC320" s="49"/>
      <c r="BD320" s="49"/>
      <c r="BE320" s="49"/>
      <c r="BF320" s="68"/>
    </row>
    <row r="321" spans="1:58" s="82" customFormat="1">
      <c r="A321" s="1128" t="s">
        <v>528</v>
      </c>
      <c r="B321" s="929" t="s">
        <v>529</v>
      </c>
      <c r="C321" s="1000"/>
      <c r="D321" s="84" t="s">
        <v>16</v>
      </c>
      <c r="E321" s="136">
        <f t="shared" ref="E321:J321" si="99">SUM(E322:E333)</f>
        <v>876.06232999999997</v>
      </c>
      <c r="F321" s="136">
        <f t="shared" si="99"/>
        <v>257.12263000000002</v>
      </c>
      <c r="G321" s="136">
        <f t="shared" si="99"/>
        <v>6.4695999999999998</v>
      </c>
      <c r="H321" s="136">
        <f t="shared" si="99"/>
        <v>543.24209999999994</v>
      </c>
      <c r="I321" s="136">
        <f t="shared" si="99"/>
        <v>40.599000000000004</v>
      </c>
      <c r="J321" s="313">
        <f t="shared" si="99"/>
        <v>28.628999999999998</v>
      </c>
      <c r="K321" s="76">
        <v>0</v>
      </c>
      <c r="L321" s="497">
        <f t="shared" si="97"/>
        <v>876.06232999999997</v>
      </c>
      <c r="M321" s="185"/>
      <c r="N321" s="476"/>
      <c r="O321" s="301"/>
      <c r="P321" s="477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2"/>
    </row>
    <row r="322" spans="1:58" s="82" customFormat="1">
      <c r="A322" s="1126"/>
      <c r="B322" s="960"/>
      <c r="C322" s="1125"/>
      <c r="D322" s="84">
        <v>2019</v>
      </c>
      <c r="E322" s="85">
        <f t="shared" ref="E322:J322" si="100">E383+E398+E362+E352</f>
        <v>2.2943799999999999</v>
      </c>
      <c r="F322" s="85">
        <f t="shared" si="100"/>
        <v>1.3040799999999999</v>
      </c>
      <c r="G322" s="85">
        <f t="shared" si="100"/>
        <v>3.39E-2</v>
      </c>
      <c r="H322" s="85">
        <f t="shared" si="100"/>
        <v>0.85640000000000005</v>
      </c>
      <c r="I322" s="85">
        <f t="shared" si="100"/>
        <v>0</v>
      </c>
      <c r="J322" s="85">
        <f t="shared" si="100"/>
        <v>0.1</v>
      </c>
      <c r="K322" s="76">
        <v>0</v>
      </c>
      <c r="L322" s="473">
        <f>L383+L398+L362+L352</f>
        <v>2.2943799999999999</v>
      </c>
      <c r="M322" s="185"/>
      <c r="N322" s="476"/>
      <c r="O322" s="301"/>
      <c r="P322" s="477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2"/>
    </row>
    <row r="323" spans="1:58" s="82" customFormat="1">
      <c r="A323" s="1126"/>
      <c r="B323" s="960"/>
      <c r="C323" s="1125"/>
      <c r="D323" s="84">
        <v>2020</v>
      </c>
      <c r="E323" s="85">
        <f t="shared" ref="E323:J323" si="101">E343+E368+E399+E382+E401+E407+E363+E360+E403</f>
        <v>48.549300000000002</v>
      </c>
      <c r="F323" s="85">
        <f t="shared" si="101"/>
        <v>0.22970000000000002</v>
      </c>
      <c r="G323" s="85">
        <f t="shared" si="101"/>
        <v>4</v>
      </c>
      <c r="H323" s="85">
        <f t="shared" si="101"/>
        <v>22.361600000000003</v>
      </c>
      <c r="I323" s="85">
        <f t="shared" si="101"/>
        <v>20.599</v>
      </c>
      <c r="J323" s="85">
        <f t="shared" si="101"/>
        <v>1.359</v>
      </c>
      <c r="K323" s="76">
        <v>0</v>
      </c>
      <c r="L323" s="497">
        <f t="shared" ref="L323:L352" si="102">F323+G323+H323+I323+J323</f>
        <v>48.549300000000009</v>
      </c>
      <c r="M323" s="185"/>
      <c r="N323" s="476"/>
      <c r="O323" s="301"/>
      <c r="P323" s="477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2"/>
    </row>
    <row r="324" spans="1:58" s="82" customFormat="1">
      <c r="A324" s="1126"/>
      <c r="B324" s="960"/>
      <c r="C324" s="1125"/>
      <c r="D324" s="84">
        <v>2021</v>
      </c>
      <c r="E324" s="480">
        <f t="shared" ref="E324:K324" si="103">E344+E364+E369+E380+E404+E415+E386</f>
        <v>38.354100000000003</v>
      </c>
      <c r="F324" s="480">
        <f t="shared" si="103"/>
        <v>5.4170999999999996</v>
      </c>
      <c r="G324" s="480">
        <f t="shared" si="103"/>
        <v>2.4357000000000002</v>
      </c>
      <c r="H324" s="480">
        <f t="shared" si="103"/>
        <v>19.661300000000001</v>
      </c>
      <c r="I324" s="480">
        <f t="shared" si="103"/>
        <v>10</v>
      </c>
      <c r="J324" s="480">
        <f t="shared" si="103"/>
        <v>0.84</v>
      </c>
      <c r="K324" s="480">
        <f t="shared" si="103"/>
        <v>0</v>
      </c>
      <c r="L324" s="497">
        <f t="shared" si="102"/>
        <v>38.354100000000003</v>
      </c>
      <c r="M324" s="185"/>
      <c r="N324" s="476"/>
      <c r="O324" s="301"/>
      <c r="P324" s="477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2"/>
    </row>
    <row r="325" spans="1:58" s="82" customFormat="1">
      <c r="A325" s="1126"/>
      <c r="B325" s="960"/>
      <c r="C325" s="1125"/>
      <c r="D325" s="84">
        <v>2022</v>
      </c>
      <c r="E325" s="85">
        <f t="shared" ref="E325:J325" si="104">E346+E357+E365+E370+E405</f>
        <v>15.0541</v>
      </c>
      <c r="F325" s="85">
        <f t="shared" si="104"/>
        <v>7.1000000000000004E-3</v>
      </c>
      <c r="G325" s="85">
        <f t="shared" si="104"/>
        <v>0</v>
      </c>
      <c r="H325" s="85">
        <f t="shared" si="104"/>
        <v>4.7969999999999997</v>
      </c>
      <c r="I325" s="85">
        <f t="shared" si="104"/>
        <v>10</v>
      </c>
      <c r="J325" s="85">
        <f t="shared" si="104"/>
        <v>0.25</v>
      </c>
      <c r="K325" s="76">
        <v>0</v>
      </c>
      <c r="L325" s="497">
        <f t="shared" si="102"/>
        <v>15.0541</v>
      </c>
      <c r="M325" s="185"/>
      <c r="N325" s="476"/>
      <c r="O325" s="301"/>
      <c r="P325" s="477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2"/>
    </row>
    <row r="326" spans="1:58" s="82" customFormat="1">
      <c r="A326" s="1126"/>
      <c r="B326" s="960"/>
      <c r="C326" s="1125"/>
      <c r="D326" s="84">
        <v>2023</v>
      </c>
      <c r="E326" s="85">
        <f t="shared" ref="E326:J326" si="105">E335+E337+E358+E366+E371+E392</f>
        <v>256.85329999999999</v>
      </c>
      <c r="F326" s="85">
        <f t="shared" si="105"/>
        <v>7.4999999999999997E-3</v>
      </c>
      <c r="G326" s="85">
        <f t="shared" si="105"/>
        <v>0</v>
      </c>
      <c r="H326" s="85">
        <f t="shared" si="105"/>
        <v>244.00580000000002</v>
      </c>
      <c r="I326" s="85">
        <f t="shared" si="105"/>
        <v>0</v>
      </c>
      <c r="J326" s="85">
        <f t="shared" si="105"/>
        <v>12.84</v>
      </c>
      <c r="K326" s="76">
        <v>0</v>
      </c>
      <c r="L326" s="497">
        <f t="shared" si="102"/>
        <v>256.85329999999999</v>
      </c>
      <c r="M326" s="185"/>
      <c r="N326" s="476"/>
      <c r="O326" s="301"/>
      <c r="P326" s="477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2"/>
    </row>
    <row r="327" spans="1:58" s="82" customFormat="1">
      <c r="A327" s="1126"/>
      <c r="B327" s="960"/>
      <c r="C327" s="1125"/>
      <c r="D327" s="84">
        <v>2024</v>
      </c>
      <c r="E327" s="85">
        <f t="shared" ref="E327:J327" si="106">E341+E348+E372+E355</f>
        <v>19.820600000000002</v>
      </c>
      <c r="F327" s="85">
        <f t="shared" si="106"/>
        <v>2.06E-2</v>
      </c>
      <c r="G327" s="85">
        <f t="shared" si="106"/>
        <v>0</v>
      </c>
      <c r="H327" s="85">
        <f t="shared" si="106"/>
        <v>18.810000000000002</v>
      </c>
      <c r="I327" s="85">
        <f t="shared" si="106"/>
        <v>0</v>
      </c>
      <c r="J327" s="85">
        <f t="shared" si="106"/>
        <v>0.99</v>
      </c>
      <c r="K327" s="76">
        <v>0</v>
      </c>
      <c r="L327" s="497">
        <f t="shared" si="102"/>
        <v>19.820600000000002</v>
      </c>
      <c r="M327" s="185"/>
      <c r="N327" s="476"/>
      <c r="O327" s="301"/>
      <c r="P327" s="477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2"/>
    </row>
    <row r="328" spans="1:58" s="82" customFormat="1">
      <c r="A328" s="1126"/>
      <c r="B328" s="960"/>
      <c r="C328" s="1125"/>
      <c r="D328" s="84">
        <v>2025</v>
      </c>
      <c r="E328" s="85">
        <f t="shared" ref="E328:J328" si="107">E350+E373+E396</f>
        <v>125.0206</v>
      </c>
      <c r="F328" s="85">
        <f t="shared" si="107"/>
        <v>2.06E-2</v>
      </c>
      <c r="G328" s="85">
        <f t="shared" si="107"/>
        <v>0</v>
      </c>
      <c r="H328" s="85">
        <f t="shared" si="107"/>
        <v>118.75</v>
      </c>
      <c r="I328" s="85">
        <f t="shared" si="107"/>
        <v>0</v>
      </c>
      <c r="J328" s="85">
        <f t="shared" si="107"/>
        <v>6.25</v>
      </c>
      <c r="K328" s="76">
        <v>0</v>
      </c>
      <c r="L328" s="497">
        <f t="shared" si="102"/>
        <v>125.0206</v>
      </c>
      <c r="M328" s="185"/>
      <c r="N328" s="476"/>
      <c r="O328" s="301"/>
      <c r="P328" s="477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2"/>
    </row>
    <row r="329" spans="1:58" s="82" customFormat="1" ht="16.5" customHeight="1">
      <c r="A329" s="1126"/>
      <c r="B329" s="960"/>
      <c r="C329" s="1125"/>
      <c r="D329" s="84">
        <v>2026</v>
      </c>
      <c r="E329" s="85">
        <f t="shared" ref="E329:J329" si="108">E394+E374</f>
        <v>120.0214</v>
      </c>
      <c r="F329" s="85">
        <f t="shared" si="108"/>
        <v>2.1399999999999999E-2</v>
      </c>
      <c r="G329" s="85">
        <f t="shared" si="108"/>
        <v>0</v>
      </c>
      <c r="H329" s="85">
        <f t="shared" si="108"/>
        <v>114</v>
      </c>
      <c r="I329" s="85">
        <f t="shared" si="108"/>
        <v>0</v>
      </c>
      <c r="J329" s="85">
        <f t="shared" si="108"/>
        <v>6</v>
      </c>
      <c r="K329" s="76">
        <v>0</v>
      </c>
      <c r="L329" s="497">
        <f t="shared" si="102"/>
        <v>120.0214</v>
      </c>
      <c r="M329" s="185"/>
      <c r="N329" s="476"/>
      <c r="O329" s="301"/>
      <c r="P329" s="477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2"/>
    </row>
    <row r="330" spans="1:58" s="82" customFormat="1">
      <c r="A330" s="1126"/>
      <c r="B330" s="960"/>
      <c r="C330" s="1125"/>
      <c r="D330" s="84">
        <v>2027</v>
      </c>
      <c r="E330" s="85">
        <f t="shared" ref="E330:J330" si="109">E375</f>
        <v>2.23E-2</v>
      </c>
      <c r="F330" s="85">
        <f t="shared" si="109"/>
        <v>2.23E-2</v>
      </c>
      <c r="G330" s="85">
        <f t="shared" si="109"/>
        <v>0</v>
      </c>
      <c r="H330" s="85">
        <f t="shared" si="109"/>
        <v>0</v>
      </c>
      <c r="I330" s="85">
        <f t="shared" si="109"/>
        <v>0</v>
      </c>
      <c r="J330" s="85">
        <f t="shared" si="109"/>
        <v>0</v>
      </c>
      <c r="K330" s="76">
        <v>0</v>
      </c>
      <c r="L330" s="497">
        <f t="shared" si="102"/>
        <v>2.23E-2</v>
      </c>
      <c r="M330" s="185"/>
      <c r="N330" s="476"/>
      <c r="O330" s="301"/>
      <c r="P330" s="477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2"/>
    </row>
    <row r="331" spans="1:58" s="82" customFormat="1">
      <c r="A331" s="1126"/>
      <c r="B331" s="960"/>
      <c r="C331" s="1125"/>
      <c r="D331" s="84">
        <v>2028</v>
      </c>
      <c r="E331" s="85">
        <f t="shared" ref="E331:J333" si="110">E376+E388</f>
        <v>24.023150000000001</v>
      </c>
      <c r="F331" s="85">
        <f t="shared" si="110"/>
        <v>24.023150000000001</v>
      </c>
      <c r="G331" s="85">
        <f t="shared" si="110"/>
        <v>0</v>
      </c>
      <c r="H331" s="85">
        <f t="shared" si="110"/>
        <v>0</v>
      </c>
      <c r="I331" s="85">
        <f t="shared" si="110"/>
        <v>0</v>
      </c>
      <c r="J331" s="85">
        <f t="shared" si="110"/>
        <v>0</v>
      </c>
      <c r="K331" s="76">
        <v>0</v>
      </c>
      <c r="L331" s="497">
        <f t="shared" si="102"/>
        <v>24.023150000000001</v>
      </c>
      <c r="M331" s="185"/>
      <c r="N331" s="476"/>
      <c r="O331" s="301"/>
      <c r="P331" s="477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2"/>
    </row>
    <row r="332" spans="1:58" s="82" customFormat="1">
      <c r="A332" s="1126"/>
      <c r="B332" s="960"/>
      <c r="C332" s="1125"/>
      <c r="D332" s="84">
        <v>2029</v>
      </c>
      <c r="E332" s="85">
        <f t="shared" si="110"/>
        <v>110.0241</v>
      </c>
      <c r="F332" s="85">
        <f t="shared" si="110"/>
        <v>110.0241</v>
      </c>
      <c r="G332" s="85">
        <f t="shared" si="110"/>
        <v>0</v>
      </c>
      <c r="H332" s="85">
        <f t="shared" si="110"/>
        <v>0</v>
      </c>
      <c r="I332" s="85">
        <f t="shared" si="110"/>
        <v>0</v>
      </c>
      <c r="J332" s="85">
        <f t="shared" si="110"/>
        <v>0</v>
      </c>
      <c r="K332" s="76">
        <v>0</v>
      </c>
      <c r="L332" s="497">
        <f t="shared" si="102"/>
        <v>110.0241</v>
      </c>
      <c r="M332" s="185"/>
      <c r="N332" s="476"/>
      <c r="O332" s="301"/>
      <c r="P332" s="477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2"/>
    </row>
    <row r="333" spans="1:58" s="82" customFormat="1">
      <c r="A333" s="1126"/>
      <c r="B333" s="961"/>
      <c r="C333" s="1125"/>
      <c r="D333" s="84">
        <v>2030</v>
      </c>
      <c r="E333" s="85">
        <f t="shared" si="110"/>
        <v>116.02500000000001</v>
      </c>
      <c r="F333" s="85">
        <f t="shared" si="110"/>
        <v>116.02500000000001</v>
      </c>
      <c r="G333" s="85">
        <f t="shared" si="110"/>
        <v>0</v>
      </c>
      <c r="H333" s="85">
        <f t="shared" si="110"/>
        <v>0</v>
      </c>
      <c r="I333" s="85">
        <f t="shared" si="110"/>
        <v>0</v>
      </c>
      <c r="J333" s="85">
        <f t="shared" si="110"/>
        <v>0</v>
      </c>
      <c r="K333" s="76">
        <v>0</v>
      </c>
      <c r="L333" s="497">
        <f t="shared" si="102"/>
        <v>116.02500000000001</v>
      </c>
      <c r="M333" s="185"/>
      <c r="N333" s="476"/>
      <c r="O333" s="301"/>
      <c r="P333" s="477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2"/>
    </row>
    <row r="334" spans="1:58" s="51" customFormat="1" ht="21.75" customHeight="1">
      <c r="A334" s="794" t="s">
        <v>530</v>
      </c>
      <c r="B334" s="867" t="s">
        <v>531</v>
      </c>
      <c r="C334" s="881" t="s">
        <v>532</v>
      </c>
      <c r="D334" s="84" t="s">
        <v>16</v>
      </c>
      <c r="E334" s="136">
        <f t="shared" ref="E334:J334" si="111">E335</f>
        <v>120</v>
      </c>
      <c r="F334" s="527">
        <f t="shared" si="111"/>
        <v>0</v>
      </c>
      <c r="G334" s="527">
        <f t="shared" si="111"/>
        <v>0</v>
      </c>
      <c r="H334" s="527">
        <f t="shared" si="111"/>
        <v>114</v>
      </c>
      <c r="I334" s="527">
        <f t="shared" si="111"/>
        <v>0</v>
      </c>
      <c r="J334" s="528">
        <f t="shared" si="111"/>
        <v>6</v>
      </c>
      <c r="K334" s="76">
        <v>0</v>
      </c>
      <c r="L334" s="497">
        <f t="shared" si="102"/>
        <v>120</v>
      </c>
      <c r="M334" s="185"/>
      <c r="N334" s="476"/>
      <c r="O334" s="301"/>
      <c r="P334" s="842" t="s">
        <v>533</v>
      </c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49"/>
      <c r="BC334" s="49"/>
      <c r="BD334" s="49"/>
      <c r="BE334" s="49"/>
      <c r="BF334" s="68"/>
    </row>
    <row r="335" spans="1:58" s="51" customFormat="1" ht="30" customHeight="1">
      <c r="A335" s="1127"/>
      <c r="B335" s="869"/>
      <c r="C335" s="1103"/>
      <c r="D335" s="84">
        <v>2023</v>
      </c>
      <c r="E335" s="63">
        <f>F335+G335+H335+I335+J335</f>
        <v>120</v>
      </c>
      <c r="F335" s="491">
        <v>0</v>
      </c>
      <c r="G335" s="491">
        <v>0</v>
      </c>
      <c r="H335" s="491">
        <v>114</v>
      </c>
      <c r="I335" s="491">
        <v>0</v>
      </c>
      <c r="J335" s="491">
        <v>6</v>
      </c>
      <c r="K335" s="76">
        <v>0</v>
      </c>
      <c r="L335" s="497">
        <f t="shared" si="102"/>
        <v>120</v>
      </c>
      <c r="M335" s="401" t="s">
        <v>534</v>
      </c>
      <c r="N335" s="476"/>
      <c r="O335" s="288"/>
      <c r="P335" s="1147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49"/>
      <c r="BC335" s="49"/>
      <c r="BD335" s="49"/>
      <c r="BE335" s="49"/>
      <c r="BF335" s="68"/>
    </row>
    <row r="336" spans="1:58" s="51" customFormat="1" ht="15.75" customHeight="1">
      <c r="A336" s="794" t="s">
        <v>535</v>
      </c>
      <c r="B336" s="867" t="s">
        <v>536</v>
      </c>
      <c r="C336" s="881" t="s">
        <v>537</v>
      </c>
      <c r="D336" s="84" t="s">
        <v>16</v>
      </c>
      <c r="E336" s="85">
        <f t="shared" ref="E336:J336" si="112">E337</f>
        <v>120</v>
      </c>
      <c r="F336" s="529">
        <f t="shared" si="112"/>
        <v>0</v>
      </c>
      <c r="G336" s="529">
        <f t="shared" si="112"/>
        <v>0</v>
      </c>
      <c r="H336" s="529">
        <f t="shared" si="112"/>
        <v>114</v>
      </c>
      <c r="I336" s="529">
        <f t="shared" si="112"/>
        <v>0</v>
      </c>
      <c r="J336" s="529">
        <f t="shared" si="112"/>
        <v>6</v>
      </c>
      <c r="K336" s="76">
        <v>0</v>
      </c>
      <c r="L336" s="497">
        <f t="shared" si="102"/>
        <v>120</v>
      </c>
      <c r="M336" s="382" t="s">
        <v>538</v>
      </c>
      <c r="N336" s="476"/>
      <c r="O336" s="301"/>
      <c r="P336" s="842" t="s">
        <v>539</v>
      </c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49"/>
      <c r="BF336" s="68"/>
    </row>
    <row r="337" spans="1:58" s="51" customFormat="1" ht="33.75" customHeight="1">
      <c r="A337" s="796"/>
      <c r="B337" s="873"/>
      <c r="C337" s="964"/>
      <c r="D337" s="84">
        <v>2023</v>
      </c>
      <c r="E337" s="63">
        <f>F337+G337+H337+I337+J337</f>
        <v>120</v>
      </c>
      <c r="F337" s="491">
        <v>0</v>
      </c>
      <c r="G337" s="491">
        <v>0</v>
      </c>
      <c r="H337" s="491">
        <v>114</v>
      </c>
      <c r="I337" s="491">
        <v>0</v>
      </c>
      <c r="J337" s="491">
        <v>6</v>
      </c>
      <c r="K337" s="76">
        <v>0</v>
      </c>
      <c r="L337" s="497">
        <f t="shared" si="102"/>
        <v>120</v>
      </c>
      <c r="M337" s="237"/>
      <c r="N337" s="476"/>
      <c r="O337" s="305"/>
      <c r="P337" s="1152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49"/>
      <c r="BC337" s="49"/>
      <c r="BD337" s="49"/>
      <c r="BE337" s="49"/>
      <c r="BF337" s="68"/>
    </row>
    <row r="338" spans="1:58" s="51" customFormat="1">
      <c r="A338" s="794" t="s">
        <v>540</v>
      </c>
      <c r="B338" s="867" t="s">
        <v>541</v>
      </c>
      <c r="C338" s="881" t="s">
        <v>542</v>
      </c>
      <c r="D338" s="84" t="s">
        <v>16</v>
      </c>
      <c r="E338" s="85">
        <f t="shared" ref="E338:J338" si="113">E339</f>
        <v>16.8</v>
      </c>
      <c r="F338" s="529">
        <f t="shared" si="113"/>
        <v>0</v>
      </c>
      <c r="G338" s="529">
        <f t="shared" si="113"/>
        <v>0</v>
      </c>
      <c r="H338" s="529">
        <f t="shared" si="113"/>
        <v>15.96</v>
      </c>
      <c r="I338" s="529">
        <f t="shared" si="113"/>
        <v>0</v>
      </c>
      <c r="J338" s="529">
        <f t="shared" si="113"/>
        <v>0.84</v>
      </c>
      <c r="K338" s="76">
        <v>0</v>
      </c>
      <c r="L338" s="497">
        <f t="shared" si="102"/>
        <v>16.8</v>
      </c>
      <c r="M338" s="965"/>
      <c r="N338" s="476"/>
      <c r="O338" s="962"/>
      <c r="P338" s="1152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49"/>
      <c r="BD338" s="49"/>
      <c r="BE338" s="49"/>
      <c r="BF338" s="68"/>
    </row>
    <row r="339" spans="1:58" s="51" customFormat="1">
      <c r="A339" s="958"/>
      <c r="B339" s="869"/>
      <c r="C339" s="1103"/>
      <c r="D339" s="84">
        <v>2025</v>
      </c>
      <c r="E339" s="63">
        <f>F339+G339+H339+I339+J339</f>
        <v>16.8</v>
      </c>
      <c r="F339" s="491">
        <v>0</v>
      </c>
      <c r="G339" s="491">
        <v>0</v>
      </c>
      <c r="H339" s="491">
        <v>15.96</v>
      </c>
      <c r="I339" s="491">
        <v>0</v>
      </c>
      <c r="J339" s="491">
        <v>0.84</v>
      </c>
      <c r="K339" s="76">
        <v>0</v>
      </c>
      <c r="L339" s="497">
        <f t="shared" si="102"/>
        <v>16.8</v>
      </c>
      <c r="M339" s="966"/>
      <c r="N339" s="476"/>
      <c r="O339" s="963"/>
      <c r="P339" s="1147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68"/>
    </row>
    <row r="340" spans="1:58" s="51" customFormat="1">
      <c r="A340" s="794" t="s">
        <v>543</v>
      </c>
      <c r="B340" s="867" t="s">
        <v>544</v>
      </c>
      <c r="C340" s="881" t="s">
        <v>1155</v>
      </c>
      <c r="D340" s="84" t="s">
        <v>16</v>
      </c>
      <c r="E340" s="85">
        <f t="shared" ref="E340:J340" si="114">E341</f>
        <v>16.8</v>
      </c>
      <c r="F340" s="529">
        <f t="shared" si="114"/>
        <v>0</v>
      </c>
      <c r="G340" s="529">
        <f t="shared" si="114"/>
        <v>0</v>
      </c>
      <c r="H340" s="529">
        <f t="shared" si="114"/>
        <v>15.96</v>
      </c>
      <c r="I340" s="529">
        <f t="shared" si="114"/>
        <v>0</v>
      </c>
      <c r="J340" s="529">
        <f t="shared" si="114"/>
        <v>0.84</v>
      </c>
      <c r="K340" s="76">
        <v>0</v>
      </c>
      <c r="L340" s="497">
        <f t="shared" si="102"/>
        <v>16.8</v>
      </c>
      <c r="M340" s="965"/>
      <c r="N340" s="476"/>
      <c r="O340" s="962"/>
      <c r="P340" s="1104" t="s">
        <v>545</v>
      </c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49"/>
      <c r="BC340" s="49"/>
      <c r="BD340" s="49"/>
      <c r="BE340" s="49"/>
      <c r="BF340" s="68"/>
    </row>
    <row r="341" spans="1:58" s="51" customFormat="1">
      <c r="A341" s="796"/>
      <c r="B341" s="869"/>
      <c r="C341" s="1103"/>
      <c r="D341" s="62">
        <v>2024</v>
      </c>
      <c r="E341" s="63">
        <f>F341+G341+H341+I341+J341</f>
        <v>16.8</v>
      </c>
      <c r="F341" s="491">
        <v>0</v>
      </c>
      <c r="G341" s="491">
        <v>0</v>
      </c>
      <c r="H341" s="491">
        <v>15.96</v>
      </c>
      <c r="I341" s="491">
        <v>0</v>
      </c>
      <c r="J341" s="491">
        <v>0.84</v>
      </c>
      <c r="K341" s="76">
        <v>0</v>
      </c>
      <c r="L341" s="497">
        <f t="shared" si="102"/>
        <v>16.8</v>
      </c>
      <c r="M341" s="966"/>
      <c r="N341" s="476"/>
      <c r="O341" s="963"/>
      <c r="P341" s="993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49"/>
      <c r="BC341" s="49"/>
      <c r="BD341" s="49"/>
      <c r="BE341" s="49"/>
      <c r="BF341" s="68"/>
    </row>
    <row r="342" spans="1:58" s="51" customFormat="1" ht="12.75" customHeight="1">
      <c r="A342" s="794" t="s">
        <v>142</v>
      </c>
      <c r="B342" s="881" t="s">
        <v>547</v>
      </c>
      <c r="C342" s="881" t="s">
        <v>1156</v>
      </c>
      <c r="D342" s="84" t="s">
        <v>16</v>
      </c>
      <c r="E342" s="85">
        <f t="shared" ref="E342:J342" si="115">E343+E344</f>
        <v>33.6</v>
      </c>
      <c r="F342" s="529">
        <f t="shared" si="115"/>
        <v>0</v>
      </c>
      <c r="G342" s="529">
        <f t="shared" si="115"/>
        <v>0</v>
      </c>
      <c r="H342" s="529">
        <f t="shared" si="115"/>
        <v>31.92</v>
      </c>
      <c r="I342" s="529">
        <f t="shared" si="115"/>
        <v>0</v>
      </c>
      <c r="J342" s="529">
        <f t="shared" si="115"/>
        <v>1.68</v>
      </c>
      <c r="K342" s="76">
        <v>0</v>
      </c>
      <c r="L342" s="497">
        <f t="shared" si="102"/>
        <v>33.6</v>
      </c>
      <c r="M342" s="965"/>
      <c r="N342" s="476"/>
      <c r="O342" s="962"/>
      <c r="P342" s="881" t="s">
        <v>549</v>
      </c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68"/>
    </row>
    <row r="343" spans="1:58" s="51" customFormat="1">
      <c r="A343" s="795"/>
      <c r="B343" s="882"/>
      <c r="C343" s="882"/>
      <c r="D343" s="62">
        <v>2020</v>
      </c>
      <c r="E343" s="63">
        <f>F343+G343+H343+I343+J343</f>
        <v>16.8</v>
      </c>
      <c r="F343" s="491">
        <v>0</v>
      </c>
      <c r="G343" s="491">
        <v>0</v>
      </c>
      <c r="H343" s="491">
        <v>15.96</v>
      </c>
      <c r="I343" s="491">
        <v>0</v>
      </c>
      <c r="J343" s="491">
        <v>0.84</v>
      </c>
      <c r="K343" s="76">
        <v>0</v>
      </c>
      <c r="L343" s="497">
        <f t="shared" si="102"/>
        <v>16.8</v>
      </c>
      <c r="M343" s="966"/>
      <c r="N343" s="476"/>
      <c r="O343" s="963"/>
      <c r="P343" s="882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49"/>
      <c r="BC343" s="49"/>
      <c r="BD343" s="49"/>
      <c r="BE343" s="49"/>
      <c r="BF343" s="68"/>
    </row>
    <row r="344" spans="1:58" s="51" customFormat="1">
      <c r="A344" s="796"/>
      <c r="B344" s="964"/>
      <c r="C344" s="964"/>
      <c r="D344" s="62">
        <v>2021</v>
      </c>
      <c r="E344" s="63">
        <f>F344+G344+H344+I344+J344</f>
        <v>16.8</v>
      </c>
      <c r="F344" s="491">
        <v>0</v>
      </c>
      <c r="G344" s="491">
        <v>0</v>
      </c>
      <c r="H344" s="491">
        <v>15.96</v>
      </c>
      <c r="I344" s="491">
        <v>0</v>
      </c>
      <c r="J344" s="491">
        <v>0.84</v>
      </c>
      <c r="K344" s="76">
        <v>0</v>
      </c>
      <c r="L344" s="497">
        <f t="shared" si="102"/>
        <v>16.8</v>
      </c>
      <c r="M344" s="505"/>
      <c r="N344" s="476"/>
      <c r="O344" s="291"/>
      <c r="P344" s="964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49"/>
      <c r="BC344" s="49"/>
      <c r="BD344" s="49"/>
      <c r="BE344" s="49"/>
      <c r="BF344" s="68"/>
    </row>
    <row r="345" spans="1:58" s="51" customFormat="1">
      <c r="A345" s="921" t="s">
        <v>1157</v>
      </c>
      <c r="B345" s="867" t="s">
        <v>551</v>
      </c>
      <c r="C345" s="881" t="s">
        <v>1156</v>
      </c>
      <c r="D345" s="84" t="s">
        <v>16</v>
      </c>
      <c r="E345" s="85">
        <f t="shared" ref="E345:J345" si="116">E346</f>
        <v>5</v>
      </c>
      <c r="F345" s="529">
        <f t="shared" si="116"/>
        <v>0</v>
      </c>
      <c r="G345" s="529">
        <f t="shared" si="116"/>
        <v>0</v>
      </c>
      <c r="H345" s="529">
        <f t="shared" si="116"/>
        <v>4.75</v>
      </c>
      <c r="I345" s="529">
        <f t="shared" si="116"/>
        <v>0</v>
      </c>
      <c r="J345" s="529">
        <f t="shared" si="116"/>
        <v>0.25</v>
      </c>
      <c r="K345" s="76">
        <v>0</v>
      </c>
      <c r="L345" s="497">
        <f t="shared" si="102"/>
        <v>5</v>
      </c>
      <c r="M345" s="965"/>
      <c r="N345" s="476"/>
      <c r="O345" s="291"/>
      <c r="P345" s="881" t="s">
        <v>552</v>
      </c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49"/>
      <c r="BC345" s="49"/>
      <c r="BD345" s="49"/>
      <c r="BE345" s="49"/>
      <c r="BF345" s="68"/>
    </row>
    <row r="346" spans="1:58" s="51" customFormat="1" ht="21.75" customHeight="1">
      <c r="A346" s="921"/>
      <c r="B346" s="873"/>
      <c r="C346" s="964"/>
      <c r="D346" s="84">
        <v>2022</v>
      </c>
      <c r="E346" s="63">
        <f>F346+G346+H346+I346+J346</f>
        <v>5</v>
      </c>
      <c r="F346" s="491">
        <v>0</v>
      </c>
      <c r="G346" s="491">
        <v>0</v>
      </c>
      <c r="H346" s="491">
        <v>4.75</v>
      </c>
      <c r="I346" s="491">
        <v>0</v>
      </c>
      <c r="J346" s="491">
        <v>0.25</v>
      </c>
      <c r="K346" s="76">
        <v>0</v>
      </c>
      <c r="L346" s="497">
        <f t="shared" si="102"/>
        <v>5</v>
      </c>
      <c r="M346" s="966"/>
      <c r="N346" s="476"/>
      <c r="O346" s="291"/>
      <c r="P346" s="882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49"/>
      <c r="BC346" s="49"/>
      <c r="BD346" s="49"/>
      <c r="BE346" s="49"/>
      <c r="BF346" s="68"/>
    </row>
    <row r="347" spans="1:58" s="51" customFormat="1">
      <c r="A347" s="921" t="s">
        <v>550</v>
      </c>
      <c r="B347" s="867" t="s">
        <v>554</v>
      </c>
      <c r="C347" s="881" t="s">
        <v>1156</v>
      </c>
      <c r="D347" s="84" t="s">
        <v>16</v>
      </c>
      <c r="E347" s="85">
        <f t="shared" ref="E347:J347" si="117">E348</f>
        <v>3</v>
      </c>
      <c r="F347" s="529">
        <f t="shared" si="117"/>
        <v>0</v>
      </c>
      <c r="G347" s="529">
        <f t="shared" si="117"/>
        <v>0</v>
      </c>
      <c r="H347" s="529">
        <f t="shared" si="117"/>
        <v>2.85</v>
      </c>
      <c r="I347" s="529">
        <f t="shared" si="117"/>
        <v>0</v>
      </c>
      <c r="J347" s="529">
        <f t="shared" si="117"/>
        <v>0.15</v>
      </c>
      <c r="K347" s="76">
        <v>0</v>
      </c>
      <c r="L347" s="497">
        <f t="shared" si="102"/>
        <v>3</v>
      </c>
      <c r="M347" s="965"/>
      <c r="N347" s="476"/>
      <c r="O347" s="291"/>
      <c r="P347" s="882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68"/>
    </row>
    <row r="348" spans="1:58" s="51" customFormat="1">
      <c r="A348" s="921"/>
      <c r="B348" s="873"/>
      <c r="C348" s="964"/>
      <c r="D348" s="84">
        <v>2024</v>
      </c>
      <c r="E348" s="63">
        <f>F348+G348+H348+I348+J348</f>
        <v>3</v>
      </c>
      <c r="F348" s="491">
        <v>0</v>
      </c>
      <c r="G348" s="491">
        <v>0</v>
      </c>
      <c r="H348" s="491">
        <v>2.85</v>
      </c>
      <c r="I348" s="491">
        <v>0</v>
      </c>
      <c r="J348" s="491">
        <v>0.15</v>
      </c>
      <c r="K348" s="76">
        <v>0</v>
      </c>
      <c r="L348" s="497">
        <f t="shared" si="102"/>
        <v>3</v>
      </c>
      <c r="M348" s="966"/>
      <c r="N348" s="476"/>
      <c r="O348" s="291"/>
      <c r="P348" s="964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49"/>
      <c r="BC348" s="49"/>
      <c r="BD348" s="49"/>
      <c r="BE348" s="49"/>
      <c r="BF348" s="68"/>
    </row>
    <row r="349" spans="1:58" s="51" customFormat="1">
      <c r="A349" s="794" t="s">
        <v>553</v>
      </c>
      <c r="B349" s="867" t="s">
        <v>556</v>
      </c>
      <c r="C349" s="881" t="s">
        <v>548</v>
      </c>
      <c r="D349" s="84" t="s">
        <v>16</v>
      </c>
      <c r="E349" s="85">
        <f t="shared" ref="E349:J349" si="118">E350</f>
        <v>5</v>
      </c>
      <c r="F349" s="529">
        <f t="shared" si="118"/>
        <v>0</v>
      </c>
      <c r="G349" s="529">
        <f t="shared" si="118"/>
        <v>0</v>
      </c>
      <c r="H349" s="529">
        <f t="shared" si="118"/>
        <v>4.75</v>
      </c>
      <c r="I349" s="529">
        <f t="shared" si="118"/>
        <v>0</v>
      </c>
      <c r="J349" s="529">
        <f t="shared" si="118"/>
        <v>0.25</v>
      </c>
      <c r="K349" s="76">
        <v>0</v>
      </c>
      <c r="L349" s="497">
        <f t="shared" si="102"/>
        <v>5</v>
      </c>
      <c r="M349" s="1142"/>
      <c r="N349" s="476"/>
      <c r="O349" s="962"/>
      <c r="P349" s="1104" t="s">
        <v>557</v>
      </c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49"/>
      <c r="BC349" s="49"/>
      <c r="BD349" s="49"/>
      <c r="BE349" s="49"/>
      <c r="BF349" s="68"/>
    </row>
    <row r="350" spans="1:58" s="51" customFormat="1" ht="18" customHeight="1">
      <c r="A350" s="796"/>
      <c r="B350" s="873"/>
      <c r="C350" s="964"/>
      <c r="D350" s="62">
        <v>2025</v>
      </c>
      <c r="E350" s="63">
        <f>F350+G350+H350+I350+J350</f>
        <v>5</v>
      </c>
      <c r="F350" s="491">
        <v>0</v>
      </c>
      <c r="G350" s="491">
        <v>0</v>
      </c>
      <c r="H350" s="491">
        <v>4.75</v>
      </c>
      <c r="I350" s="491">
        <v>0</v>
      </c>
      <c r="J350" s="491">
        <v>0.25</v>
      </c>
      <c r="K350" s="76">
        <v>0</v>
      </c>
      <c r="L350" s="497">
        <f t="shared" si="102"/>
        <v>5</v>
      </c>
      <c r="M350" s="1142"/>
      <c r="N350" s="476"/>
      <c r="O350" s="963"/>
      <c r="P350" s="993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49"/>
      <c r="BC350" s="49"/>
      <c r="BD350" s="49"/>
      <c r="BE350" s="49"/>
      <c r="BF350" s="68"/>
    </row>
    <row r="351" spans="1:58" s="51" customFormat="1" ht="27.75" customHeight="1">
      <c r="A351" s="794" t="s">
        <v>555</v>
      </c>
      <c r="B351" s="838" t="s">
        <v>559</v>
      </c>
      <c r="C351" s="464"/>
      <c r="D351" s="84" t="s">
        <v>16</v>
      </c>
      <c r="E351" s="85">
        <f t="shared" ref="E351:J351" si="119">E352</f>
        <v>0.58674999999999999</v>
      </c>
      <c r="F351" s="529">
        <f t="shared" si="119"/>
        <v>5.8500000000000002E-3</v>
      </c>
      <c r="G351" s="529">
        <f t="shared" si="119"/>
        <v>0</v>
      </c>
      <c r="H351" s="529">
        <f t="shared" si="119"/>
        <v>0.58089999999999997</v>
      </c>
      <c r="I351" s="529">
        <f t="shared" si="119"/>
        <v>0</v>
      </c>
      <c r="J351" s="529">
        <f t="shared" si="119"/>
        <v>0</v>
      </c>
      <c r="K351" s="76">
        <v>0</v>
      </c>
      <c r="L351" s="497">
        <f t="shared" si="102"/>
        <v>0.58674999999999999</v>
      </c>
      <c r="M351" s="1351"/>
      <c r="N351" s="476"/>
      <c r="O351" s="962"/>
      <c r="P351" s="1104" t="s">
        <v>561</v>
      </c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49"/>
      <c r="BC351" s="49"/>
      <c r="BD351" s="49"/>
      <c r="BE351" s="49"/>
      <c r="BF351" s="68"/>
    </row>
    <row r="352" spans="1:58" s="51" customFormat="1" ht="15.75" customHeight="1">
      <c r="A352" s="795"/>
      <c r="B352" s="839"/>
      <c r="C352" s="358" t="s">
        <v>351</v>
      </c>
      <c r="D352" s="62">
        <v>2019</v>
      </c>
      <c r="E352" s="63">
        <f>F352+G352+H352+I352+J352</f>
        <v>0.58674999999999999</v>
      </c>
      <c r="F352" s="491">
        <v>5.8500000000000002E-3</v>
      </c>
      <c r="G352" s="491">
        <v>0</v>
      </c>
      <c r="H352" s="491">
        <v>0.58089999999999997</v>
      </c>
      <c r="I352" s="491">
        <v>0</v>
      </c>
      <c r="J352" s="491">
        <v>0</v>
      </c>
      <c r="K352" s="76">
        <v>0</v>
      </c>
      <c r="L352" s="497">
        <f t="shared" si="102"/>
        <v>0.58674999999999999</v>
      </c>
      <c r="M352" s="1351"/>
      <c r="N352" s="476"/>
      <c r="O352" s="971"/>
      <c r="P352" s="1152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68"/>
    </row>
    <row r="353" spans="1:58" s="51" customFormat="1">
      <c r="A353" s="795"/>
      <c r="B353" s="839"/>
      <c r="C353" s="882" t="s">
        <v>1098</v>
      </c>
      <c r="D353" s="62">
        <v>2020</v>
      </c>
      <c r="E353" s="63">
        <v>0</v>
      </c>
      <c r="F353" s="531">
        <v>0</v>
      </c>
      <c r="G353" s="531">
        <v>0</v>
      </c>
      <c r="H353" s="531">
        <v>0</v>
      </c>
      <c r="I353" s="531">
        <v>0</v>
      </c>
      <c r="J353" s="531">
        <v>0</v>
      </c>
      <c r="K353" s="76">
        <v>0</v>
      </c>
      <c r="L353" s="497"/>
      <c r="M353" s="1351"/>
      <c r="N353" s="476"/>
      <c r="O353" s="971"/>
      <c r="P353" s="1152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68"/>
    </row>
    <row r="354" spans="1:58" s="51" customFormat="1">
      <c r="A354" s="795"/>
      <c r="B354" s="839"/>
      <c r="C354" s="882"/>
      <c r="D354" s="62">
        <v>2023</v>
      </c>
      <c r="E354" s="63">
        <v>0</v>
      </c>
      <c r="F354" s="531">
        <v>0</v>
      </c>
      <c r="G354" s="531">
        <v>0</v>
      </c>
      <c r="H354" s="531">
        <v>0</v>
      </c>
      <c r="I354" s="531">
        <v>0</v>
      </c>
      <c r="J354" s="531">
        <v>0</v>
      </c>
      <c r="K354" s="76">
        <v>0</v>
      </c>
      <c r="L354" s="497"/>
      <c r="M354" s="1351"/>
      <c r="N354" s="476"/>
      <c r="O354" s="971"/>
      <c r="P354" s="1152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68"/>
    </row>
    <row r="355" spans="1:58" s="51" customFormat="1" ht="20.25" customHeight="1">
      <c r="A355" s="796"/>
      <c r="B355" s="854"/>
      <c r="C355" s="964"/>
      <c r="D355" s="62">
        <v>2024</v>
      </c>
      <c r="E355" s="63">
        <f>F355+G355+H355+I355+J355</f>
        <v>0</v>
      </c>
      <c r="F355" s="531">
        <v>0</v>
      </c>
      <c r="G355" s="531">
        <v>0</v>
      </c>
      <c r="H355" s="531">
        <v>0</v>
      </c>
      <c r="I355" s="531">
        <v>0</v>
      </c>
      <c r="J355" s="531">
        <v>0</v>
      </c>
      <c r="K355" s="76">
        <v>0</v>
      </c>
      <c r="L355" s="497">
        <f t="shared" ref="L355:L384" si="120">F355+G355+H355+I355+J355</f>
        <v>0</v>
      </c>
      <c r="M355" s="1351"/>
      <c r="N355" s="476"/>
      <c r="O355" s="971"/>
      <c r="P355" s="1152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49"/>
      <c r="BF355" s="68"/>
    </row>
    <row r="356" spans="1:58" s="51" customFormat="1" ht="12.75" customHeight="1">
      <c r="A356" s="794" t="s">
        <v>558</v>
      </c>
      <c r="B356" s="867" t="s">
        <v>563</v>
      </c>
      <c r="C356" s="881" t="s">
        <v>1098</v>
      </c>
      <c r="D356" s="84" t="s">
        <v>429</v>
      </c>
      <c r="E356" s="85">
        <f t="shared" ref="E356:J356" si="121">E357</f>
        <v>0</v>
      </c>
      <c r="F356" s="532">
        <f t="shared" si="121"/>
        <v>0</v>
      </c>
      <c r="G356" s="532">
        <f t="shared" si="121"/>
        <v>0</v>
      </c>
      <c r="H356" s="532">
        <f t="shared" si="121"/>
        <v>0</v>
      </c>
      <c r="I356" s="532">
        <f t="shared" si="121"/>
        <v>0</v>
      </c>
      <c r="J356" s="532">
        <f t="shared" si="121"/>
        <v>0</v>
      </c>
      <c r="K356" s="76">
        <v>0</v>
      </c>
      <c r="L356" s="497">
        <f t="shared" si="120"/>
        <v>0</v>
      </c>
      <c r="M356" s="1351"/>
      <c r="N356" s="476"/>
      <c r="O356" s="971"/>
      <c r="P356" s="1152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68"/>
    </row>
    <row r="357" spans="1:58" s="51" customFormat="1" ht="21.75" customHeight="1">
      <c r="A357" s="795"/>
      <c r="B357" s="872"/>
      <c r="C357" s="882"/>
      <c r="D357" s="62">
        <v>2022</v>
      </c>
      <c r="E357" s="63">
        <v>0</v>
      </c>
      <c r="F357" s="531">
        <v>0</v>
      </c>
      <c r="G357" s="531">
        <v>0</v>
      </c>
      <c r="H357" s="531">
        <v>0</v>
      </c>
      <c r="I357" s="531">
        <v>0</v>
      </c>
      <c r="J357" s="531">
        <v>0</v>
      </c>
      <c r="K357" s="76">
        <v>0</v>
      </c>
      <c r="L357" s="497">
        <f t="shared" si="120"/>
        <v>0</v>
      </c>
      <c r="M357" s="1351"/>
      <c r="N357" s="476"/>
      <c r="O357" s="971"/>
      <c r="P357" s="1152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49"/>
      <c r="BC357" s="49"/>
      <c r="BD357" s="49"/>
      <c r="BE357" s="49"/>
      <c r="BF357" s="68"/>
    </row>
    <row r="358" spans="1:58" s="51" customFormat="1" ht="23.25" customHeight="1">
      <c r="A358" s="796"/>
      <c r="B358" s="873"/>
      <c r="C358" s="964"/>
      <c r="D358" s="62">
        <v>2023</v>
      </c>
      <c r="E358" s="63">
        <v>0</v>
      </c>
      <c r="F358" s="531">
        <v>0</v>
      </c>
      <c r="G358" s="531">
        <v>0</v>
      </c>
      <c r="H358" s="531">
        <v>0</v>
      </c>
      <c r="I358" s="531">
        <v>0</v>
      </c>
      <c r="J358" s="531">
        <v>0</v>
      </c>
      <c r="K358" s="76">
        <v>0</v>
      </c>
      <c r="L358" s="497">
        <f t="shared" si="120"/>
        <v>0</v>
      </c>
      <c r="M358" s="341"/>
      <c r="N358" s="476"/>
      <c r="O358" s="296"/>
      <c r="P358" s="530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49"/>
      <c r="BC358" s="49"/>
      <c r="BD358" s="49"/>
      <c r="BE358" s="49"/>
      <c r="BF358" s="68"/>
    </row>
    <row r="359" spans="1:58" s="51" customFormat="1">
      <c r="A359" s="794" t="s">
        <v>562</v>
      </c>
      <c r="B359" s="881" t="s">
        <v>564</v>
      </c>
      <c r="C359" s="881" t="s">
        <v>1098</v>
      </c>
      <c r="D359" s="84" t="s">
        <v>429</v>
      </c>
      <c r="E359" s="63">
        <f>F359+G359+H359+I359+J359</f>
        <v>0.95000000000000007</v>
      </c>
      <c r="F359" s="531">
        <f>F360</f>
        <v>8.9999999999999998E-4</v>
      </c>
      <c r="G359" s="531">
        <v>0</v>
      </c>
      <c r="H359" s="531">
        <v>0.94910000000000005</v>
      </c>
      <c r="I359" s="531">
        <v>0</v>
      </c>
      <c r="J359" s="531">
        <v>0</v>
      </c>
      <c r="K359" s="76">
        <v>0</v>
      </c>
      <c r="L359" s="497">
        <f t="shared" si="120"/>
        <v>0.95000000000000007</v>
      </c>
      <c r="M359" s="341"/>
      <c r="N359" s="476"/>
      <c r="O359" s="296"/>
      <c r="P359" s="530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49"/>
      <c r="BC359" s="49"/>
      <c r="BD359" s="49"/>
      <c r="BE359" s="49"/>
      <c r="BF359" s="68"/>
    </row>
    <row r="360" spans="1:58" s="51" customFormat="1" ht="84.75" customHeight="1">
      <c r="A360" s="796"/>
      <c r="B360" s="964"/>
      <c r="C360" s="964"/>
      <c r="D360" s="62">
        <v>2020</v>
      </c>
      <c r="E360" s="63">
        <f>F360+G360+H360+I360+J360</f>
        <v>0.95000000000000007</v>
      </c>
      <c r="F360" s="531">
        <v>8.9999999999999998E-4</v>
      </c>
      <c r="G360" s="531">
        <f>G359</f>
        <v>0</v>
      </c>
      <c r="H360" s="531">
        <f>H359</f>
        <v>0.94910000000000005</v>
      </c>
      <c r="I360" s="531">
        <f>I359</f>
        <v>0</v>
      </c>
      <c r="J360" s="531">
        <f>J359</f>
        <v>0</v>
      </c>
      <c r="K360" s="76">
        <v>0</v>
      </c>
      <c r="L360" s="497">
        <f t="shared" si="120"/>
        <v>0.95000000000000007</v>
      </c>
      <c r="M360" s="341"/>
      <c r="N360" s="476"/>
      <c r="O360" s="296"/>
      <c r="P360" s="325" t="s">
        <v>352</v>
      </c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49"/>
      <c r="BC360" s="49"/>
      <c r="BD360" s="49"/>
      <c r="BE360" s="49"/>
      <c r="BF360" s="68"/>
    </row>
    <row r="361" spans="1:58" s="51" customFormat="1" ht="12.75" customHeight="1">
      <c r="A361" s="794" t="s">
        <v>566</v>
      </c>
      <c r="B361" s="881" t="s">
        <v>565</v>
      </c>
      <c r="C361" s="190"/>
      <c r="D361" s="84" t="s">
        <v>429</v>
      </c>
      <c r="E361" s="63">
        <f t="shared" ref="E361:J361" si="122">E363+E364+E365+E362</f>
        <v>0.54252999999999996</v>
      </c>
      <c r="F361" s="531">
        <f t="shared" si="122"/>
        <v>7.0629999999999998E-2</v>
      </c>
      <c r="G361" s="531">
        <f t="shared" si="122"/>
        <v>3.39E-2</v>
      </c>
      <c r="H361" s="531">
        <f t="shared" si="122"/>
        <v>0.43800000000000006</v>
      </c>
      <c r="I361" s="531">
        <f t="shared" si="122"/>
        <v>0</v>
      </c>
      <c r="J361" s="531">
        <f t="shared" si="122"/>
        <v>0</v>
      </c>
      <c r="K361" s="76">
        <v>0</v>
      </c>
      <c r="L361" s="497">
        <f t="shared" si="120"/>
        <v>0.54253000000000007</v>
      </c>
      <c r="M361" s="341"/>
      <c r="N361" s="476"/>
      <c r="O361" s="296"/>
      <c r="P361" s="530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  <c r="BD361" s="49"/>
      <c r="BE361" s="49"/>
      <c r="BF361" s="68"/>
    </row>
    <row r="362" spans="1:58" s="51" customFormat="1" ht="12.75" customHeight="1">
      <c r="A362" s="795"/>
      <c r="B362" s="882"/>
      <c r="C362" s="190" t="s">
        <v>351</v>
      </c>
      <c r="D362" s="62">
        <v>2019</v>
      </c>
      <c r="E362" s="63">
        <f>F362+G362+H362+I362+J362</f>
        <v>0.35563</v>
      </c>
      <c r="F362" s="531">
        <v>4.623E-2</v>
      </c>
      <c r="G362" s="531">
        <v>3.39E-2</v>
      </c>
      <c r="H362" s="531">
        <v>0.27550000000000002</v>
      </c>
      <c r="I362" s="531">
        <v>0</v>
      </c>
      <c r="J362" s="531">
        <v>0</v>
      </c>
      <c r="K362" s="76">
        <v>0</v>
      </c>
      <c r="L362" s="497">
        <f t="shared" si="120"/>
        <v>0.35563</v>
      </c>
      <c r="M362" s="341"/>
      <c r="N362" s="476"/>
      <c r="O362" s="296"/>
      <c r="P362" s="530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  <c r="BD362" s="49"/>
      <c r="BE362" s="49"/>
      <c r="BF362" s="68"/>
    </row>
    <row r="363" spans="1:58" s="51" customFormat="1" ht="25.5" customHeight="1">
      <c r="A363" s="795"/>
      <c r="B363" s="882"/>
      <c r="C363" s="881" t="s">
        <v>1098</v>
      </c>
      <c r="D363" s="62">
        <v>2020</v>
      </c>
      <c r="E363" s="63">
        <f>F363+G363+H363+I363+J363</f>
        <v>7.8700000000000006E-2</v>
      </c>
      <c r="F363" s="531">
        <v>1.0200000000000001E-2</v>
      </c>
      <c r="G363" s="531">
        <v>0</v>
      </c>
      <c r="H363" s="531">
        <v>6.8500000000000005E-2</v>
      </c>
      <c r="I363" s="531">
        <v>0</v>
      </c>
      <c r="J363" s="531">
        <v>0</v>
      </c>
      <c r="K363" s="76">
        <v>0</v>
      </c>
      <c r="L363" s="497">
        <f t="shared" si="120"/>
        <v>7.8700000000000006E-2</v>
      </c>
      <c r="M363" s="341"/>
      <c r="N363" s="476"/>
      <c r="O363" s="296"/>
      <c r="P363" s="530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49"/>
      <c r="BC363" s="49"/>
      <c r="BD363" s="49"/>
      <c r="BE363" s="49"/>
      <c r="BF363" s="68"/>
    </row>
    <row r="364" spans="1:58" s="51" customFormat="1">
      <c r="A364" s="795"/>
      <c r="B364" s="882"/>
      <c r="C364" s="882"/>
      <c r="D364" s="62">
        <v>2021</v>
      </c>
      <c r="E364" s="63">
        <f>F364+G364+H364+I364+J364</f>
        <v>5.4100000000000002E-2</v>
      </c>
      <c r="F364" s="531">
        <v>7.1000000000000004E-3</v>
      </c>
      <c r="G364" s="531">
        <v>0</v>
      </c>
      <c r="H364" s="531">
        <v>4.7E-2</v>
      </c>
      <c r="I364" s="531">
        <v>0</v>
      </c>
      <c r="J364" s="531">
        <v>0</v>
      </c>
      <c r="K364" s="76">
        <v>0</v>
      </c>
      <c r="L364" s="497">
        <f t="shared" si="120"/>
        <v>5.4100000000000002E-2</v>
      </c>
      <c r="M364" s="341"/>
      <c r="N364" s="476"/>
      <c r="O364" s="296"/>
      <c r="P364" s="530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49"/>
      <c r="BC364" s="49"/>
      <c r="BD364" s="49"/>
      <c r="BE364" s="49"/>
      <c r="BF364" s="68"/>
    </row>
    <row r="365" spans="1:58" s="51" customFormat="1">
      <c r="A365" s="795"/>
      <c r="B365" s="882"/>
      <c r="C365" s="964"/>
      <c r="D365" s="62">
        <v>2022</v>
      </c>
      <c r="E365" s="63">
        <f>F365+G365+H365+I365+J365</f>
        <v>5.4100000000000002E-2</v>
      </c>
      <c r="F365" s="531">
        <v>7.1000000000000004E-3</v>
      </c>
      <c r="G365" s="531">
        <v>0</v>
      </c>
      <c r="H365" s="531">
        <v>4.7E-2</v>
      </c>
      <c r="I365" s="531">
        <v>0</v>
      </c>
      <c r="J365" s="531">
        <v>0</v>
      </c>
      <c r="K365" s="76">
        <v>0</v>
      </c>
      <c r="L365" s="497">
        <f t="shared" si="120"/>
        <v>5.4100000000000002E-2</v>
      </c>
      <c r="M365" s="341"/>
      <c r="N365" s="476"/>
      <c r="O365" s="296"/>
      <c r="P365" s="530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68"/>
    </row>
    <row r="366" spans="1:58" s="51" customFormat="1">
      <c r="A366" s="796"/>
      <c r="B366" s="964"/>
      <c r="C366" s="188"/>
      <c r="D366" s="62">
        <v>2023</v>
      </c>
      <c r="E366" s="63">
        <f>F366+G366+H366+I366+J366</f>
        <v>5.33E-2</v>
      </c>
      <c r="F366" s="531">
        <v>7.4999999999999997E-3</v>
      </c>
      <c r="G366" s="531">
        <v>0</v>
      </c>
      <c r="H366" s="531">
        <v>4.58E-2</v>
      </c>
      <c r="I366" s="531">
        <v>0</v>
      </c>
      <c r="J366" s="531">
        <v>0</v>
      </c>
      <c r="K366" s="76">
        <v>0</v>
      </c>
      <c r="L366" s="497">
        <f t="shared" si="120"/>
        <v>5.33E-2</v>
      </c>
      <c r="M366" s="341"/>
      <c r="N366" s="476"/>
      <c r="O366" s="296"/>
      <c r="P366" s="530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49"/>
      <c r="BC366" s="49"/>
      <c r="BD366" s="49"/>
      <c r="BE366" s="49"/>
      <c r="BF366" s="68"/>
    </row>
    <row r="367" spans="1:58" s="51" customFormat="1" ht="12.75" customHeight="1">
      <c r="A367" s="972" t="s">
        <v>569</v>
      </c>
      <c r="B367" s="838" t="s">
        <v>567</v>
      </c>
      <c r="C367" s="881" t="s">
        <v>353</v>
      </c>
      <c r="D367" s="84" t="s">
        <v>16</v>
      </c>
      <c r="E367" s="85">
        <f t="shared" ref="E367:J367" si="123">E368+E369+E370+E371+E372+E373+E374+E375+E376+E377+E378</f>
        <v>0.37574999999999997</v>
      </c>
      <c r="F367" s="85">
        <f t="shared" si="123"/>
        <v>0.37574999999999997</v>
      </c>
      <c r="G367" s="532">
        <f t="shared" si="123"/>
        <v>0</v>
      </c>
      <c r="H367" s="532">
        <f t="shared" si="123"/>
        <v>0</v>
      </c>
      <c r="I367" s="532">
        <f t="shared" si="123"/>
        <v>0</v>
      </c>
      <c r="J367" s="532">
        <f t="shared" si="123"/>
        <v>0</v>
      </c>
      <c r="K367" s="76">
        <v>0</v>
      </c>
      <c r="L367" s="497">
        <f t="shared" si="120"/>
        <v>0.37574999999999997</v>
      </c>
      <c r="M367" s="185"/>
      <c r="N367" s="476"/>
      <c r="O367" s="301"/>
      <c r="P367" s="881" t="s">
        <v>352</v>
      </c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49"/>
      <c r="BD367" s="49"/>
      <c r="BE367" s="49"/>
      <c r="BF367" s="68"/>
    </row>
    <row r="368" spans="1:58" s="51" customFormat="1" ht="12.75" customHeight="1">
      <c r="A368" s="973"/>
      <c r="B368" s="839"/>
      <c r="C368" s="882"/>
      <c r="D368" s="62">
        <v>2020</v>
      </c>
      <c r="E368" s="63">
        <f t="shared" ref="E368:E378" si="124">F368+G368+H368+I368+J368</f>
        <v>0.21859999999999999</v>
      </c>
      <c r="F368" s="63">
        <v>0.21859999999999999</v>
      </c>
      <c r="G368" s="531">
        <v>0</v>
      </c>
      <c r="H368" s="531">
        <v>0</v>
      </c>
      <c r="I368" s="531">
        <v>0</v>
      </c>
      <c r="J368" s="531">
        <v>0</v>
      </c>
      <c r="K368" s="76">
        <v>0</v>
      </c>
      <c r="L368" s="497">
        <f t="shared" si="120"/>
        <v>0.21859999999999999</v>
      </c>
      <c r="M368" s="185"/>
      <c r="N368" s="476"/>
      <c r="O368" s="301"/>
      <c r="P368" s="1125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49"/>
      <c r="BC368" s="49"/>
      <c r="BD368" s="49"/>
      <c r="BE368" s="49"/>
      <c r="BF368" s="68"/>
    </row>
    <row r="369" spans="1:58" s="51" customFormat="1" ht="12.75" customHeight="1">
      <c r="A369" s="973"/>
      <c r="B369" s="839"/>
      <c r="C369" s="882"/>
      <c r="D369" s="62">
        <v>2021</v>
      </c>
      <c r="E369" s="63">
        <f t="shared" si="124"/>
        <v>0</v>
      </c>
      <c r="F369" s="63">
        <v>0</v>
      </c>
      <c r="G369" s="531">
        <v>0</v>
      </c>
      <c r="H369" s="531">
        <v>0</v>
      </c>
      <c r="I369" s="531">
        <v>0</v>
      </c>
      <c r="J369" s="531">
        <v>0</v>
      </c>
      <c r="K369" s="76">
        <v>0</v>
      </c>
      <c r="L369" s="497">
        <f t="shared" si="120"/>
        <v>0</v>
      </c>
      <c r="M369" s="185"/>
      <c r="N369" s="476"/>
      <c r="O369" s="301"/>
      <c r="P369" s="1125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49"/>
      <c r="BC369" s="49"/>
      <c r="BD369" s="49"/>
      <c r="BE369" s="49"/>
      <c r="BF369" s="68"/>
    </row>
    <row r="370" spans="1:58" s="51" customFormat="1" ht="12.75" customHeight="1">
      <c r="A370" s="973"/>
      <c r="B370" s="839"/>
      <c r="C370" s="882"/>
      <c r="D370" s="62">
        <v>2022</v>
      </c>
      <c r="E370" s="63">
        <f t="shared" si="124"/>
        <v>0</v>
      </c>
      <c r="F370" s="63">
        <v>0</v>
      </c>
      <c r="G370" s="531">
        <f>G368</f>
        <v>0</v>
      </c>
      <c r="H370" s="531">
        <v>0</v>
      </c>
      <c r="I370" s="532">
        <f>I368</f>
        <v>0</v>
      </c>
      <c r="J370" s="532">
        <f>J368</f>
        <v>0</v>
      </c>
      <c r="K370" s="76">
        <v>0</v>
      </c>
      <c r="L370" s="497">
        <f t="shared" si="120"/>
        <v>0</v>
      </c>
      <c r="M370" s="185"/>
      <c r="N370" s="476"/>
      <c r="O370" s="301"/>
      <c r="P370" s="1125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49"/>
      <c r="BD370" s="49"/>
      <c r="BE370" s="49"/>
      <c r="BF370" s="68"/>
    </row>
    <row r="371" spans="1:58" s="51" customFormat="1" ht="12.75" customHeight="1">
      <c r="A371" s="973"/>
      <c r="B371" s="839"/>
      <c r="C371" s="882"/>
      <c r="D371" s="62">
        <v>2023</v>
      </c>
      <c r="E371" s="63">
        <f t="shared" si="124"/>
        <v>0</v>
      </c>
      <c r="F371" s="63">
        <v>0</v>
      </c>
      <c r="G371" s="531">
        <v>0</v>
      </c>
      <c r="H371" s="531">
        <v>0</v>
      </c>
      <c r="I371" s="531">
        <v>0</v>
      </c>
      <c r="J371" s="531">
        <v>0</v>
      </c>
      <c r="K371" s="76">
        <v>0</v>
      </c>
      <c r="L371" s="497">
        <f t="shared" si="120"/>
        <v>0</v>
      </c>
      <c r="M371" s="304"/>
      <c r="N371" s="476"/>
      <c r="O371" s="305"/>
      <c r="P371" s="1125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  <c r="BD371" s="49"/>
      <c r="BE371" s="49"/>
      <c r="BF371" s="68"/>
    </row>
    <row r="372" spans="1:58" s="51" customFormat="1" ht="12.75" customHeight="1">
      <c r="A372" s="973"/>
      <c r="B372" s="839"/>
      <c r="C372" s="882"/>
      <c r="D372" s="62">
        <v>2024</v>
      </c>
      <c r="E372" s="63">
        <f t="shared" si="124"/>
        <v>2.06E-2</v>
      </c>
      <c r="F372" s="63">
        <v>2.06E-2</v>
      </c>
      <c r="G372" s="531">
        <v>0</v>
      </c>
      <c r="H372" s="531">
        <v>0</v>
      </c>
      <c r="I372" s="531">
        <v>0</v>
      </c>
      <c r="J372" s="531">
        <v>0</v>
      </c>
      <c r="K372" s="76">
        <v>0</v>
      </c>
      <c r="L372" s="497">
        <f t="shared" si="120"/>
        <v>2.06E-2</v>
      </c>
      <c r="M372" s="304"/>
      <c r="N372" s="476"/>
      <c r="O372" s="305"/>
      <c r="P372" s="1125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49"/>
      <c r="BC372" s="49"/>
      <c r="BD372" s="49"/>
      <c r="BE372" s="49"/>
      <c r="BF372" s="68"/>
    </row>
    <row r="373" spans="1:58" s="51" customFormat="1" ht="12.75" customHeight="1">
      <c r="A373" s="973"/>
      <c r="B373" s="839"/>
      <c r="C373" s="964"/>
      <c r="D373" s="62">
        <v>2025</v>
      </c>
      <c r="E373" s="63">
        <f t="shared" si="124"/>
        <v>2.06E-2</v>
      </c>
      <c r="F373" s="63">
        <v>2.06E-2</v>
      </c>
      <c r="G373" s="531">
        <v>0</v>
      </c>
      <c r="H373" s="531">
        <v>0</v>
      </c>
      <c r="I373" s="531">
        <v>0</v>
      </c>
      <c r="J373" s="531">
        <v>0</v>
      </c>
      <c r="K373" s="76">
        <v>0</v>
      </c>
      <c r="L373" s="497">
        <f t="shared" si="120"/>
        <v>2.06E-2</v>
      </c>
      <c r="M373" s="304"/>
      <c r="N373" s="476"/>
      <c r="O373" s="305"/>
      <c r="P373" s="1125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49"/>
      <c r="BC373" s="49"/>
      <c r="BD373" s="49"/>
      <c r="BE373" s="49"/>
      <c r="BF373" s="68"/>
    </row>
    <row r="374" spans="1:58" s="51" customFormat="1" ht="14.25" customHeight="1">
      <c r="A374" s="973"/>
      <c r="B374" s="839"/>
      <c r="C374" s="1019" t="s">
        <v>354</v>
      </c>
      <c r="D374" s="62">
        <v>2026</v>
      </c>
      <c r="E374" s="63">
        <f t="shared" si="124"/>
        <v>2.1399999999999999E-2</v>
      </c>
      <c r="F374" s="63">
        <v>2.1399999999999999E-2</v>
      </c>
      <c r="G374" s="531">
        <v>0</v>
      </c>
      <c r="H374" s="531">
        <v>0</v>
      </c>
      <c r="I374" s="531">
        <v>0</v>
      </c>
      <c r="J374" s="531">
        <v>0</v>
      </c>
      <c r="K374" s="76">
        <v>0</v>
      </c>
      <c r="L374" s="497">
        <f t="shared" si="120"/>
        <v>2.1399999999999999E-2</v>
      </c>
      <c r="M374" s="304"/>
      <c r="N374" s="476"/>
      <c r="O374" s="305"/>
      <c r="P374" s="1125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49"/>
      <c r="BC374" s="49"/>
      <c r="BD374" s="49"/>
      <c r="BE374" s="49"/>
      <c r="BF374" s="68"/>
    </row>
    <row r="375" spans="1:58" s="51" customFormat="1" ht="12.75" customHeight="1">
      <c r="A375" s="973"/>
      <c r="B375" s="839"/>
      <c r="C375" s="1019"/>
      <c r="D375" s="62">
        <v>2027</v>
      </c>
      <c r="E375" s="63">
        <f t="shared" si="124"/>
        <v>2.23E-2</v>
      </c>
      <c r="F375" s="63">
        <v>2.23E-2</v>
      </c>
      <c r="G375" s="531">
        <v>0</v>
      </c>
      <c r="H375" s="531">
        <v>0</v>
      </c>
      <c r="I375" s="531">
        <v>0</v>
      </c>
      <c r="J375" s="531">
        <v>0</v>
      </c>
      <c r="K375" s="76">
        <v>0</v>
      </c>
      <c r="L375" s="497">
        <f t="shared" si="120"/>
        <v>2.23E-2</v>
      </c>
      <c r="M375" s="304"/>
      <c r="N375" s="476"/>
      <c r="O375" s="305"/>
      <c r="P375" s="1125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49"/>
      <c r="BF375" s="68"/>
    </row>
    <row r="376" spans="1:58" s="51" customFormat="1" ht="12.75" customHeight="1">
      <c r="A376" s="973"/>
      <c r="B376" s="889"/>
      <c r="C376" s="1019"/>
      <c r="D376" s="62">
        <v>2028</v>
      </c>
      <c r="E376" s="63">
        <f t="shared" si="124"/>
        <v>2.315E-2</v>
      </c>
      <c r="F376" s="63">
        <v>2.315E-2</v>
      </c>
      <c r="G376" s="531">
        <v>0</v>
      </c>
      <c r="H376" s="531">
        <v>0</v>
      </c>
      <c r="I376" s="531">
        <v>0</v>
      </c>
      <c r="J376" s="531">
        <v>0</v>
      </c>
      <c r="K376" s="76">
        <v>0</v>
      </c>
      <c r="L376" s="497">
        <f t="shared" si="120"/>
        <v>2.315E-2</v>
      </c>
      <c r="M376" s="304"/>
      <c r="N376" s="476"/>
      <c r="O376" s="305"/>
      <c r="P376" s="1125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68"/>
    </row>
    <row r="377" spans="1:58" s="51" customFormat="1">
      <c r="A377" s="973"/>
      <c r="B377" s="889"/>
      <c r="C377" s="1019"/>
      <c r="D377" s="62">
        <v>2029</v>
      </c>
      <c r="E377" s="63">
        <f t="shared" si="124"/>
        <v>2.41E-2</v>
      </c>
      <c r="F377" s="63">
        <v>2.41E-2</v>
      </c>
      <c r="G377" s="531">
        <v>0</v>
      </c>
      <c r="H377" s="531">
        <v>0</v>
      </c>
      <c r="I377" s="531">
        <v>0</v>
      </c>
      <c r="J377" s="531">
        <v>0</v>
      </c>
      <c r="K377" s="76">
        <v>0</v>
      </c>
      <c r="L377" s="497">
        <f t="shared" si="120"/>
        <v>2.41E-2</v>
      </c>
      <c r="M377" s="304"/>
      <c r="N377" s="476"/>
      <c r="O377" s="305"/>
      <c r="P377" s="1125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68"/>
    </row>
    <row r="378" spans="1:58" s="51" customFormat="1" ht="21" customHeight="1">
      <c r="A378" s="974"/>
      <c r="B378" s="890"/>
      <c r="C378" s="1019"/>
      <c r="D378" s="62">
        <v>2030</v>
      </c>
      <c r="E378" s="63">
        <f t="shared" si="124"/>
        <v>2.5000000000000001E-2</v>
      </c>
      <c r="F378" s="63">
        <v>2.5000000000000001E-2</v>
      </c>
      <c r="G378" s="531">
        <v>0</v>
      </c>
      <c r="H378" s="531">
        <v>0</v>
      </c>
      <c r="I378" s="531">
        <v>0</v>
      </c>
      <c r="J378" s="531">
        <v>0</v>
      </c>
      <c r="K378" s="76">
        <v>0</v>
      </c>
      <c r="L378" s="497">
        <f t="shared" si="120"/>
        <v>2.5000000000000001E-2</v>
      </c>
      <c r="M378" s="304"/>
      <c r="N378" s="476"/>
      <c r="O378" s="305"/>
      <c r="P378" s="1103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49"/>
      <c r="BC378" s="49"/>
      <c r="BD378" s="49"/>
      <c r="BE378" s="49"/>
      <c r="BF378" s="68"/>
    </row>
    <row r="379" spans="1:58" s="51" customFormat="1">
      <c r="A379" s="973" t="s">
        <v>572</v>
      </c>
      <c r="B379" s="881" t="s">
        <v>568</v>
      </c>
      <c r="C379" s="881" t="s">
        <v>1098</v>
      </c>
      <c r="D379" s="84" t="s">
        <v>429</v>
      </c>
      <c r="E379" s="85">
        <f t="shared" ref="E379:J379" si="125">E380</f>
        <v>7</v>
      </c>
      <c r="F379" s="85">
        <f t="shared" si="125"/>
        <v>0.91</v>
      </c>
      <c r="G379" s="85">
        <f t="shared" si="125"/>
        <v>2.4357000000000002</v>
      </c>
      <c r="H379" s="85">
        <f t="shared" si="125"/>
        <v>3.6543000000000001</v>
      </c>
      <c r="I379" s="85">
        <f t="shared" si="125"/>
        <v>0</v>
      </c>
      <c r="J379" s="85">
        <f t="shared" si="125"/>
        <v>0</v>
      </c>
      <c r="K379" s="148">
        <v>0</v>
      </c>
      <c r="L379" s="497">
        <f t="shared" si="120"/>
        <v>7</v>
      </c>
      <c r="M379" s="304"/>
      <c r="N379" s="476"/>
      <c r="O379" s="305"/>
      <c r="P379" s="47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49"/>
      <c r="BC379" s="49"/>
      <c r="BD379" s="49"/>
      <c r="BE379" s="49"/>
      <c r="BF379" s="68"/>
    </row>
    <row r="380" spans="1:58" s="51" customFormat="1">
      <c r="A380" s="973"/>
      <c r="B380" s="964"/>
      <c r="C380" s="964"/>
      <c r="D380" s="62">
        <v>2021</v>
      </c>
      <c r="E380" s="63">
        <f>F380+G380+H380+I380+J380</f>
        <v>7</v>
      </c>
      <c r="F380" s="63">
        <v>0.91</v>
      </c>
      <c r="G380" s="63">
        <v>2.4357000000000002</v>
      </c>
      <c r="H380" s="63">
        <v>3.6543000000000001</v>
      </c>
      <c r="I380" s="63">
        <v>0</v>
      </c>
      <c r="J380" s="63">
        <v>0</v>
      </c>
      <c r="K380" s="76">
        <v>0</v>
      </c>
      <c r="L380" s="497">
        <f t="shared" si="120"/>
        <v>7</v>
      </c>
      <c r="M380" s="304"/>
      <c r="N380" s="476"/>
      <c r="O380" s="305"/>
      <c r="P380" s="47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49"/>
      <c r="BC380" s="49"/>
      <c r="BD380" s="49"/>
      <c r="BE380" s="49"/>
      <c r="BF380" s="68"/>
    </row>
    <row r="381" spans="1:58" s="51" customFormat="1" ht="24.75" customHeight="1">
      <c r="A381" s="975" t="s">
        <v>575</v>
      </c>
      <c r="B381" s="61" t="s">
        <v>576</v>
      </c>
      <c r="C381" s="881" t="s">
        <v>1098</v>
      </c>
      <c r="D381" s="84" t="s">
        <v>16</v>
      </c>
      <c r="E381" s="85">
        <f t="shared" ref="E381:J381" si="126">E382</f>
        <v>0</v>
      </c>
      <c r="F381" s="85">
        <f t="shared" si="126"/>
        <v>0</v>
      </c>
      <c r="G381" s="85">
        <f t="shared" si="126"/>
        <v>0</v>
      </c>
      <c r="H381" s="85">
        <f t="shared" si="126"/>
        <v>0</v>
      </c>
      <c r="I381" s="85">
        <f t="shared" si="126"/>
        <v>0</v>
      </c>
      <c r="J381" s="85">
        <f t="shared" si="126"/>
        <v>0</v>
      </c>
      <c r="K381" s="76">
        <v>0</v>
      </c>
      <c r="L381" s="497">
        <f t="shared" si="120"/>
        <v>0</v>
      </c>
      <c r="M381" s="382" t="s">
        <v>577</v>
      </c>
      <c r="N381" s="476"/>
      <c r="O381" s="301"/>
      <c r="P381" s="915" t="s">
        <v>405</v>
      </c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49"/>
      <c r="BD381" s="49"/>
      <c r="BE381" s="49"/>
      <c r="BF381" s="68"/>
    </row>
    <row r="382" spans="1:58" s="51" customFormat="1" ht="18" customHeight="1">
      <c r="A382" s="976"/>
      <c r="B382" s="69"/>
      <c r="C382" s="882"/>
      <c r="D382" s="62">
        <v>2020</v>
      </c>
      <c r="E382" s="63">
        <f>F382+G382+H382+I382+J382</f>
        <v>0</v>
      </c>
      <c r="F382" s="63">
        <v>0</v>
      </c>
      <c r="G382" s="63">
        <v>0</v>
      </c>
      <c r="H382" s="63">
        <v>0</v>
      </c>
      <c r="I382" s="63">
        <v>0</v>
      </c>
      <c r="J382" s="63">
        <v>0</v>
      </c>
      <c r="K382" s="76">
        <v>0</v>
      </c>
      <c r="L382" s="497">
        <f t="shared" si="120"/>
        <v>0</v>
      </c>
      <c r="M382" s="384"/>
      <c r="N382" s="476"/>
      <c r="O382" s="305"/>
      <c r="P382" s="1120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49"/>
      <c r="BC382" s="49"/>
      <c r="BD382" s="49"/>
      <c r="BE382" s="49"/>
      <c r="BF382" s="68"/>
    </row>
    <row r="383" spans="1:58" s="51" customFormat="1" ht="12.75" customHeight="1">
      <c r="A383" s="1155" t="s">
        <v>578</v>
      </c>
      <c r="B383" s="867" t="s">
        <v>579</v>
      </c>
      <c r="C383" s="1108" t="s">
        <v>351</v>
      </c>
      <c r="D383" s="533" t="s">
        <v>16</v>
      </c>
      <c r="E383" s="85">
        <f t="shared" ref="E383:J383" si="127">E384</f>
        <v>1.252</v>
      </c>
      <c r="F383" s="85">
        <f t="shared" si="127"/>
        <v>1.252</v>
      </c>
      <c r="G383" s="85">
        <f t="shared" si="127"/>
        <v>0</v>
      </c>
      <c r="H383" s="85">
        <f t="shared" si="127"/>
        <v>0</v>
      </c>
      <c r="I383" s="85">
        <f t="shared" si="127"/>
        <v>0</v>
      </c>
      <c r="J383" s="85">
        <f t="shared" si="127"/>
        <v>0</v>
      </c>
      <c r="K383" s="76">
        <v>0</v>
      </c>
      <c r="L383" s="497">
        <f t="shared" si="120"/>
        <v>1.252</v>
      </c>
      <c r="M383" s="1031"/>
      <c r="N383" s="476"/>
      <c r="O383" s="962"/>
      <c r="P383" s="1120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68"/>
    </row>
    <row r="384" spans="1:58" s="51" customFormat="1" ht="19.5" customHeight="1">
      <c r="A384" s="1156"/>
      <c r="B384" s="873"/>
      <c r="C384" s="1109"/>
      <c r="D384" s="62">
        <v>2019</v>
      </c>
      <c r="E384" s="63">
        <f>F384+G384+H384+I384+J384</f>
        <v>1.252</v>
      </c>
      <c r="F384" s="63">
        <v>1.252</v>
      </c>
      <c r="G384" s="63">
        <v>0</v>
      </c>
      <c r="H384" s="63">
        <v>0</v>
      </c>
      <c r="I384" s="63">
        <v>0</v>
      </c>
      <c r="J384" s="63">
        <v>0</v>
      </c>
      <c r="K384" s="76">
        <v>0</v>
      </c>
      <c r="L384" s="497">
        <f t="shared" si="120"/>
        <v>1.252</v>
      </c>
      <c r="M384" s="1033"/>
      <c r="N384" s="476"/>
      <c r="O384" s="963"/>
      <c r="P384" s="1153"/>
      <c r="Q384" s="333"/>
      <c r="R384" s="333"/>
      <c r="S384" s="333"/>
      <c r="T384" s="333"/>
      <c r="U384" s="333"/>
      <c r="V384" s="333"/>
      <c r="W384" s="333"/>
      <c r="X384" s="333"/>
      <c r="Y384" s="333"/>
      <c r="Z384" s="333"/>
      <c r="AA384" s="333"/>
      <c r="AB384" s="333"/>
      <c r="AC384" s="333"/>
      <c r="AD384" s="333"/>
      <c r="AE384" s="333"/>
      <c r="AF384" s="333"/>
      <c r="AG384" s="333"/>
      <c r="AH384" s="333"/>
      <c r="AI384" s="333"/>
      <c r="AJ384" s="333"/>
      <c r="AK384" s="333"/>
      <c r="AL384" s="333"/>
      <c r="AM384" s="333"/>
      <c r="AN384" s="333"/>
      <c r="AO384" s="333"/>
      <c r="AP384" s="333"/>
      <c r="AQ384" s="333"/>
      <c r="AR384" s="333"/>
      <c r="AS384" s="333"/>
      <c r="AT384" s="333"/>
      <c r="AU384" s="333"/>
      <c r="AV384" s="333"/>
      <c r="AW384" s="333"/>
      <c r="AX384" s="333"/>
      <c r="AY384" s="333"/>
      <c r="AZ384" s="333"/>
      <c r="BA384" s="333"/>
      <c r="BB384" s="333"/>
      <c r="BC384" s="333"/>
      <c r="BD384" s="333"/>
      <c r="BE384" s="333"/>
      <c r="BF384" s="68"/>
    </row>
    <row r="385" spans="1:16370" s="51" customFormat="1" ht="19.5" customHeight="1">
      <c r="A385" s="1112" t="s">
        <v>581</v>
      </c>
      <c r="B385" s="1157" t="s">
        <v>1158</v>
      </c>
      <c r="C385" s="881" t="s">
        <v>353</v>
      </c>
      <c r="D385" s="84" t="s">
        <v>16</v>
      </c>
      <c r="E385" s="85">
        <f t="shared" ref="E385:J385" si="128">E386</f>
        <v>4.5</v>
      </c>
      <c r="F385" s="85">
        <f t="shared" si="128"/>
        <v>4.5</v>
      </c>
      <c r="G385" s="85">
        <f t="shared" si="128"/>
        <v>0</v>
      </c>
      <c r="H385" s="85">
        <f t="shared" si="128"/>
        <v>0</v>
      </c>
      <c r="I385" s="85">
        <f t="shared" si="128"/>
        <v>0</v>
      </c>
      <c r="J385" s="85">
        <f t="shared" si="128"/>
        <v>0</v>
      </c>
      <c r="K385" s="63">
        <v>0</v>
      </c>
      <c r="L385" s="474"/>
      <c r="M385" s="327"/>
      <c r="N385" s="476"/>
      <c r="O385" s="399"/>
      <c r="P385" s="881"/>
      <c r="Q385" s="535"/>
      <c r="R385" s="509"/>
      <c r="S385" s="509"/>
      <c r="T385" s="509"/>
      <c r="U385" s="509"/>
      <c r="V385" s="509"/>
      <c r="W385" s="509"/>
      <c r="X385" s="509"/>
      <c r="Y385" s="509"/>
      <c r="Z385" s="509"/>
      <c r="AA385" s="509"/>
      <c r="AB385" s="509"/>
      <c r="AC385" s="509"/>
      <c r="AD385" s="509"/>
      <c r="AE385" s="509"/>
      <c r="AF385" s="509"/>
      <c r="AG385" s="509"/>
      <c r="AH385" s="509"/>
      <c r="AI385" s="509"/>
      <c r="AJ385" s="509"/>
      <c r="AK385" s="509"/>
      <c r="AL385" s="509"/>
      <c r="AM385" s="509"/>
      <c r="AN385" s="509"/>
      <c r="AO385" s="509"/>
      <c r="AP385" s="509"/>
      <c r="AQ385" s="509"/>
      <c r="AR385" s="509"/>
      <c r="AS385" s="509"/>
      <c r="AT385" s="509"/>
      <c r="AU385" s="509"/>
      <c r="AV385" s="509"/>
      <c r="AW385" s="509"/>
      <c r="AX385" s="509"/>
      <c r="AY385" s="509"/>
      <c r="AZ385" s="509"/>
      <c r="BA385" s="509"/>
      <c r="BB385" s="509"/>
      <c r="BC385" s="509"/>
      <c r="BD385" s="509"/>
      <c r="BE385" s="509"/>
      <c r="BF385" s="68"/>
      <c r="BG385" s="536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  <c r="AMK385"/>
      <c r="AML385"/>
      <c r="AMM385"/>
      <c r="AMN385"/>
      <c r="AMO385"/>
      <c r="AMP385"/>
      <c r="AMQ385"/>
      <c r="AMR385"/>
      <c r="AMS385"/>
      <c r="AMT385"/>
      <c r="AMU385"/>
      <c r="AMV385"/>
      <c r="AMW385"/>
      <c r="AMX385"/>
      <c r="AMY385"/>
      <c r="AMZ385"/>
      <c r="ANA385"/>
      <c r="ANB385"/>
      <c r="ANC385"/>
      <c r="AND385"/>
      <c r="ANE385"/>
      <c r="ANF385"/>
      <c r="ANG385"/>
      <c r="ANH385"/>
      <c r="ANI385"/>
      <c r="ANJ385"/>
      <c r="ANK385"/>
      <c r="ANL385"/>
      <c r="ANM385"/>
      <c r="ANN385"/>
      <c r="ANO385"/>
      <c r="ANP385"/>
      <c r="ANQ385"/>
      <c r="ANR385"/>
      <c r="ANS385"/>
      <c r="ANT385"/>
      <c r="ANU385"/>
      <c r="ANV385"/>
      <c r="ANW385"/>
      <c r="ANX385"/>
      <c r="ANY385"/>
      <c r="ANZ385"/>
      <c r="AOA385"/>
      <c r="AOB385"/>
      <c r="AOC385"/>
      <c r="AOD385"/>
      <c r="AOE385"/>
      <c r="AOF385"/>
      <c r="AOG385"/>
      <c r="AOH385"/>
      <c r="AOI385"/>
      <c r="AOJ385"/>
      <c r="AOK385"/>
      <c r="AOL385"/>
      <c r="AOM385"/>
      <c r="AON385"/>
      <c r="AOO385"/>
      <c r="AOP385"/>
      <c r="AOQ385"/>
      <c r="AOR385"/>
      <c r="AOS385"/>
      <c r="AOT385"/>
      <c r="AOU385"/>
      <c r="AOV385"/>
      <c r="AOW385"/>
      <c r="AOX385"/>
      <c r="AOY385"/>
      <c r="AOZ385"/>
      <c r="APA385"/>
      <c r="APB385"/>
      <c r="APC385"/>
      <c r="APD385"/>
      <c r="APE385"/>
      <c r="APF385"/>
      <c r="APG385"/>
      <c r="APH385"/>
      <c r="API385"/>
      <c r="APJ385"/>
      <c r="APK385"/>
      <c r="APL385"/>
      <c r="APM385"/>
      <c r="APN385"/>
      <c r="APO385"/>
      <c r="APP385"/>
      <c r="APQ385"/>
      <c r="APR385"/>
      <c r="APS385"/>
      <c r="APT385"/>
      <c r="APU385"/>
      <c r="APV385"/>
      <c r="APW385"/>
      <c r="APX385"/>
      <c r="APY385"/>
      <c r="APZ385"/>
      <c r="AQA385"/>
      <c r="AQB385"/>
      <c r="AQC385"/>
      <c r="AQD385"/>
      <c r="AQE385"/>
      <c r="AQF385"/>
      <c r="AQG385"/>
      <c r="AQH385"/>
      <c r="AQI385"/>
      <c r="AQJ385"/>
      <c r="AQK385"/>
      <c r="AQL385"/>
      <c r="AQM385"/>
      <c r="AQN385"/>
      <c r="AQO385"/>
      <c r="AQP385"/>
      <c r="AQQ385"/>
      <c r="AQR385"/>
      <c r="AQS385"/>
      <c r="AQT385"/>
      <c r="AQU385"/>
      <c r="AQV385"/>
      <c r="AQW385"/>
      <c r="AQX385"/>
      <c r="AQY385"/>
      <c r="AQZ385"/>
      <c r="ARA385"/>
      <c r="ARB385"/>
      <c r="ARC385"/>
      <c r="ARD385"/>
      <c r="ARE385"/>
      <c r="ARF385"/>
      <c r="ARG385"/>
      <c r="ARH385"/>
      <c r="ARI385"/>
      <c r="ARJ385"/>
      <c r="ARK385"/>
      <c r="ARL385"/>
      <c r="ARM385"/>
      <c r="ARN385"/>
      <c r="ARO385"/>
      <c r="ARP385"/>
      <c r="ARQ385"/>
      <c r="ARR385"/>
      <c r="ARS385"/>
      <c r="ART385"/>
      <c r="ARU385"/>
      <c r="ARV385"/>
      <c r="ARW385"/>
      <c r="ARX385"/>
      <c r="ARY385"/>
      <c r="ARZ385"/>
      <c r="ASA385"/>
      <c r="ASB385"/>
      <c r="ASC385"/>
      <c r="ASD385"/>
      <c r="ASE385"/>
      <c r="ASF385"/>
      <c r="ASG385"/>
      <c r="ASH385"/>
      <c r="ASI385"/>
      <c r="ASJ385"/>
      <c r="ASK385"/>
      <c r="ASL385"/>
      <c r="ASM385"/>
      <c r="ASN385"/>
      <c r="ASO385"/>
      <c r="ASP385"/>
      <c r="ASQ385"/>
      <c r="ASR385"/>
      <c r="ASS385"/>
      <c r="AST385"/>
      <c r="ASU385"/>
      <c r="ASV385"/>
      <c r="ASW385"/>
      <c r="ASX385"/>
      <c r="ASY385"/>
      <c r="ASZ385"/>
      <c r="ATA385"/>
      <c r="ATB385"/>
      <c r="ATC385"/>
      <c r="ATD385"/>
      <c r="ATE385"/>
      <c r="ATF385"/>
      <c r="ATG385"/>
      <c r="ATH385"/>
      <c r="ATI385"/>
      <c r="ATJ385"/>
      <c r="ATK385"/>
      <c r="ATL385"/>
      <c r="ATM385"/>
      <c r="ATN385"/>
      <c r="ATO385"/>
      <c r="ATP385"/>
      <c r="ATQ385"/>
      <c r="ATR385"/>
      <c r="ATS385"/>
      <c r="ATT385"/>
      <c r="ATU385"/>
      <c r="ATV385"/>
      <c r="ATW385"/>
      <c r="ATX385"/>
      <c r="ATY385"/>
      <c r="ATZ385"/>
      <c r="AUA385"/>
      <c r="AUB385"/>
      <c r="AUC385"/>
      <c r="AUD385"/>
      <c r="AUE385"/>
      <c r="AUF385"/>
      <c r="AUG385"/>
      <c r="AUH385"/>
      <c r="AUI385"/>
      <c r="AUJ385"/>
      <c r="AUK385"/>
      <c r="AUL385"/>
      <c r="AUM385"/>
      <c r="AUN385"/>
      <c r="AUO385"/>
      <c r="AUP385"/>
      <c r="AUQ385"/>
      <c r="AUR385"/>
      <c r="AUS385"/>
      <c r="AUT385"/>
      <c r="AUU385"/>
      <c r="AUV385"/>
      <c r="AUW385"/>
      <c r="AUX385"/>
      <c r="AUY385"/>
      <c r="AUZ385"/>
      <c r="AVA385"/>
      <c r="AVB385"/>
      <c r="AVC385"/>
      <c r="AVD385"/>
      <c r="AVE385"/>
      <c r="AVF385"/>
      <c r="AVG385"/>
      <c r="AVH385"/>
      <c r="AVI385"/>
      <c r="AVJ385"/>
      <c r="AVK385"/>
      <c r="AVL385"/>
      <c r="AVM385"/>
      <c r="AVN385"/>
      <c r="AVO385"/>
      <c r="AVP385"/>
      <c r="AVQ385"/>
      <c r="AVR385"/>
      <c r="AVS385"/>
      <c r="AVT385"/>
      <c r="AVU385"/>
      <c r="AVV385"/>
      <c r="AVW385"/>
      <c r="AVX385"/>
      <c r="AVY385"/>
      <c r="AVZ385"/>
      <c r="AWA385"/>
      <c r="AWB385"/>
      <c r="AWC385"/>
      <c r="AWD385"/>
      <c r="AWE385"/>
      <c r="AWF385"/>
      <c r="AWG385"/>
      <c r="AWH385"/>
      <c r="AWI385"/>
      <c r="AWJ385"/>
      <c r="AWK385"/>
      <c r="AWL385"/>
      <c r="AWM385"/>
      <c r="AWN385"/>
      <c r="AWO385"/>
      <c r="AWP385"/>
      <c r="AWQ385"/>
      <c r="AWR385"/>
      <c r="AWS385"/>
      <c r="AWT385"/>
      <c r="AWU385"/>
      <c r="AWV385"/>
      <c r="AWW385"/>
      <c r="AWX385"/>
      <c r="AWY385"/>
      <c r="AWZ385"/>
      <c r="AXA385"/>
      <c r="AXB385"/>
      <c r="AXC385"/>
      <c r="AXD385"/>
      <c r="AXE385"/>
      <c r="AXF385"/>
      <c r="AXG385"/>
      <c r="AXH385"/>
      <c r="AXI385"/>
      <c r="AXJ385"/>
      <c r="AXK385"/>
      <c r="AXL385"/>
      <c r="AXM385"/>
      <c r="AXN385"/>
      <c r="AXO385"/>
      <c r="AXP385"/>
      <c r="AXQ385"/>
      <c r="AXR385"/>
      <c r="AXS385"/>
      <c r="AXT385"/>
      <c r="AXU385"/>
      <c r="AXV385"/>
      <c r="AXW385"/>
      <c r="AXX385"/>
      <c r="AXY385"/>
      <c r="AXZ385"/>
      <c r="AYA385"/>
      <c r="AYB385"/>
      <c r="AYC385"/>
      <c r="AYD385"/>
      <c r="AYE385"/>
      <c r="AYF385"/>
      <c r="AYG385"/>
      <c r="AYH385"/>
      <c r="AYI385"/>
      <c r="AYJ385"/>
      <c r="AYK385"/>
      <c r="AYL385"/>
      <c r="AYM385"/>
      <c r="AYN385"/>
      <c r="AYO385"/>
      <c r="AYP385"/>
      <c r="AYQ385"/>
      <c r="AYR385"/>
      <c r="AYS385"/>
      <c r="AYT385"/>
      <c r="AYU385"/>
      <c r="AYV385"/>
      <c r="AYW385"/>
      <c r="AYX385"/>
      <c r="AYY385"/>
      <c r="AYZ385"/>
      <c r="AZA385"/>
      <c r="AZB385"/>
      <c r="AZC385"/>
      <c r="AZD385"/>
      <c r="AZE385"/>
      <c r="AZF385"/>
      <c r="AZG385"/>
      <c r="AZH385"/>
      <c r="AZI385"/>
      <c r="AZJ385"/>
      <c r="AZK385"/>
      <c r="AZL385"/>
      <c r="AZM385"/>
      <c r="AZN385"/>
      <c r="AZO385"/>
      <c r="AZP385"/>
      <c r="AZQ385"/>
      <c r="AZR385"/>
      <c r="AZS385"/>
      <c r="AZT385"/>
      <c r="AZU385"/>
      <c r="AZV385"/>
      <c r="AZW385"/>
      <c r="AZX385"/>
      <c r="AZY385"/>
      <c r="AZZ385"/>
      <c r="BAA385"/>
      <c r="BAB385"/>
      <c r="BAC385"/>
      <c r="BAD385"/>
      <c r="BAE385"/>
      <c r="BAF385"/>
      <c r="BAG385"/>
      <c r="BAH385"/>
      <c r="BAI385"/>
      <c r="BAJ385"/>
      <c r="BAK385"/>
      <c r="BAL385"/>
      <c r="BAM385"/>
      <c r="BAN385"/>
      <c r="BAO385"/>
      <c r="BAP385"/>
      <c r="BAQ385"/>
      <c r="BAR385"/>
      <c r="BAS385"/>
      <c r="BAT385"/>
      <c r="BAU385"/>
      <c r="BAV385"/>
      <c r="BAW385"/>
      <c r="BAX385"/>
      <c r="BAY385"/>
      <c r="BAZ385"/>
      <c r="BBA385"/>
      <c r="BBB385"/>
      <c r="BBC385"/>
      <c r="BBD385"/>
      <c r="BBE385"/>
      <c r="BBF385"/>
      <c r="BBG385"/>
      <c r="BBH385"/>
      <c r="BBI385"/>
      <c r="BBJ385"/>
      <c r="BBK385"/>
      <c r="BBL385"/>
      <c r="BBM385"/>
      <c r="BBN385"/>
      <c r="BBO385"/>
      <c r="BBP385"/>
      <c r="BBQ385"/>
      <c r="BBR385"/>
      <c r="BBS385"/>
      <c r="BBT385"/>
      <c r="BBU385"/>
      <c r="BBV385"/>
      <c r="BBW385"/>
      <c r="BBX385"/>
      <c r="BBY385"/>
      <c r="BBZ385"/>
      <c r="BCA385"/>
      <c r="BCB385"/>
      <c r="BCC385"/>
      <c r="BCD385"/>
      <c r="BCE385"/>
      <c r="BCF385"/>
      <c r="BCG385"/>
      <c r="BCH385"/>
      <c r="BCI385"/>
      <c r="BCJ385"/>
      <c r="BCK385"/>
      <c r="BCL385"/>
      <c r="BCM385"/>
      <c r="BCN385"/>
      <c r="BCO385"/>
      <c r="BCP385"/>
      <c r="BCQ385"/>
      <c r="BCR385"/>
      <c r="BCS385"/>
      <c r="BCT385"/>
      <c r="BCU385"/>
      <c r="BCV385"/>
      <c r="BCW385"/>
      <c r="BCX385"/>
      <c r="BCY385"/>
      <c r="BCZ385"/>
      <c r="BDA385"/>
      <c r="BDB385"/>
      <c r="BDC385"/>
      <c r="BDD385"/>
      <c r="BDE385"/>
      <c r="BDF385"/>
      <c r="BDG385"/>
      <c r="BDH385"/>
      <c r="BDI385"/>
      <c r="BDJ385"/>
      <c r="BDK385"/>
      <c r="BDL385"/>
      <c r="BDM385"/>
      <c r="BDN385"/>
      <c r="BDO385"/>
      <c r="BDP385"/>
      <c r="BDQ385"/>
      <c r="BDR385"/>
      <c r="BDS385"/>
      <c r="BDT385"/>
      <c r="BDU385"/>
      <c r="BDV385"/>
      <c r="BDW385"/>
      <c r="BDX385"/>
      <c r="BDY385"/>
      <c r="BDZ385"/>
      <c r="BEA385"/>
      <c r="BEB385"/>
      <c r="BEC385"/>
      <c r="BED385"/>
      <c r="BEE385"/>
      <c r="BEF385"/>
      <c r="BEG385"/>
      <c r="BEH385"/>
      <c r="BEI385"/>
      <c r="BEJ385"/>
      <c r="BEK385"/>
      <c r="BEL385"/>
      <c r="BEM385"/>
      <c r="BEN385"/>
      <c r="BEO385"/>
      <c r="BEP385"/>
      <c r="BEQ385"/>
      <c r="BER385"/>
      <c r="BES385"/>
      <c r="BET385"/>
      <c r="BEU385"/>
      <c r="BEV385"/>
      <c r="BEW385"/>
      <c r="BEX385"/>
      <c r="BEY385"/>
      <c r="BEZ385"/>
      <c r="BFA385"/>
      <c r="BFB385"/>
      <c r="BFC385"/>
      <c r="BFD385"/>
      <c r="BFE385"/>
      <c r="BFF385"/>
      <c r="BFG385"/>
      <c r="BFH385"/>
      <c r="BFI385"/>
      <c r="BFJ385"/>
      <c r="BFK385"/>
      <c r="BFL385"/>
      <c r="BFM385"/>
      <c r="BFN385"/>
      <c r="BFO385"/>
      <c r="BFP385"/>
      <c r="BFQ385"/>
      <c r="BFR385"/>
      <c r="BFS385"/>
      <c r="BFT385"/>
      <c r="BFU385"/>
      <c r="BFV385"/>
      <c r="BFW385"/>
      <c r="BFX385"/>
      <c r="BFY385"/>
      <c r="BFZ385"/>
      <c r="BGA385"/>
      <c r="BGB385"/>
      <c r="BGC385"/>
      <c r="BGD385"/>
      <c r="BGE385"/>
      <c r="BGF385"/>
      <c r="BGG385"/>
      <c r="BGH385"/>
      <c r="BGI385"/>
      <c r="BGJ385"/>
      <c r="BGK385"/>
      <c r="BGL385"/>
      <c r="BGM385"/>
      <c r="BGN385"/>
      <c r="BGO385"/>
      <c r="BGP385"/>
      <c r="BGQ385"/>
      <c r="BGR385"/>
      <c r="BGS385"/>
      <c r="BGT385"/>
      <c r="BGU385"/>
      <c r="BGV385"/>
      <c r="BGW385"/>
      <c r="BGX385"/>
      <c r="BGY385"/>
      <c r="BGZ385"/>
      <c r="BHA385"/>
      <c r="BHB385"/>
      <c r="BHC385"/>
      <c r="BHD385"/>
      <c r="BHE385"/>
      <c r="BHF385"/>
      <c r="BHG385"/>
      <c r="BHH385"/>
      <c r="BHI385"/>
      <c r="BHJ385"/>
      <c r="BHK385"/>
      <c r="BHL385"/>
      <c r="BHM385"/>
      <c r="BHN385"/>
      <c r="BHO385"/>
      <c r="BHP385"/>
      <c r="BHQ385"/>
      <c r="BHR385"/>
      <c r="BHS385"/>
      <c r="BHT385"/>
      <c r="BHU385"/>
      <c r="BHV385"/>
      <c r="BHW385"/>
      <c r="BHX385"/>
      <c r="BHY385"/>
      <c r="BHZ385"/>
      <c r="BIA385"/>
      <c r="BIB385"/>
      <c r="BIC385"/>
      <c r="BID385"/>
      <c r="BIE385"/>
      <c r="BIF385"/>
      <c r="BIG385"/>
      <c r="BIH385"/>
      <c r="BII385"/>
      <c r="BIJ385"/>
      <c r="BIK385"/>
      <c r="BIL385"/>
      <c r="BIM385"/>
      <c r="BIN385"/>
      <c r="BIO385"/>
      <c r="BIP385"/>
      <c r="BIQ385"/>
      <c r="BIR385"/>
      <c r="BIS385"/>
      <c r="BIT385"/>
      <c r="BIU385"/>
      <c r="BIV385"/>
      <c r="BIW385"/>
      <c r="BIX385"/>
      <c r="BIY385"/>
      <c r="BIZ385"/>
      <c r="BJA385"/>
      <c r="BJB385"/>
      <c r="BJC385"/>
      <c r="BJD385"/>
      <c r="BJE385"/>
      <c r="BJF385"/>
      <c r="BJG385"/>
      <c r="BJH385"/>
      <c r="BJI385"/>
      <c r="BJJ385"/>
      <c r="BJK385"/>
      <c r="BJL385"/>
      <c r="BJM385"/>
      <c r="BJN385"/>
      <c r="BJO385"/>
      <c r="BJP385"/>
      <c r="BJQ385"/>
      <c r="BJR385"/>
      <c r="BJS385"/>
      <c r="BJT385"/>
      <c r="BJU385"/>
      <c r="BJV385"/>
      <c r="BJW385"/>
      <c r="BJX385"/>
      <c r="BJY385"/>
      <c r="BJZ385"/>
      <c r="BKA385"/>
      <c r="BKB385"/>
      <c r="BKC385"/>
      <c r="BKD385"/>
      <c r="BKE385"/>
      <c r="BKF385"/>
      <c r="BKG385"/>
      <c r="BKH385"/>
      <c r="BKI385"/>
      <c r="BKJ385"/>
      <c r="BKK385"/>
      <c r="BKL385"/>
      <c r="BKM385"/>
      <c r="BKN385"/>
      <c r="BKO385"/>
      <c r="BKP385"/>
      <c r="BKQ385"/>
      <c r="BKR385"/>
      <c r="BKS385"/>
      <c r="BKT385"/>
      <c r="BKU385"/>
      <c r="BKV385"/>
      <c r="BKW385"/>
      <c r="BKX385"/>
      <c r="BKY385"/>
      <c r="BKZ385"/>
      <c r="BLA385"/>
      <c r="BLB385"/>
      <c r="BLC385"/>
      <c r="BLD385"/>
      <c r="BLE385"/>
      <c r="BLF385"/>
      <c r="BLG385"/>
      <c r="BLH385"/>
      <c r="BLI385"/>
      <c r="BLJ385"/>
      <c r="BLK385"/>
      <c r="BLL385"/>
      <c r="BLM385"/>
      <c r="BLN385"/>
      <c r="BLO385"/>
      <c r="BLP385"/>
      <c r="BLQ385"/>
      <c r="BLR385"/>
      <c r="BLS385"/>
      <c r="BLT385"/>
      <c r="BLU385"/>
      <c r="BLV385"/>
      <c r="BLW385"/>
      <c r="BLX385"/>
      <c r="BLY385"/>
      <c r="BLZ385"/>
      <c r="BMA385"/>
      <c r="BMB385"/>
      <c r="BMC385"/>
      <c r="BMD385"/>
      <c r="BME385"/>
      <c r="BMF385"/>
      <c r="BMG385"/>
      <c r="BMH385"/>
      <c r="BMI385"/>
      <c r="BMJ385"/>
      <c r="BMK385"/>
      <c r="BML385"/>
      <c r="BMM385"/>
      <c r="BMN385"/>
      <c r="BMO385"/>
      <c r="BMP385"/>
      <c r="BMQ385"/>
      <c r="BMR385"/>
      <c r="BMS385"/>
      <c r="BMT385"/>
      <c r="BMU385"/>
      <c r="BMV385"/>
      <c r="BMW385"/>
      <c r="BMX385"/>
      <c r="BMY385"/>
      <c r="BMZ385"/>
      <c r="BNA385"/>
      <c r="BNB385"/>
      <c r="BNC385"/>
      <c r="BND385"/>
      <c r="BNE385"/>
      <c r="BNF385"/>
      <c r="BNG385"/>
      <c r="BNH385"/>
      <c r="BNI385"/>
      <c r="BNJ385"/>
      <c r="BNK385"/>
      <c r="BNL385"/>
      <c r="BNM385"/>
      <c r="BNN385"/>
      <c r="BNO385"/>
      <c r="BNP385"/>
      <c r="BNQ385"/>
      <c r="BNR385"/>
      <c r="BNS385"/>
      <c r="BNT385"/>
      <c r="BNU385"/>
      <c r="BNV385"/>
      <c r="BNW385"/>
      <c r="BNX385"/>
      <c r="BNY385"/>
      <c r="BNZ385"/>
      <c r="BOA385"/>
      <c r="BOB385"/>
      <c r="BOC385"/>
      <c r="BOD385"/>
      <c r="BOE385"/>
      <c r="BOF385"/>
      <c r="BOG385"/>
      <c r="BOH385"/>
      <c r="BOI385"/>
      <c r="BOJ385"/>
      <c r="BOK385"/>
      <c r="BOL385"/>
      <c r="BOM385"/>
      <c r="BON385"/>
      <c r="BOO385"/>
      <c r="BOP385"/>
      <c r="BOQ385"/>
      <c r="BOR385"/>
      <c r="BOS385"/>
      <c r="BOT385"/>
      <c r="BOU385"/>
      <c r="BOV385"/>
      <c r="BOW385"/>
      <c r="BOX385"/>
      <c r="BOY385"/>
      <c r="BOZ385"/>
      <c r="BPA385"/>
      <c r="BPB385"/>
      <c r="BPC385"/>
      <c r="BPD385"/>
      <c r="BPE385"/>
      <c r="BPF385"/>
      <c r="BPG385"/>
      <c r="BPH385"/>
      <c r="BPI385"/>
      <c r="BPJ385"/>
      <c r="BPK385"/>
      <c r="BPL385"/>
      <c r="BPM385"/>
      <c r="BPN385"/>
      <c r="BPO385"/>
      <c r="BPP385"/>
      <c r="BPQ385"/>
      <c r="BPR385"/>
      <c r="BPS385"/>
      <c r="BPT385"/>
      <c r="BPU385"/>
      <c r="BPV385"/>
      <c r="BPW385"/>
      <c r="BPX385"/>
      <c r="BPY385"/>
      <c r="BPZ385"/>
      <c r="BQA385"/>
      <c r="BQB385"/>
      <c r="BQC385"/>
      <c r="BQD385"/>
      <c r="BQE385"/>
      <c r="BQF385"/>
      <c r="BQG385"/>
      <c r="BQH385"/>
      <c r="BQI385"/>
      <c r="BQJ385"/>
      <c r="BQK385"/>
      <c r="BQL385"/>
      <c r="BQM385"/>
      <c r="BQN385"/>
      <c r="BQO385"/>
      <c r="BQP385"/>
      <c r="BQQ385"/>
      <c r="BQR385"/>
      <c r="BQS385"/>
      <c r="BQT385"/>
      <c r="BQU385"/>
      <c r="BQV385"/>
      <c r="BQW385"/>
      <c r="BQX385"/>
      <c r="BQY385"/>
      <c r="BQZ385"/>
      <c r="BRA385"/>
      <c r="BRB385"/>
      <c r="BRC385"/>
      <c r="BRD385"/>
      <c r="BRE385"/>
      <c r="BRF385"/>
      <c r="BRG385"/>
      <c r="BRH385"/>
      <c r="BRI385"/>
      <c r="BRJ385"/>
      <c r="BRK385"/>
      <c r="BRL385"/>
      <c r="BRM385"/>
      <c r="BRN385"/>
      <c r="BRO385"/>
      <c r="BRP385"/>
      <c r="BRQ385"/>
      <c r="BRR385"/>
      <c r="BRS385"/>
      <c r="BRT385"/>
      <c r="BRU385"/>
      <c r="BRV385"/>
      <c r="BRW385"/>
      <c r="BRX385"/>
      <c r="BRY385"/>
      <c r="BRZ385"/>
      <c r="BSA385"/>
      <c r="BSB385"/>
      <c r="BSC385"/>
      <c r="BSD385"/>
      <c r="BSE385"/>
      <c r="BSF385"/>
      <c r="BSG385"/>
      <c r="BSH385"/>
      <c r="BSI385"/>
      <c r="BSJ385"/>
      <c r="BSK385"/>
      <c r="BSL385"/>
      <c r="BSM385"/>
      <c r="BSN385"/>
      <c r="BSO385"/>
      <c r="BSP385"/>
      <c r="BSQ385"/>
      <c r="BSR385"/>
      <c r="BSS385"/>
      <c r="BST385"/>
      <c r="BSU385"/>
      <c r="BSV385"/>
      <c r="BSW385"/>
      <c r="BSX385"/>
      <c r="BSY385"/>
      <c r="BSZ385"/>
      <c r="BTA385"/>
      <c r="BTB385"/>
      <c r="BTC385"/>
      <c r="BTD385"/>
      <c r="BTE385"/>
      <c r="BTF385"/>
      <c r="BTG385"/>
      <c r="BTH385"/>
      <c r="BTI385"/>
      <c r="BTJ385"/>
      <c r="BTK385"/>
      <c r="BTL385"/>
      <c r="BTM385"/>
      <c r="BTN385"/>
      <c r="BTO385"/>
      <c r="BTP385"/>
      <c r="BTQ385"/>
      <c r="BTR385"/>
      <c r="BTS385"/>
      <c r="BTT385"/>
      <c r="BTU385"/>
      <c r="BTV385"/>
      <c r="BTW385"/>
      <c r="BTX385"/>
      <c r="BTY385"/>
      <c r="BTZ385"/>
      <c r="BUA385"/>
      <c r="BUB385"/>
      <c r="BUC385"/>
      <c r="BUD385"/>
      <c r="BUE385"/>
      <c r="BUF385"/>
      <c r="BUG385"/>
      <c r="BUH385"/>
      <c r="BUI385"/>
      <c r="BUJ385"/>
      <c r="BUK385"/>
      <c r="BUL385"/>
      <c r="BUM385"/>
      <c r="BUN385"/>
      <c r="BUO385"/>
      <c r="BUP385"/>
      <c r="BUQ385"/>
      <c r="BUR385"/>
      <c r="BUS385"/>
      <c r="BUT385"/>
      <c r="BUU385"/>
      <c r="BUV385"/>
      <c r="BUW385"/>
      <c r="BUX385"/>
      <c r="BUY385"/>
      <c r="BUZ385"/>
      <c r="BVA385"/>
      <c r="BVB385"/>
      <c r="BVC385"/>
      <c r="BVD385"/>
      <c r="BVE385"/>
      <c r="BVF385"/>
      <c r="BVG385"/>
      <c r="BVH385"/>
      <c r="BVI385"/>
      <c r="BVJ385"/>
      <c r="BVK385"/>
      <c r="BVL385"/>
      <c r="BVM385"/>
      <c r="BVN385"/>
      <c r="BVO385"/>
      <c r="BVP385"/>
      <c r="BVQ385"/>
      <c r="BVR385"/>
      <c r="BVS385"/>
      <c r="BVT385"/>
      <c r="BVU385"/>
      <c r="BVV385"/>
      <c r="BVW385"/>
      <c r="BVX385"/>
      <c r="BVY385"/>
      <c r="BVZ385"/>
      <c r="BWA385"/>
      <c r="BWB385"/>
      <c r="BWC385"/>
      <c r="BWD385"/>
      <c r="BWE385"/>
      <c r="BWF385"/>
      <c r="BWG385"/>
      <c r="BWH385"/>
      <c r="BWI385"/>
      <c r="BWJ385"/>
      <c r="BWK385"/>
      <c r="BWL385"/>
      <c r="BWM385"/>
      <c r="BWN385"/>
      <c r="BWO385"/>
      <c r="BWP385"/>
      <c r="BWQ385"/>
      <c r="BWR385"/>
      <c r="BWS385"/>
      <c r="BWT385"/>
      <c r="BWU385"/>
      <c r="BWV385"/>
      <c r="BWW385"/>
      <c r="BWX385"/>
      <c r="BWY385"/>
      <c r="BWZ385"/>
      <c r="BXA385"/>
      <c r="BXB385"/>
      <c r="BXC385"/>
      <c r="BXD385"/>
      <c r="BXE385"/>
      <c r="BXF385"/>
      <c r="BXG385"/>
      <c r="BXH385"/>
      <c r="BXI385"/>
      <c r="BXJ385"/>
      <c r="BXK385"/>
      <c r="BXL385"/>
      <c r="BXM385"/>
      <c r="BXN385"/>
      <c r="BXO385"/>
      <c r="BXP385"/>
      <c r="BXQ385"/>
      <c r="BXR385"/>
      <c r="BXS385"/>
      <c r="BXT385"/>
      <c r="BXU385"/>
      <c r="BXV385"/>
      <c r="BXW385"/>
      <c r="BXX385"/>
      <c r="BXY385"/>
      <c r="BXZ385"/>
      <c r="BYA385"/>
      <c r="BYB385"/>
      <c r="BYC385"/>
      <c r="BYD385"/>
      <c r="BYE385"/>
      <c r="BYF385"/>
      <c r="BYG385"/>
      <c r="BYH385"/>
      <c r="BYI385"/>
      <c r="BYJ385"/>
      <c r="BYK385"/>
      <c r="BYL385"/>
      <c r="BYM385"/>
      <c r="BYN385"/>
      <c r="BYO385"/>
      <c r="BYP385"/>
      <c r="BYQ385"/>
      <c r="BYR385"/>
      <c r="BYS385"/>
      <c r="BYT385"/>
      <c r="BYU385"/>
      <c r="BYV385"/>
      <c r="BYW385"/>
      <c r="BYX385"/>
      <c r="BYY385"/>
      <c r="BYZ385"/>
      <c r="BZA385"/>
      <c r="BZB385"/>
      <c r="BZC385"/>
      <c r="BZD385"/>
      <c r="BZE385"/>
      <c r="BZF385"/>
      <c r="BZG385"/>
      <c r="BZH385"/>
      <c r="BZI385"/>
      <c r="BZJ385"/>
      <c r="BZK385"/>
      <c r="BZL385"/>
      <c r="BZM385"/>
      <c r="BZN385"/>
      <c r="BZO385"/>
      <c r="BZP385"/>
      <c r="BZQ385"/>
      <c r="BZR385"/>
      <c r="BZS385"/>
      <c r="BZT385"/>
      <c r="BZU385"/>
      <c r="BZV385"/>
      <c r="BZW385"/>
      <c r="BZX385"/>
      <c r="BZY385"/>
      <c r="BZZ385"/>
      <c r="CAA385"/>
      <c r="CAB385"/>
      <c r="CAC385"/>
      <c r="CAD385"/>
      <c r="CAE385"/>
      <c r="CAF385"/>
      <c r="CAG385"/>
      <c r="CAH385"/>
      <c r="CAI385"/>
      <c r="CAJ385"/>
      <c r="CAK385"/>
      <c r="CAL385"/>
      <c r="CAM385"/>
      <c r="CAN385"/>
      <c r="CAO385"/>
      <c r="CAP385"/>
      <c r="CAQ385"/>
      <c r="CAR385"/>
      <c r="CAS385"/>
      <c r="CAT385"/>
      <c r="CAU385"/>
      <c r="CAV385"/>
      <c r="CAW385"/>
      <c r="CAX385"/>
      <c r="CAY385"/>
      <c r="CAZ385"/>
      <c r="CBA385"/>
      <c r="CBB385"/>
      <c r="CBC385"/>
      <c r="CBD385"/>
      <c r="CBE385"/>
      <c r="CBF385"/>
      <c r="CBG385"/>
      <c r="CBH385"/>
      <c r="CBI385"/>
      <c r="CBJ385"/>
      <c r="CBK385"/>
      <c r="CBL385"/>
      <c r="CBM385"/>
      <c r="CBN385"/>
      <c r="CBO385"/>
      <c r="CBP385"/>
      <c r="CBQ385"/>
      <c r="CBR385"/>
      <c r="CBS385"/>
      <c r="CBT385"/>
      <c r="CBU385"/>
      <c r="CBV385"/>
      <c r="CBW385"/>
      <c r="CBX385"/>
      <c r="CBY385"/>
      <c r="CBZ385"/>
      <c r="CCA385"/>
      <c r="CCB385"/>
      <c r="CCC385"/>
      <c r="CCD385"/>
      <c r="CCE385"/>
      <c r="CCF385"/>
      <c r="CCG385"/>
      <c r="CCH385"/>
      <c r="CCI385"/>
      <c r="CCJ385"/>
      <c r="CCK385"/>
      <c r="CCL385"/>
      <c r="CCM385"/>
      <c r="CCN385"/>
      <c r="CCO385"/>
      <c r="CCP385"/>
      <c r="CCQ385"/>
      <c r="CCR385"/>
      <c r="CCS385"/>
      <c r="CCT385"/>
      <c r="CCU385"/>
      <c r="CCV385"/>
      <c r="CCW385"/>
      <c r="CCX385"/>
      <c r="CCY385"/>
      <c r="CCZ385"/>
      <c r="CDA385"/>
      <c r="CDB385"/>
      <c r="CDC385"/>
      <c r="CDD385"/>
      <c r="CDE385"/>
      <c r="CDF385"/>
      <c r="CDG385"/>
      <c r="CDH385"/>
      <c r="CDI385"/>
      <c r="CDJ385"/>
      <c r="CDK385"/>
      <c r="CDL385"/>
      <c r="CDM385"/>
      <c r="CDN385"/>
      <c r="CDO385"/>
      <c r="CDP385"/>
      <c r="CDQ385"/>
      <c r="CDR385"/>
      <c r="CDS385"/>
      <c r="CDT385"/>
      <c r="CDU385"/>
      <c r="CDV385"/>
      <c r="CDW385"/>
      <c r="CDX385"/>
      <c r="CDY385"/>
      <c r="CDZ385"/>
      <c r="CEA385"/>
      <c r="CEB385"/>
      <c r="CEC385"/>
      <c r="CED385"/>
      <c r="CEE385"/>
      <c r="CEF385"/>
      <c r="CEG385"/>
      <c r="CEH385"/>
      <c r="CEI385"/>
      <c r="CEJ385"/>
      <c r="CEK385"/>
      <c r="CEL385"/>
      <c r="CEM385"/>
      <c r="CEN385"/>
      <c r="CEO385"/>
      <c r="CEP385"/>
      <c r="CEQ385"/>
      <c r="CER385"/>
      <c r="CES385"/>
      <c r="CET385"/>
      <c r="CEU385"/>
      <c r="CEV385"/>
      <c r="CEW385"/>
      <c r="CEX385"/>
      <c r="CEY385"/>
      <c r="CEZ385"/>
      <c r="CFA385"/>
      <c r="CFB385"/>
      <c r="CFC385"/>
      <c r="CFD385"/>
      <c r="CFE385"/>
      <c r="CFF385"/>
      <c r="CFG385"/>
      <c r="CFH385"/>
      <c r="CFI385"/>
      <c r="CFJ385"/>
      <c r="CFK385"/>
      <c r="CFL385"/>
      <c r="CFM385"/>
      <c r="CFN385"/>
      <c r="CFO385"/>
      <c r="CFP385"/>
      <c r="CFQ385"/>
      <c r="CFR385"/>
      <c r="CFS385"/>
      <c r="CFT385"/>
      <c r="CFU385"/>
      <c r="CFV385"/>
      <c r="CFW385"/>
      <c r="CFX385"/>
      <c r="CFY385"/>
      <c r="CFZ385"/>
      <c r="CGA385"/>
      <c r="CGB385"/>
      <c r="CGC385"/>
      <c r="CGD385"/>
      <c r="CGE385"/>
      <c r="CGF385"/>
      <c r="CGG385"/>
      <c r="CGH385"/>
      <c r="CGI385"/>
      <c r="CGJ385"/>
      <c r="CGK385"/>
      <c r="CGL385"/>
      <c r="CGM385"/>
      <c r="CGN385"/>
      <c r="CGO385"/>
      <c r="CGP385"/>
      <c r="CGQ385"/>
      <c r="CGR385"/>
      <c r="CGS385"/>
      <c r="CGT385"/>
      <c r="CGU385"/>
      <c r="CGV385"/>
      <c r="CGW385"/>
      <c r="CGX385"/>
      <c r="CGY385"/>
      <c r="CGZ385"/>
      <c r="CHA385"/>
      <c r="CHB385"/>
      <c r="CHC385"/>
      <c r="CHD385"/>
      <c r="CHE385"/>
      <c r="CHF385"/>
      <c r="CHG385"/>
      <c r="CHH385"/>
      <c r="CHI385"/>
      <c r="CHJ385"/>
      <c r="CHK385"/>
      <c r="CHL385"/>
      <c r="CHM385"/>
      <c r="CHN385"/>
      <c r="CHO385"/>
      <c r="CHP385"/>
      <c r="CHQ385"/>
      <c r="CHR385"/>
      <c r="CHS385"/>
      <c r="CHT385"/>
      <c r="CHU385"/>
      <c r="CHV385"/>
      <c r="CHW385"/>
      <c r="CHX385"/>
      <c r="CHY385"/>
      <c r="CHZ385"/>
      <c r="CIA385"/>
      <c r="CIB385"/>
      <c r="CIC385"/>
      <c r="CID385"/>
      <c r="CIE385"/>
      <c r="CIF385"/>
      <c r="CIG385"/>
      <c r="CIH385"/>
      <c r="CII385"/>
      <c r="CIJ385"/>
      <c r="CIK385"/>
      <c r="CIL385"/>
      <c r="CIM385"/>
      <c r="CIN385"/>
      <c r="CIO385"/>
      <c r="CIP385"/>
      <c r="CIQ385"/>
      <c r="CIR385"/>
      <c r="CIS385"/>
      <c r="CIT385"/>
      <c r="CIU385"/>
      <c r="CIV385"/>
      <c r="CIW385"/>
      <c r="CIX385"/>
      <c r="CIY385"/>
      <c r="CIZ385"/>
      <c r="CJA385"/>
      <c r="CJB385"/>
      <c r="CJC385"/>
      <c r="CJD385"/>
      <c r="CJE385"/>
      <c r="CJF385"/>
      <c r="CJG385"/>
      <c r="CJH385"/>
      <c r="CJI385"/>
      <c r="CJJ385"/>
      <c r="CJK385"/>
      <c r="CJL385"/>
      <c r="CJM385"/>
      <c r="CJN385"/>
      <c r="CJO385"/>
      <c r="CJP385"/>
      <c r="CJQ385"/>
      <c r="CJR385"/>
      <c r="CJS385"/>
      <c r="CJT385"/>
      <c r="CJU385"/>
      <c r="CJV385"/>
      <c r="CJW385"/>
      <c r="CJX385"/>
      <c r="CJY385"/>
      <c r="CJZ385"/>
      <c r="CKA385"/>
      <c r="CKB385"/>
      <c r="CKC385"/>
      <c r="CKD385"/>
      <c r="CKE385"/>
      <c r="CKF385"/>
      <c r="CKG385"/>
      <c r="CKH385"/>
      <c r="CKI385"/>
      <c r="CKJ385"/>
      <c r="CKK385"/>
      <c r="CKL385"/>
      <c r="CKM385"/>
      <c r="CKN385"/>
      <c r="CKO385"/>
      <c r="CKP385"/>
      <c r="CKQ385"/>
      <c r="CKR385"/>
      <c r="CKS385"/>
      <c r="CKT385"/>
      <c r="CKU385"/>
      <c r="CKV385"/>
      <c r="CKW385"/>
      <c r="CKX385"/>
      <c r="CKY385"/>
      <c r="CKZ385"/>
      <c r="CLA385"/>
      <c r="CLB385"/>
      <c r="CLC385"/>
      <c r="CLD385"/>
      <c r="CLE385"/>
      <c r="CLF385"/>
      <c r="CLG385"/>
      <c r="CLH385"/>
      <c r="CLI385"/>
      <c r="CLJ385"/>
      <c r="CLK385"/>
      <c r="CLL385"/>
      <c r="CLM385"/>
      <c r="CLN385"/>
      <c r="CLO385"/>
      <c r="CLP385"/>
      <c r="CLQ385"/>
      <c r="CLR385"/>
      <c r="CLS385"/>
      <c r="CLT385"/>
      <c r="CLU385"/>
      <c r="CLV385"/>
      <c r="CLW385"/>
      <c r="CLX385"/>
      <c r="CLY385"/>
      <c r="CLZ385"/>
      <c r="CMA385"/>
      <c r="CMB385"/>
      <c r="CMC385"/>
      <c r="CMD385"/>
      <c r="CME385"/>
      <c r="CMF385"/>
      <c r="CMG385"/>
      <c r="CMH385"/>
      <c r="CMI385"/>
      <c r="CMJ385"/>
      <c r="CMK385"/>
      <c r="CML385"/>
      <c r="CMM385"/>
      <c r="CMN385"/>
      <c r="CMO385"/>
      <c r="CMP385"/>
      <c r="CMQ385"/>
      <c r="CMR385"/>
      <c r="CMS385"/>
      <c r="CMT385"/>
      <c r="CMU385"/>
      <c r="CMV385"/>
      <c r="CMW385"/>
      <c r="CMX385"/>
      <c r="CMY385"/>
      <c r="CMZ385"/>
      <c r="CNA385"/>
      <c r="CNB385"/>
      <c r="CNC385"/>
      <c r="CND385"/>
      <c r="CNE385"/>
      <c r="CNF385"/>
      <c r="CNG385"/>
      <c r="CNH385"/>
      <c r="CNI385"/>
      <c r="CNJ385"/>
      <c r="CNK385"/>
      <c r="CNL385"/>
      <c r="CNM385"/>
      <c r="CNN385"/>
      <c r="CNO385"/>
      <c r="CNP385"/>
      <c r="CNQ385"/>
      <c r="CNR385"/>
      <c r="CNS385"/>
      <c r="CNT385"/>
      <c r="CNU385"/>
      <c r="CNV385"/>
      <c r="CNW385"/>
      <c r="CNX385"/>
      <c r="CNY385"/>
      <c r="CNZ385"/>
      <c r="COA385"/>
      <c r="COB385"/>
      <c r="COC385"/>
      <c r="COD385"/>
      <c r="COE385"/>
      <c r="COF385"/>
      <c r="COG385"/>
      <c r="COH385"/>
      <c r="COI385"/>
      <c r="COJ385"/>
      <c r="COK385"/>
      <c r="COL385"/>
      <c r="COM385"/>
      <c r="CON385"/>
      <c r="COO385"/>
      <c r="COP385"/>
      <c r="COQ385"/>
      <c r="COR385"/>
      <c r="COS385"/>
      <c r="COT385"/>
      <c r="COU385"/>
      <c r="COV385"/>
      <c r="COW385"/>
      <c r="COX385"/>
      <c r="COY385"/>
      <c r="COZ385"/>
      <c r="CPA385"/>
      <c r="CPB385"/>
      <c r="CPC385"/>
      <c r="CPD385"/>
      <c r="CPE385"/>
      <c r="CPF385"/>
      <c r="CPG385"/>
      <c r="CPH385"/>
      <c r="CPI385"/>
      <c r="CPJ385"/>
      <c r="CPK385"/>
      <c r="CPL385"/>
      <c r="CPM385"/>
      <c r="CPN385"/>
      <c r="CPO385"/>
      <c r="CPP385"/>
      <c r="CPQ385"/>
      <c r="CPR385"/>
      <c r="CPS385"/>
      <c r="CPT385"/>
      <c r="CPU385"/>
      <c r="CPV385"/>
      <c r="CPW385"/>
      <c r="CPX385"/>
      <c r="CPY385"/>
      <c r="CPZ385"/>
      <c r="CQA385"/>
      <c r="CQB385"/>
      <c r="CQC385"/>
      <c r="CQD385"/>
      <c r="CQE385"/>
      <c r="CQF385"/>
      <c r="CQG385"/>
      <c r="CQH385"/>
      <c r="CQI385"/>
      <c r="CQJ385"/>
      <c r="CQK385"/>
      <c r="CQL385"/>
      <c r="CQM385"/>
      <c r="CQN385"/>
      <c r="CQO385"/>
      <c r="CQP385"/>
      <c r="CQQ385"/>
      <c r="CQR385"/>
      <c r="CQS385"/>
      <c r="CQT385"/>
      <c r="CQU385"/>
      <c r="CQV385"/>
      <c r="CQW385"/>
      <c r="CQX385"/>
      <c r="CQY385"/>
      <c r="CQZ385"/>
      <c r="CRA385"/>
      <c r="CRB385"/>
      <c r="CRC385"/>
      <c r="CRD385"/>
      <c r="CRE385"/>
      <c r="CRF385"/>
      <c r="CRG385"/>
      <c r="CRH385"/>
      <c r="CRI385"/>
      <c r="CRJ385"/>
      <c r="CRK385"/>
      <c r="CRL385"/>
      <c r="CRM385"/>
      <c r="CRN385"/>
      <c r="CRO385"/>
      <c r="CRP385"/>
      <c r="CRQ385"/>
      <c r="CRR385"/>
      <c r="CRS385"/>
      <c r="CRT385"/>
      <c r="CRU385"/>
      <c r="CRV385"/>
      <c r="CRW385"/>
      <c r="CRX385"/>
      <c r="CRY385"/>
      <c r="CRZ385"/>
      <c r="CSA385"/>
      <c r="CSB385"/>
      <c r="CSC385"/>
      <c r="CSD385"/>
      <c r="CSE385"/>
      <c r="CSF385"/>
      <c r="CSG385"/>
      <c r="CSH385"/>
      <c r="CSI385"/>
      <c r="CSJ385"/>
      <c r="CSK385"/>
      <c r="CSL385"/>
      <c r="CSM385"/>
      <c r="CSN385"/>
      <c r="CSO385"/>
      <c r="CSP385"/>
      <c r="CSQ385"/>
      <c r="CSR385"/>
      <c r="CSS385"/>
      <c r="CST385"/>
      <c r="CSU385"/>
      <c r="CSV385"/>
      <c r="CSW385"/>
      <c r="CSX385"/>
      <c r="CSY385"/>
      <c r="CSZ385"/>
      <c r="CTA385"/>
      <c r="CTB385"/>
      <c r="CTC385"/>
      <c r="CTD385"/>
      <c r="CTE385"/>
      <c r="CTF385"/>
      <c r="CTG385"/>
      <c r="CTH385"/>
      <c r="CTI385"/>
      <c r="CTJ385"/>
      <c r="CTK385"/>
      <c r="CTL385"/>
      <c r="CTM385"/>
      <c r="CTN385"/>
      <c r="CTO385"/>
      <c r="CTP385"/>
      <c r="CTQ385"/>
      <c r="CTR385"/>
      <c r="CTS385"/>
      <c r="CTT385"/>
      <c r="CTU385"/>
      <c r="CTV385"/>
      <c r="CTW385"/>
      <c r="CTX385"/>
      <c r="CTY385"/>
      <c r="CTZ385"/>
      <c r="CUA385"/>
      <c r="CUB385"/>
      <c r="CUC385"/>
      <c r="CUD385"/>
      <c r="CUE385"/>
      <c r="CUF385"/>
      <c r="CUG385"/>
      <c r="CUH385"/>
      <c r="CUI385"/>
      <c r="CUJ385"/>
      <c r="CUK385"/>
      <c r="CUL385"/>
      <c r="CUM385"/>
      <c r="CUN385"/>
      <c r="CUO385"/>
      <c r="CUP385"/>
      <c r="CUQ385"/>
      <c r="CUR385"/>
      <c r="CUS385"/>
      <c r="CUT385"/>
      <c r="CUU385"/>
      <c r="CUV385"/>
      <c r="CUW385"/>
      <c r="CUX385"/>
      <c r="CUY385"/>
      <c r="CUZ385"/>
      <c r="CVA385"/>
      <c r="CVB385"/>
      <c r="CVC385"/>
      <c r="CVD385"/>
      <c r="CVE385"/>
      <c r="CVF385"/>
      <c r="CVG385"/>
      <c r="CVH385"/>
      <c r="CVI385"/>
      <c r="CVJ385"/>
      <c r="CVK385"/>
      <c r="CVL385"/>
      <c r="CVM385"/>
      <c r="CVN385"/>
      <c r="CVO385"/>
      <c r="CVP385"/>
      <c r="CVQ385"/>
      <c r="CVR385"/>
      <c r="CVS385"/>
      <c r="CVT385"/>
      <c r="CVU385"/>
      <c r="CVV385"/>
      <c r="CVW385"/>
      <c r="CVX385"/>
      <c r="CVY385"/>
      <c r="CVZ385"/>
      <c r="CWA385"/>
      <c r="CWB385"/>
      <c r="CWC385"/>
      <c r="CWD385"/>
      <c r="CWE385"/>
      <c r="CWF385"/>
      <c r="CWG385"/>
      <c r="CWH385"/>
      <c r="CWI385"/>
      <c r="CWJ385"/>
      <c r="CWK385"/>
      <c r="CWL385"/>
      <c r="CWM385"/>
      <c r="CWN385"/>
      <c r="CWO385"/>
      <c r="CWP385"/>
      <c r="CWQ385"/>
      <c r="CWR385"/>
      <c r="CWS385"/>
      <c r="CWT385"/>
      <c r="CWU385"/>
      <c r="CWV385"/>
      <c r="CWW385"/>
      <c r="CWX385"/>
      <c r="CWY385"/>
      <c r="CWZ385"/>
      <c r="CXA385"/>
      <c r="CXB385"/>
      <c r="CXC385"/>
      <c r="CXD385"/>
      <c r="CXE385"/>
      <c r="CXF385"/>
      <c r="CXG385"/>
      <c r="CXH385"/>
      <c r="CXI385"/>
      <c r="CXJ385"/>
      <c r="CXK385"/>
      <c r="CXL385"/>
      <c r="CXM385"/>
      <c r="CXN385"/>
      <c r="CXO385"/>
      <c r="CXP385"/>
      <c r="CXQ385"/>
      <c r="CXR385"/>
      <c r="CXS385"/>
      <c r="CXT385"/>
      <c r="CXU385"/>
      <c r="CXV385"/>
      <c r="CXW385"/>
      <c r="CXX385"/>
      <c r="CXY385"/>
      <c r="CXZ385"/>
      <c r="CYA385"/>
      <c r="CYB385"/>
      <c r="CYC385"/>
      <c r="CYD385"/>
      <c r="CYE385"/>
      <c r="CYF385"/>
      <c r="CYG385"/>
      <c r="CYH385"/>
      <c r="CYI385"/>
      <c r="CYJ385"/>
      <c r="CYK385"/>
      <c r="CYL385"/>
      <c r="CYM385"/>
      <c r="CYN385"/>
      <c r="CYO385"/>
      <c r="CYP385"/>
      <c r="CYQ385"/>
      <c r="CYR385"/>
      <c r="CYS385"/>
      <c r="CYT385"/>
      <c r="CYU385"/>
      <c r="CYV385"/>
      <c r="CYW385"/>
      <c r="CYX385"/>
      <c r="CYY385"/>
      <c r="CYZ385"/>
      <c r="CZA385"/>
      <c r="CZB385"/>
      <c r="CZC385"/>
      <c r="CZD385"/>
      <c r="CZE385"/>
      <c r="CZF385"/>
      <c r="CZG385"/>
      <c r="CZH385"/>
      <c r="CZI385"/>
      <c r="CZJ385"/>
      <c r="CZK385"/>
      <c r="CZL385"/>
      <c r="CZM385"/>
      <c r="CZN385"/>
      <c r="CZO385"/>
      <c r="CZP385"/>
      <c r="CZQ385"/>
      <c r="CZR385"/>
      <c r="CZS385"/>
      <c r="CZT385"/>
      <c r="CZU385"/>
      <c r="CZV385"/>
      <c r="CZW385"/>
      <c r="CZX385"/>
      <c r="CZY385"/>
      <c r="CZZ385"/>
      <c r="DAA385"/>
      <c r="DAB385"/>
      <c r="DAC385"/>
      <c r="DAD385"/>
      <c r="DAE385"/>
      <c r="DAF385"/>
      <c r="DAG385"/>
      <c r="DAH385"/>
      <c r="DAI385"/>
      <c r="DAJ385"/>
      <c r="DAK385"/>
      <c r="DAL385"/>
      <c r="DAM385"/>
      <c r="DAN385"/>
      <c r="DAO385"/>
      <c r="DAP385"/>
      <c r="DAQ385"/>
      <c r="DAR385"/>
      <c r="DAS385"/>
      <c r="DAT385"/>
      <c r="DAU385"/>
      <c r="DAV385"/>
      <c r="DAW385"/>
      <c r="DAX385"/>
      <c r="DAY385"/>
      <c r="DAZ385"/>
      <c r="DBA385"/>
      <c r="DBB385"/>
      <c r="DBC385"/>
      <c r="DBD385"/>
      <c r="DBE385"/>
      <c r="DBF385"/>
      <c r="DBG385"/>
      <c r="DBH385"/>
      <c r="DBI385"/>
      <c r="DBJ385"/>
      <c r="DBK385"/>
      <c r="DBL385"/>
      <c r="DBM385"/>
      <c r="DBN385"/>
      <c r="DBO385"/>
      <c r="DBP385"/>
      <c r="DBQ385"/>
      <c r="DBR385"/>
      <c r="DBS385"/>
      <c r="DBT385"/>
      <c r="DBU385"/>
      <c r="DBV385"/>
      <c r="DBW385"/>
      <c r="DBX385"/>
      <c r="DBY385"/>
      <c r="DBZ385"/>
      <c r="DCA385"/>
      <c r="DCB385"/>
      <c r="DCC385"/>
      <c r="DCD385"/>
      <c r="DCE385"/>
      <c r="DCF385"/>
      <c r="DCG385"/>
      <c r="DCH385"/>
      <c r="DCI385"/>
      <c r="DCJ385"/>
      <c r="DCK385"/>
      <c r="DCL385"/>
      <c r="DCM385"/>
      <c r="DCN385"/>
      <c r="DCO385"/>
      <c r="DCP385"/>
      <c r="DCQ385"/>
      <c r="DCR385"/>
      <c r="DCS385"/>
      <c r="DCT385"/>
      <c r="DCU385"/>
      <c r="DCV385"/>
      <c r="DCW385"/>
      <c r="DCX385"/>
      <c r="DCY385"/>
      <c r="DCZ385"/>
      <c r="DDA385"/>
      <c r="DDB385"/>
      <c r="DDC385"/>
      <c r="DDD385"/>
      <c r="DDE385"/>
      <c r="DDF385"/>
      <c r="DDG385"/>
      <c r="DDH385"/>
      <c r="DDI385"/>
      <c r="DDJ385"/>
      <c r="DDK385"/>
      <c r="DDL385"/>
      <c r="DDM385"/>
      <c r="DDN385"/>
      <c r="DDO385"/>
      <c r="DDP385"/>
      <c r="DDQ385"/>
      <c r="DDR385"/>
      <c r="DDS385"/>
      <c r="DDT385"/>
      <c r="DDU385"/>
      <c r="DDV385"/>
      <c r="DDW385"/>
      <c r="DDX385"/>
      <c r="DDY385"/>
      <c r="DDZ385"/>
      <c r="DEA385"/>
      <c r="DEB385"/>
      <c r="DEC385"/>
      <c r="DED385"/>
      <c r="DEE385"/>
      <c r="DEF385"/>
      <c r="DEG385"/>
      <c r="DEH385"/>
      <c r="DEI385"/>
      <c r="DEJ385"/>
      <c r="DEK385"/>
      <c r="DEL385"/>
      <c r="DEM385"/>
      <c r="DEN385"/>
      <c r="DEO385"/>
      <c r="DEP385"/>
      <c r="DEQ385"/>
      <c r="DER385"/>
      <c r="DES385"/>
      <c r="DET385"/>
      <c r="DEU385"/>
      <c r="DEV385"/>
      <c r="DEW385"/>
      <c r="DEX385"/>
      <c r="DEY385"/>
      <c r="DEZ385"/>
      <c r="DFA385"/>
      <c r="DFB385"/>
      <c r="DFC385"/>
      <c r="DFD385"/>
      <c r="DFE385"/>
      <c r="DFF385"/>
      <c r="DFG385"/>
      <c r="DFH385"/>
      <c r="DFI385"/>
      <c r="DFJ385"/>
      <c r="DFK385"/>
      <c r="DFL385"/>
      <c r="DFM385"/>
      <c r="DFN385"/>
      <c r="DFO385"/>
      <c r="DFP385"/>
      <c r="DFQ385"/>
      <c r="DFR385"/>
      <c r="DFS385"/>
      <c r="DFT385"/>
      <c r="DFU385"/>
      <c r="DFV385"/>
      <c r="DFW385"/>
      <c r="DFX385"/>
      <c r="DFY385"/>
      <c r="DFZ385"/>
      <c r="DGA385"/>
      <c r="DGB385"/>
      <c r="DGC385"/>
      <c r="DGD385"/>
      <c r="DGE385"/>
      <c r="DGF385"/>
      <c r="DGG385"/>
      <c r="DGH385"/>
      <c r="DGI385"/>
      <c r="DGJ385"/>
      <c r="DGK385"/>
      <c r="DGL385"/>
      <c r="DGM385"/>
      <c r="DGN385"/>
      <c r="DGO385"/>
      <c r="DGP385"/>
      <c r="DGQ385"/>
      <c r="DGR385"/>
      <c r="DGS385"/>
      <c r="DGT385"/>
      <c r="DGU385"/>
      <c r="DGV385"/>
      <c r="DGW385"/>
      <c r="DGX385"/>
      <c r="DGY385"/>
      <c r="DGZ385"/>
      <c r="DHA385"/>
      <c r="DHB385"/>
      <c r="DHC385"/>
      <c r="DHD385"/>
      <c r="DHE385"/>
      <c r="DHF385"/>
      <c r="DHG385"/>
      <c r="DHH385"/>
      <c r="DHI385"/>
      <c r="DHJ385"/>
      <c r="DHK385"/>
      <c r="DHL385"/>
      <c r="DHM385"/>
      <c r="DHN385"/>
      <c r="DHO385"/>
      <c r="DHP385"/>
      <c r="DHQ385"/>
      <c r="DHR385"/>
      <c r="DHS385"/>
      <c r="DHT385"/>
      <c r="DHU385"/>
      <c r="DHV385"/>
      <c r="DHW385"/>
      <c r="DHX385"/>
      <c r="DHY385"/>
      <c r="DHZ385"/>
      <c r="DIA385"/>
      <c r="DIB385"/>
      <c r="DIC385"/>
      <c r="DID385"/>
      <c r="DIE385"/>
      <c r="DIF385"/>
      <c r="DIG385"/>
      <c r="DIH385"/>
      <c r="DII385"/>
      <c r="DIJ385"/>
      <c r="DIK385"/>
      <c r="DIL385"/>
      <c r="DIM385"/>
      <c r="DIN385"/>
      <c r="DIO385"/>
      <c r="DIP385"/>
      <c r="DIQ385"/>
      <c r="DIR385"/>
      <c r="DIS385"/>
      <c r="DIT385"/>
      <c r="DIU385"/>
      <c r="DIV385"/>
      <c r="DIW385"/>
      <c r="DIX385"/>
      <c r="DIY385"/>
      <c r="DIZ385"/>
      <c r="DJA385"/>
      <c r="DJB385"/>
      <c r="DJC385"/>
      <c r="DJD385"/>
      <c r="DJE385"/>
      <c r="DJF385"/>
      <c r="DJG385"/>
      <c r="DJH385"/>
      <c r="DJI385"/>
      <c r="DJJ385"/>
      <c r="DJK385"/>
      <c r="DJL385"/>
      <c r="DJM385"/>
      <c r="DJN385"/>
      <c r="DJO385"/>
      <c r="DJP385"/>
      <c r="DJQ385"/>
      <c r="DJR385"/>
      <c r="DJS385"/>
      <c r="DJT385"/>
      <c r="DJU385"/>
      <c r="DJV385"/>
      <c r="DJW385"/>
      <c r="DJX385"/>
      <c r="DJY385"/>
      <c r="DJZ385"/>
      <c r="DKA385"/>
      <c r="DKB385"/>
      <c r="DKC385"/>
      <c r="DKD385"/>
      <c r="DKE385"/>
      <c r="DKF385"/>
      <c r="DKG385"/>
      <c r="DKH385"/>
      <c r="DKI385"/>
      <c r="DKJ385"/>
      <c r="DKK385"/>
      <c r="DKL385"/>
      <c r="DKM385"/>
      <c r="DKN385"/>
      <c r="DKO385"/>
      <c r="DKP385"/>
      <c r="DKQ385"/>
      <c r="DKR385"/>
      <c r="DKS385"/>
      <c r="DKT385"/>
      <c r="DKU385"/>
      <c r="DKV385"/>
      <c r="DKW385"/>
      <c r="DKX385"/>
      <c r="DKY385"/>
      <c r="DKZ385"/>
      <c r="DLA385"/>
      <c r="DLB385"/>
      <c r="DLC385"/>
      <c r="DLD385"/>
      <c r="DLE385"/>
      <c r="DLF385"/>
      <c r="DLG385"/>
      <c r="DLH385"/>
      <c r="DLI385"/>
      <c r="DLJ385"/>
      <c r="DLK385"/>
      <c r="DLL385"/>
      <c r="DLM385"/>
      <c r="DLN385"/>
      <c r="DLO385"/>
      <c r="DLP385"/>
      <c r="DLQ385"/>
      <c r="DLR385"/>
      <c r="DLS385"/>
      <c r="DLT385"/>
      <c r="DLU385"/>
      <c r="DLV385"/>
      <c r="DLW385"/>
      <c r="DLX385"/>
      <c r="DLY385"/>
      <c r="DLZ385"/>
      <c r="DMA385"/>
      <c r="DMB385"/>
      <c r="DMC385"/>
      <c r="DMD385"/>
      <c r="DME385"/>
      <c r="DMF385"/>
      <c r="DMG385"/>
      <c r="DMH385"/>
      <c r="DMI385"/>
      <c r="DMJ385"/>
      <c r="DMK385"/>
      <c r="DML385"/>
      <c r="DMM385"/>
      <c r="DMN385"/>
      <c r="DMO385"/>
      <c r="DMP385"/>
      <c r="DMQ385"/>
      <c r="DMR385"/>
      <c r="DMS385"/>
      <c r="DMT385"/>
      <c r="DMU385"/>
      <c r="DMV385"/>
      <c r="DMW385"/>
      <c r="DMX385"/>
      <c r="DMY385"/>
      <c r="DMZ385"/>
      <c r="DNA385"/>
      <c r="DNB385"/>
      <c r="DNC385"/>
      <c r="DND385"/>
      <c r="DNE385"/>
      <c r="DNF385"/>
      <c r="DNG385"/>
      <c r="DNH385"/>
      <c r="DNI385"/>
      <c r="DNJ385"/>
      <c r="DNK385"/>
      <c r="DNL385"/>
      <c r="DNM385"/>
      <c r="DNN385"/>
      <c r="DNO385"/>
      <c r="DNP385"/>
      <c r="DNQ385"/>
      <c r="DNR385"/>
      <c r="DNS385"/>
      <c r="DNT385"/>
      <c r="DNU385"/>
      <c r="DNV385"/>
      <c r="DNW385"/>
      <c r="DNX385"/>
      <c r="DNY385"/>
      <c r="DNZ385"/>
      <c r="DOA385"/>
      <c r="DOB385"/>
      <c r="DOC385"/>
      <c r="DOD385"/>
      <c r="DOE385"/>
      <c r="DOF385"/>
      <c r="DOG385"/>
      <c r="DOH385"/>
      <c r="DOI385"/>
      <c r="DOJ385"/>
      <c r="DOK385"/>
      <c r="DOL385"/>
      <c r="DOM385"/>
      <c r="DON385"/>
      <c r="DOO385"/>
      <c r="DOP385"/>
      <c r="DOQ385"/>
      <c r="DOR385"/>
      <c r="DOS385"/>
      <c r="DOT385"/>
      <c r="DOU385"/>
      <c r="DOV385"/>
      <c r="DOW385"/>
      <c r="DOX385"/>
      <c r="DOY385"/>
      <c r="DOZ385"/>
      <c r="DPA385"/>
      <c r="DPB385"/>
      <c r="DPC385"/>
      <c r="DPD385"/>
      <c r="DPE385"/>
      <c r="DPF385"/>
      <c r="DPG385"/>
      <c r="DPH385"/>
      <c r="DPI385"/>
      <c r="DPJ385"/>
      <c r="DPK385"/>
      <c r="DPL385"/>
      <c r="DPM385"/>
      <c r="DPN385"/>
      <c r="DPO385"/>
      <c r="DPP385"/>
      <c r="DPQ385"/>
      <c r="DPR385"/>
      <c r="DPS385"/>
      <c r="DPT385"/>
      <c r="DPU385"/>
      <c r="DPV385"/>
      <c r="DPW385"/>
      <c r="DPX385"/>
      <c r="DPY385"/>
      <c r="DPZ385"/>
      <c r="DQA385"/>
      <c r="DQB385"/>
      <c r="DQC385"/>
      <c r="DQD385"/>
      <c r="DQE385"/>
      <c r="DQF385"/>
      <c r="DQG385"/>
      <c r="DQH385"/>
      <c r="DQI385"/>
      <c r="DQJ385"/>
      <c r="DQK385"/>
      <c r="DQL385"/>
      <c r="DQM385"/>
      <c r="DQN385"/>
      <c r="DQO385"/>
      <c r="DQP385"/>
      <c r="DQQ385"/>
      <c r="DQR385"/>
      <c r="DQS385"/>
      <c r="DQT385"/>
      <c r="DQU385"/>
      <c r="DQV385"/>
      <c r="DQW385"/>
      <c r="DQX385"/>
      <c r="DQY385"/>
      <c r="DQZ385"/>
      <c r="DRA385"/>
      <c r="DRB385"/>
      <c r="DRC385"/>
      <c r="DRD385"/>
      <c r="DRE385"/>
      <c r="DRF385"/>
      <c r="DRG385"/>
      <c r="DRH385"/>
      <c r="DRI385"/>
      <c r="DRJ385"/>
      <c r="DRK385"/>
      <c r="DRL385"/>
      <c r="DRM385"/>
      <c r="DRN385"/>
      <c r="DRO385"/>
      <c r="DRP385"/>
      <c r="DRQ385"/>
      <c r="DRR385"/>
      <c r="DRS385"/>
      <c r="DRT385"/>
      <c r="DRU385"/>
      <c r="DRV385"/>
      <c r="DRW385"/>
      <c r="DRX385"/>
      <c r="DRY385"/>
      <c r="DRZ385"/>
      <c r="DSA385"/>
      <c r="DSB385"/>
      <c r="DSC385"/>
      <c r="DSD385"/>
      <c r="DSE385"/>
      <c r="DSF385"/>
      <c r="DSG385"/>
      <c r="DSH385"/>
      <c r="DSI385"/>
      <c r="DSJ385"/>
      <c r="DSK385"/>
      <c r="DSL385"/>
      <c r="DSM385"/>
      <c r="DSN385"/>
      <c r="DSO385"/>
      <c r="DSP385"/>
      <c r="DSQ385"/>
      <c r="DSR385"/>
      <c r="DSS385"/>
      <c r="DST385"/>
      <c r="DSU385"/>
      <c r="DSV385"/>
      <c r="DSW385"/>
      <c r="DSX385"/>
      <c r="DSY385"/>
      <c r="DSZ385"/>
      <c r="DTA385"/>
      <c r="DTB385"/>
      <c r="DTC385"/>
      <c r="DTD385"/>
      <c r="DTE385"/>
      <c r="DTF385"/>
      <c r="DTG385"/>
      <c r="DTH385"/>
      <c r="DTI385"/>
      <c r="DTJ385"/>
      <c r="DTK385"/>
      <c r="DTL385"/>
      <c r="DTM385"/>
      <c r="DTN385"/>
      <c r="DTO385"/>
      <c r="DTP385"/>
      <c r="DTQ385"/>
      <c r="DTR385"/>
      <c r="DTS385"/>
      <c r="DTT385"/>
      <c r="DTU385"/>
      <c r="DTV385"/>
      <c r="DTW385"/>
      <c r="DTX385"/>
      <c r="DTY385"/>
      <c r="DTZ385"/>
      <c r="DUA385"/>
      <c r="DUB385"/>
      <c r="DUC385"/>
      <c r="DUD385"/>
      <c r="DUE385"/>
      <c r="DUF385"/>
      <c r="DUG385"/>
      <c r="DUH385"/>
      <c r="DUI385"/>
      <c r="DUJ385"/>
      <c r="DUK385"/>
      <c r="DUL385"/>
      <c r="DUM385"/>
      <c r="DUN385"/>
      <c r="DUO385"/>
      <c r="DUP385"/>
      <c r="DUQ385"/>
      <c r="DUR385"/>
      <c r="DUS385"/>
      <c r="DUT385"/>
      <c r="DUU385"/>
      <c r="DUV385"/>
      <c r="DUW385"/>
      <c r="DUX385"/>
      <c r="DUY385"/>
      <c r="DUZ385"/>
      <c r="DVA385"/>
      <c r="DVB385"/>
      <c r="DVC385"/>
      <c r="DVD385"/>
      <c r="DVE385"/>
      <c r="DVF385"/>
      <c r="DVG385"/>
      <c r="DVH385"/>
      <c r="DVI385"/>
      <c r="DVJ385"/>
      <c r="DVK385"/>
      <c r="DVL385"/>
      <c r="DVM385"/>
      <c r="DVN385"/>
      <c r="DVO385"/>
      <c r="DVP385"/>
      <c r="DVQ385"/>
      <c r="DVR385"/>
      <c r="DVS385"/>
      <c r="DVT385"/>
      <c r="DVU385"/>
      <c r="DVV385"/>
      <c r="DVW385"/>
      <c r="DVX385"/>
      <c r="DVY385"/>
      <c r="DVZ385"/>
      <c r="DWA385"/>
      <c r="DWB385"/>
      <c r="DWC385"/>
      <c r="DWD385"/>
      <c r="DWE385"/>
      <c r="DWF385"/>
      <c r="DWG385"/>
      <c r="DWH385"/>
      <c r="DWI385"/>
      <c r="DWJ385"/>
      <c r="DWK385"/>
      <c r="DWL385"/>
      <c r="DWM385"/>
      <c r="DWN385"/>
      <c r="DWO385"/>
      <c r="DWP385"/>
      <c r="DWQ385"/>
      <c r="DWR385"/>
      <c r="DWS385"/>
      <c r="DWT385"/>
      <c r="DWU385"/>
      <c r="DWV385"/>
      <c r="DWW385"/>
      <c r="DWX385"/>
      <c r="DWY385"/>
      <c r="DWZ385"/>
      <c r="DXA385"/>
      <c r="DXB385"/>
      <c r="DXC385"/>
      <c r="DXD385"/>
      <c r="DXE385"/>
      <c r="DXF385"/>
      <c r="DXG385"/>
      <c r="DXH385"/>
      <c r="DXI385"/>
      <c r="DXJ385"/>
      <c r="DXK385"/>
      <c r="DXL385"/>
      <c r="DXM385"/>
      <c r="DXN385"/>
      <c r="DXO385"/>
      <c r="DXP385"/>
      <c r="DXQ385"/>
      <c r="DXR385"/>
      <c r="DXS385"/>
      <c r="DXT385"/>
      <c r="DXU385"/>
      <c r="DXV385"/>
      <c r="DXW385"/>
      <c r="DXX385"/>
      <c r="DXY385"/>
      <c r="DXZ385"/>
      <c r="DYA385"/>
      <c r="DYB385"/>
      <c r="DYC385"/>
      <c r="DYD385"/>
      <c r="DYE385"/>
      <c r="DYF385"/>
      <c r="DYG385"/>
      <c r="DYH385"/>
      <c r="DYI385"/>
      <c r="DYJ385"/>
      <c r="DYK385"/>
      <c r="DYL385"/>
      <c r="DYM385"/>
      <c r="DYN385"/>
      <c r="DYO385"/>
      <c r="DYP385"/>
      <c r="DYQ385"/>
      <c r="DYR385"/>
      <c r="DYS385"/>
      <c r="DYT385"/>
      <c r="DYU385"/>
      <c r="DYV385"/>
      <c r="DYW385"/>
      <c r="DYX385"/>
      <c r="DYY385"/>
      <c r="DYZ385"/>
      <c r="DZA385"/>
      <c r="DZB385"/>
      <c r="DZC385"/>
      <c r="DZD385"/>
      <c r="DZE385"/>
      <c r="DZF385"/>
      <c r="DZG385"/>
      <c r="DZH385"/>
      <c r="DZI385"/>
      <c r="DZJ385"/>
      <c r="DZK385"/>
      <c r="DZL385"/>
      <c r="DZM385"/>
      <c r="DZN385"/>
      <c r="DZO385"/>
      <c r="DZP385"/>
      <c r="DZQ385"/>
      <c r="DZR385"/>
      <c r="DZS385"/>
      <c r="DZT385"/>
      <c r="DZU385"/>
      <c r="DZV385"/>
      <c r="DZW385"/>
      <c r="DZX385"/>
      <c r="DZY385"/>
      <c r="DZZ385"/>
      <c r="EAA385"/>
      <c r="EAB385"/>
      <c r="EAC385"/>
      <c r="EAD385"/>
      <c r="EAE385"/>
      <c r="EAF385"/>
      <c r="EAG385"/>
      <c r="EAH385"/>
      <c r="EAI385"/>
      <c r="EAJ385"/>
      <c r="EAK385"/>
      <c r="EAL385"/>
      <c r="EAM385"/>
      <c r="EAN385"/>
      <c r="EAO385"/>
      <c r="EAP385"/>
      <c r="EAQ385"/>
      <c r="EAR385"/>
      <c r="EAS385"/>
      <c r="EAT385"/>
      <c r="EAU385"/>
      <c r="EAV385"/>
      <c r="EAW385"/>
      <c r="EAX385"/>
      <c r="EAY385"/>
      <c r="EAZ385"/>
      <c r="EBA385"/>
      <c r="EBB385"/>
      <c r="EBC385"/>
      <c r="EBD385"/>
      <c r="EBE385"/>
      <c r="EBF385"/>
      <c r="EBG385"/>
      <c r="EBH385"/>
      <c r="EBI385"/>
      <c r="EBJ385"/>
      <c r="EBK385"/>
      <c r="EBL385"/>
      <c r="EBM385"/>
      <c r="EBN385"/>
      <c r="EBO385"/>
      <c r="EBP385"/>
      <c r="EBQ385"/>
      <c r="EBR385"/>
      <c r="EBS385"/>
      <c r="EBT385"/>
      <c r="EBU385"/>
      <c r="EBV385"/>
      <c r="EBW385"/>
      <c r="EBX385"/>
      <c r="EBY385"/>
      <c r="EBZ385"/>
      <c r="ECA385"/>
      <c r="ECB385"/>
      <c r="ECC385"/>
      <c r="ECD385"/>
      <c r="ECE385"/>
      <c r="ECF385"/>
      <c r="ECG385"/>
      <c r="ECH385"/>
      <c r="ECI385"/>
      <c r="ECJ385"/>
      <c r="ECK385"/>
      <c r="ECL385"/>
      <c r="ECM385"/>
      <c r="ECN385"/>
      <c r="ECO385"/>
      <c r="ECP385"/>
      <c r="ECQ385"/>
      <c r="ECR385"/>
      <c r="ECS385"/>
      <c r="ECT385"/>
      <c r="ECU385"/>
      <c r="ECV385"/>
      <c r="ECW385"/>
      <c r="ECX385"/>
      <c r="ECY385"/>
      <c r="ECZ385"/>
      <c r="EDA385"/>
      <c r="EDB385"/>
      <c r="EDC385"/>
      <c r="EDD385"/>
      <c r="EDE385"/>
      <c r="EDF385"/>
      <c r="EDG385"/>
      <c r="EDH385"/>
      <c r="EDI385"/>
      <c r="EDJ385"/>
      <c r="EDK385"/>
      <c r="EDL385"/>
      <c r="EDM385"/>
      <c r="EDN385"/>
      <c r="EDO385"/>
      <c r="EDP385"/>
      <c r="EDQ385"/>
      <c r="EDR385"/>
      <c r="EDS385"/>
      <c r="EDT385"/>
      <c r="EDU385"/>
      <c r="EDV385"/>
      <c r="EDW385"/>
      <c r="EDX385"/>
      <c r="EDY385"/>
      <c r="EDZ385"/>
      <c r="EEA385"/>
      <c r="EEB385"/>
      <c r="EEC385"/>
      <c r="EED385"/>
      <c r="EEE385"/>
      <c r="EEF385"/>
      <c r="EEG385"/>
      <c r="EEH385"/>
      <c r="EEI385"/>
      <c r="EEJ385"/>
      <c r="EEK385"/>
      <c r="EEL385"/>
      <c r="EEM385"/>
      <c r="EEN385"/>
      <c r="EEO385"/>
      <c r="EEP385"/>
      <c r="EEQ385"/>
      <c r="EER385"/>
      <c r="EES385"/>
      <c r="EET385"/>
      <c r="EEU385"/>
      <c r="EEV385"/>
      <c r="EEW385"/>
      <c r="EEX385"/>
      <c r="EEY385"/>
      <c r="EEZ385"/>
      <c r="EFA385"/>
      <c r="EFB385"/>
      <c r="EFC385"/>
      <c r="EFD385"/>
      <c r="EFE385"/>
      <c r="EFF385"/>
      <c r="EFG385"/>
      <c r="EFH385"/>
      <c r="EFI385"/>
      <c r="EFJ385"/>
      <c r="EFK385"/>
      <c r="EFL385"/>
      <c r="EFM385"/>
      <c r="EFN385"/>
      <c r="EFO385"/>
      <c r="EFP385"/>
      <c r="EFQ385"/>
      <c r="EFR385"/>
      <c r="EFS385"/>
      <c r="EFT385"/>
      <c r="EFU385"/>
      <c r="EFV385"/>
      <c r="EFW385"/>
      <c r="EFX385"/>
      <c r="EFY385"/>
      <c r="EFZ385"/>
      <c r="EGA385"/>
      <c r="EGB385"/>
      <c r="EGC385"/>
      <c r="EGD385"/>
      <c r="EGE385"/>
      <c r="EGF385"/>
      <c r="EGG385"/>
      <c r="EGH385"/>
      <c r="EGI385"/>
      <c r="EGJ385"/>
      <c r="EGK385"/>
      <c r="EGL385"/>
      <c r="EGM385"/>
      <c r="EGN385"/>
      <c r="EGO385"/>
      <c r="EGP385"/>
      <c r="EGQ385"/>
      <c r="EGR385"/>
      <c r="EGS385"/>
      <c r="EGT385"/>
      <c r="EGU385"/>
      <c r="EGV385"/>
      <c r="EGW385"/>
      <c r="EGX385"/>
      <c r="EGY385"/>
      <c r="EGZ385"/>
      <c r="EHA385"/>
      <c r="EHB385"/>
      <c r="EHC385"/>
      <c r="EHD385"/>
      <c r="EHE385"/>
      <c r="EHF385"/>
      <c r="EHG385"/>
      <c r="EHH385"/>
      <c r="EHI385"/>
      <c r="EHJ385"/>
      <c r="EHK385"/>
      <c r="EHL385"/>
      <c r="EHM385"/>
      <c r="EHN385"/>
      <c r="EHO385"/>
      <c r="EHP385"/>
      <c r="EHQ385"/>
      <c r="EHR385"/>
      <c r="EHS385"/>
      <c r="EHT385"/>
      <c r="EHU385"/>
      <c r="EHV385"/>
      <c r="EHW385"/>
      <c r="EHX385"/>
      <c r="EHY385"/>
      <c r="EHZ385"/>
      <c r="EIA385"/>
      <c r="EIB385"/>
      <c r="EIC385"/>
      <c r="EID385"/>
      <c r="EIE385"/>
      <c r="EIF385"/>
      <c r="EIG385"/>
      <c r="EIH385"/>
      <c r="EII385"/>
      <c r="EIJ385"/>
      <c r="EIK385"/>
      <c r="EIL385"/>
      <c r="EIM385"/>
      <c r="EIN385"/>
      <c r="EIO385"/>
      <c r="EIP385"/>
      <c r="EIQ385"/>
      <c r="EIR385"/>
      <c r="EIS385"/>
      <c r="EIT385"/>
      <c r="EIU385"/>
      <c r="EIV385"/>
      <c r="EIW385"/>
      <c r="EIX385"/>
      <c r="EIY385"/>
      <c r="EIZ385"/>
      <c r="EJA385"/>
      <c r="EJB385"/>
      <c r="EJC385"/>
      <c r="EJD385"/>
      <c r="EJE385"/>
      <c r="EJF385"/>
      <c r="EJG385"/>
      <c r="EJH385"/>
      <c r="EJI385"/>
      <c r="EJJ385"/>
      <c r="EJK385"/>
      <c r="EJL385"/>
      <c r="EJM385"/>
      <c r="EJN385"/>
      <c r="EJO385"/>
      <c r="EJP385"/>
      <c r="EJQ385"/>
      <c r="EJR385"/>
      <c r="EJS385"/>
      <c r="EJT385"/>
      <c r="EJU385"/>
      <c r="EJV385"/>
      <c r="EJW385"/>
      <c r="EJX385"/>
      <c r="EJY385"/>
      <c r="EJZ385"/>
      <c r="EKA385"/>
      <c r="EKB385"/>
      <c r="EKC385"/>
      <c r="EKD385"/>
      <c r="EKE385"/>
      <c r="EKF385"/>
      <c r="EKG385"/>
      <c r="EKH385"/>
      <c r="EKI385"/>
      <c r="EKJ385"/>
      <c r="EKK385"/>
      <c r="EKL385"/>
      <c r="EKM385"/>
      <c r="EKN385"/>
      <c r="EKO385"/>
      <c r="EKP385"/>
      <c r="EKQ385"/>
      <c r="EKR385"/>
      <c r="EKS385"/>
      <c r="EKT385"/>
      <c r="EKU385"/>
      <c r="EKV385"/>
      <c r="EKW385"/>
      <c r="EKX385"/>
      <c r="EKY385"/>
      <c r="EKZ385"/>
      <c r="ELA385"/>
      <c r="ELB385"/>
      <c r="ELC385"/>
      <c r="ELD385"/>
      <c r="ELE385"/>
      <c r="ELF385"/>
      <c r="ELG385"/>
      <c r="ELH385"/>
      <c r="ELI385"/>
      <c r="ELJ385"/>
      <c r="ELK385"/>
      <c r="ELL385"/>
      <c r="ELM385"/>
      <c r="ELN385"/>
      <c r="ELO385"/>
      <c r="ELP385"/>
      <c r="ELQ385"/>
      <c r="ELR385"/>
      <c r="ELS385"/>
      <c r="ELT385"/>
      <c r="ELU385"/>
      <c r="ELV385"/>
      <c r="ELW385"/>
      <c r="ELX385"/>
      <c r="ELY385"/>
      <c r="ELZ385"/>
      <c r="EMA385"/>
      <c r="EMB385"/>
      <c r="EMC385"/>
      <c r="EMD385"/>
      <c r="EME385"/>
      <c r="EMF385"/>
      <c r="EMG385"/>
      <c r="EMH385"/>
      <c r="EMI385"/>
      <c r="EMJ385"/>
      <c r="EMK385"/>
      <c r="EML385"/>
      <c r="EMM385"/>
      <c r="EMN385"/>
      <c r="EMO385"/>
      <c r="EMP385"/>
      <c r="EMQ385"/>
      <c r="EMR385"/>
      <c r="EMS385"/>
      <c r="EMT385"/>
      <c r="EMU385"/>
      <c r="EMV385"/>
      <c r="EMW385"/>
      <c r="EMX385"/>
      <c r="EMY385"/>
      <c r="EMZ385"/>
      <c r="ENA385"/>
      <c r="ENB385"/>
      <c r="ENC385"/>
      <c r="END385"/>
      <c r="ENE385"/>
      <c r="ENF385"/>
      <c r="ENG385"/>
      <c r="ENH385"/>
      <c r="ENI385"/>
      <c r="ENJ385"/>
      <c r="ENK385"/>
      <c r="ENL385"/>
      <c r="ENM385"/>
      <c r="ENN385"/>
      <c r="ENO385"/>
      <c r="ENP385"/>
      <c r="ENQ385"/>
      <c r="ENR385"/>
      <c r="ENS385"/>
      <c r="ENT385"/>
      <c r="ENU385"/>
      <c r="ENV385"/>
      <c r="ENW385"/>
      <c r="ENX385"/>
      <c r="ENY385"/>
      <c r="ENZ385"/>
      <c r="EOA385"/>
      <c r="EOB385"/>
      <c r="EOC385"/>
      <c r="EOD385"/>
      <c r="EOE385"/>
      <c r="EOF385"/>
      <c r="EOG385"/>
      <c r="EOH385"/>
      <c r="EOI385"/>
      <c r="EOJ385"/>
      <c r="EOK385"/>
      <c r="EOL385"/>
      <c r="EOM385"/>
      <c r="EON385"/>
      <c r="EOO385"/>
      <c r="EOP385"/>
      <c r="EOQ385"/>
      <c r="EOR385"/>
      <c r="EOS385"/>
      <c r="EOT385"/>
      <c r="EOU385"/>
      <c r="EOV385"/>
      <c r="EOW385"/>
      <c r="EOX385"/>
      <c r="EOY385"/>
      <c r="EOZ385"/>
      <c r="EPA385"/>
      <c r="EPB385"/>
      <c r="EPC385"/>
      <c r="EPD385"/>
      <c r="EPE385"/>
      <c r="EPF385"/>
      <c r="EPG385"/>
      <c r="EPH385"/>
      <c r="EPI385"/>
      <c r="EPJ385"/>
      <c r="EPK385"/>
      <c r="EPL385"/>
      <c r="EPM385"/>
      <c r="EPN385"/>
      <c r="EPO385"/>
      <c r="EPP385"/>
      <c r="EPQ385"/>
      <c r="EPR385"/>
      <c r="EPS385"/>
      <c r="EPT385"/>
      <c r="EPU385"/>
      <c r="EPV385"/>
      <c r="EPW385"/>
      <c r="EPX385"/>
      <c r="EPY385"/>
      <c r="EPZ385"/>
      <c r="EQA385"/>
      <c r="EQB385"/>
      <c r="EQC385"/>
      <c r="EQD385"/>
      <c r="EQE385"/>
      <c r="EQF385"/>
      <c r="EQG385"/>
      <c r="EQH385"/>
      <c r="EQI385"/>
      <c r="EQJ385"/>
      <c r="EQK385"/>
      <c r="EQL385"/>
      <c r="EQM385"/>
      <c r="EQN385"/>
      <c r="EQO385"/>
      <c r="EQP385"/>
      <c r="EQQ385"/>
      <c r="EQR385"/>
      <c r="EQS385"/>
      <c r="EQT385"/>
      <c r="EQU385"/>
      <c r="EQV385"/>
      <c r="EQW385"/>
      <c r="EQX385"/>
      <c r="EQY385"/>
      <c r="EQZ385"/>
      <c r="ERA385"/>
      <c r="ERB385"/>
      <c r="ERC385"/>
      <c r="ERD385"/>
      <c r="ERE385"/>
      <c r="ERF385"/>
      <c r="ERG385"/>
      <c r="ERH385"/>
      <c r="ERI385"/>
      <c r="ERJ385"/>
      <c r="ERK385"/>
      <c r="ERL385"/>
      <c r="ERM385"/>
      <c r="ERN385"/>
      <c r="ERO385"/>
      <c r="ERP385"/>
      <c r="ERQ385"/>
      <c r="ERR385"/>
      <c r="ERS385"/>
      <c r="ERT385"/>
      <c r="ERU385"/>
      <c r="ERV385"/>
      <c r="ERW385"/>
      <c r="ERX385"/>
      <c r="ERY385"/>
      <c r="ERZ385"/>
      <c r="ESA385"/>
      <c r="ESB385"/>
      <c r="ESC385"/>
      <c r="ESD385"/>
      <c r="ESE385"/>
      <c r="ESF385"/>
      <c r="ESG385"/>
      <c r="ESH385"/>
      <c r="ESI385"/>
      <c r="ESJ385"/>
      <c r="ESK385"/>
      <c r="ESL385"/>
      <c r="ESM385"/>
      <c r="ESN385"/>
      <c r="ESO385"/>
      <c r="ESP385"/>
      <c r="ESQ385"/>
      <c r="ESR385"/>
      <c r="ESS385"/>
      <c r="EST385"/>
      <c r="ESU385"/>
      <c r="ESV385"/>
      <c r="ESW385"/>
      <c r="ESX385"/>
      <c r="ESY385"/>
      <c r="ESZ385"/>
      <c r="ETA385"/>
      <c r="ETB385"/>
      <c r="ETC385"/>
      <c r="ETD385"/>
      <c r="ETE385"/>
      <c r="ETF385"/>
      <c r="ETG385"/>
      <c r="ETH385"/>
      <c r="ETI385"/>
      <c r="ETJ385"/>
      <c r="ETK385"/>
      <c r="ETL385"/>
      <c r="ETM385"/>
      <c r="ETN385"/>
      <c r="ETO385"/>
      <c r="ETP385"/>
      <c r="ETQ385"/>
      <c r="ETR385"/>
      <c r="ETS385"/>
      <c r="ETT385"/>
      <c r="ETU385"/>
      <c r="ETV385"/>
      <c r="ETW385"/>
      <c r="ETX385"/>
      <c r="ETY385"/>
      <c r="ETZ385"/>
      <c r="EUA385"/>
      <c r="EUB385"/>
      <c r="EUC385"/>
      <c r="EUD385"/>
      <c r="EUE385"/>
      <c r="EUF385"/>
      <c r="EUG385"/>
      <c r="EUH385"/>
      <c r="EUI385"/>
      <c r="EUJ385"/>
      <c r="EUK385"/>
      <c r="EUL385"/>
      <c r="EUM385"/>
      <c r="EUN385"/>
      <c r="EUO385"/>
      <c r="EUP385"/>
      <c r="EUQ385"/>
      <c r="EUR385"/>
      <c r="EUS385"/>
      <c r="EUT385"/>
      <c r="EUU385"/>
      <c r="EUV385"/>
      <c r="EUW385"/>
      <c r="EUX385"/>
      <c r="EUY385"/>
      <c r="EUZ385"/>
      <c r="EVA385"/>
      <c r="EVB385"/>
      <c r="EVC385"/>
      <c r="EVD385"/>
      <c r="EVE385"/>
      <c r="EVF385"/>
      <c r="EVG385"/>
      <c r="EVH385"/>
      <c r="EVI385"/>
      <c r="EVJ385"/>
      <c r="EVK385"/>
      <c r="EVL385"/>
      <c r="EVM385"/>
      <c r="EVN385"/>
      <c r="EVO385"/>
      <c r="EVP385"/>
      <c r="EVQ385"/>
      <c r="EVR385"/>
      <c r="EVS385"/>
      <c r="EVT385"/>
      <c r="EVU385"/>
      <c r="EVV385"/>
      <c r="EVW385"/>
      <c r="EVX385"/>
      <c r="EVY385"/>
      <c r="EVZ385"/>
      <c r="EWA385"/>
      <c r="EWB385"/>
      <c r="EWC385"/>
      <c r="EWD385"/>
      <c r="EWE385"/>
      <c r="EWF385"/>
      <c r="EWG385"/>
      <c r="EWH385"/>
      <c r="EWI385"/>
      <c r="EWJ385"/>
      <c r="EWK385"/>
      <c r="EWL385"/>
      <c r="EWM385"/>
      <c r="EWN385"/>
      <c r="EWO385"/>
      <c r="EWP385"/>
      <c r="EWQ385"/>
      <c r="EWR385"/>
      <c r="EWS385"/>
      <c r="EWT385"/>
      <c r="EWU385"/>
      <c r="EWV385"/>
      <c r="EWW385"/>
      <c r="EWX385"/>
      <c r="EWY385"/>
      <c r="EWZ385"/>
      <c r="EXA385"/>
      <c r="EXB385"/>
      <c r="EXC385"/>
      <c r="EXD385"/>
      <c r="EXE385"/>
      <c r="EXF385"/>
      <c r="EXG385"/>
      <c r="EXH385"/>
      <c r="EXI385"/>
      <c r="EXJ385"/>
      <c r="EXK385"/>
      <c r="EXL385"/>
      <c r="EXM385"/>
      <c r="EXN385"/>
      <c r="EXO385"/>
      <c r="EXP385"/>
      <c r="EXQ385"/>
      <c r="EXR385"/>
      <c r="EXS385"/>
      <c r="EXT385"/>
      <c r="EXU385"/>
      <c r="EXV385"/>
      <c r="EXW385"/>
      <c r="EXX385"/>
      <c r="EXY385"/>
      <c r="EXZ385"/>
      <c r="EYA385"/>
      <c r="EYB385"/>
      <c r="EYC385"/>
      <c r="EYD385"/>
      <c r="EYE385"/>
      <c r="EYF385"/>
      <c r="EYG385"/>
      <c r="EYH385"/>
      <c r="EYI385"/>
      <c r="EYJ385"/>
      <c r="EYK385"/>
      <c r="EYL385"/>
      <c r="EYM385"/>
      <c r="EYN385"/>
      <c r="EYO385"/>
      <c r="EYP385"/>
      <c r="EYQ385"/>
      <c r="EYR385"/>
      <c r="EYS385"/>
      <c r="EYT385"/>
      <c r="EYU385"/>
      <c r="EYV385"/>
      <c r="EYW385"/>
      <c r="EYX385"/>
      <c r="EYY385"/>
      <c r="EYZ385"/>
      <c r="EZA385"/>
      <c r="EZB385"/>
      <c r="EZC385"/>
      <c r="EZD385"/>
      <c r="EZE385"/>
      <c r="EZF385"/>
      <c r="EZG385"/>
      <c r="EZH385"/>
      <c r="EZI385"/>
      <c r="EZJ385"/>
      <c r="EZK385"/>
      <c r="EZL385"/>
      <c r="EZM385"/>
      <c r="EZN385"/>
      <c r="EZO385"/>
      <c r="EZP385"/>
      <c r="EZQ385"/>
      <c r="EZR385"/>
      <c r="EZS385"/>
      <c r="EZT385"/>
      <c r="EZU385"/>
      <c r="EZV385"/>
      <c r="EZW385"/>
      <c r="EZX385"/>
      <c r="EZY385"/>
      <c r="EZZ385"/>
      <c r="FAA385"/>
      <c r="FAB385"/>
      <c r="FAC385"/>
      <c r="FAD385"/>
      <c r="FAE385"/>
      <c r="FAF385"/>
      <c r="FAG385"/>
      <c r="FAH385"/>
      <c r="FAI385"/>
      <c r="FAJ385"/>
      <c r="FAK385"/>
      <c r="FAL385"/>
      <c r="FAM385"/>
      <c r="FAN385"/>
      <c r="FAO385"/>
      <c r="FAP385"/>
      <c r="FAQ385"/>
      <c r="FAR385"/>
      <c r="FAS385"/>
      <c r="FAT385"/>
      <c r="FAU385"/>
      <c r="FAV385"/>
      <c r="FAW385"/>
      <c r="FAX385"/>
      <c r="FAY385"/>
      <c r="FAZ385"/>
      <c r="FBA385"/>
      <c r="FBB385"/>
      <c r="FBC385"/>
      <c r="FBD385"/>
      <c r="FBE385"/>
      <c r="FBF385"/>
      <c r="FBG385"/>
      <c r="FBH385"/>
      <c r="FBI385"/>
      <c r="FBJ385"/>
      <c r="FBK385"/>
      <c r="FBL385"/>
      <c r="FBM385"/>
      <c r="FBN385"/>
      <c r="FBO385"/>
      <c r="FBP385"/>
      <c r="FBQ385"/>
      <c r="FBR385"/>
      <c r="FBS385"/>
      <c r="FBT385"/>
      <c r="FBU385"/>
      <c r="FBV385"/>
      <c r="FBW385"/>
      <c r="FBX385"/>
      <c r="FBY385"/>
      <c r="FBZ385"/>
      <c r="FCA385"/>
      <c r="FCB385"/>
      <c r="FCC385"/>
      <c r="FCD385"/>
      <c r="FCE385"/>
      <c r="FCF385"/>
      <c r="FCG385"/>
      <c r="FCH385"/>
      <c r="FCI385"/>
      <c r="FCJ385"/>
      <c r="FCK385"/>
      <c r="FCL385"/>
      <c r="FCM385"/>
      <c r="FCN385"/>
      <c r="FCO385"/>
      <c r="FCP385"/>
      <c r="FCQ385"/>
      <c r="FCR385"/>
      <c r="FCS385"/>
      <c r="FCT385"/>
      <c r="FCU385"/>
      <c r="FCV385"/>
      <c r="FCW385"/>
      <c r="FCX385"/>
      <c r="FCY385"/>
      <c r="FCZ385"/>
      <c r="FDA385"/>
      <c r="FDB385"/>
      <c r="FDC385"/>
      <c r="FDD385"/>
      <c r="FDE385"/>
      <c r="FDF385"/>
      <c r="FDG385"/>
      <c r="FDH385"/>
      <c r="FDI385"/>
      <c r="FDJ385"/>
      <c r="FDK385"/>
      <c r="FDL385"/>
      <c r="FDM385"/>
      <c r="FDN385"/>
      <c r="FDO385"/>
      <c r="FDP385"/>
      <c r="FDQ385"/>
      <c r="FDR385"/>
      <c r="FDS385"/>
      <c r="FDT385"/>
      <c r="FDU385"/>
      <c r="FDV385"/>
      <c r="FDW385"/>
      <c r="FDX385"/>
      <c r="FDY385"/>
      <c r="FDZ385"/>
      <c r="FEA385"/>
      <c r="FEB385"/>
      <c r="FEC385"/>
      <c r="FED385"/>
      <c r="FEE385"/>
      <c r="FEF385"/>
      <c r="FEG385"/>
      <c r="FEH385"/>
      <c r="FEI385"/>
      <c r="FEJ385"/>
      <c r="FEK385"/>
      <c r="FEL385"/>
      <c r="FEM385"/>
      <c r="FEN385"/>
      <c r="FEO385"/>
      <c r="FEP385"/>
      <c r="FEQ385"/>
      <c r="FER385"/>
      <c r="FES385"/>
      <c r="FET385"/>
      <c r="FEU385"/>
      <c r="FEV385"/>
      <c r="FEW385"/>
      <c r="FEX385"/>
      <c r="FEY385"/>
      <c r="FEZ385"/>
      <c r="FFA385"/>
      <c r="FFB385"/>
      <c r="FFC385"/>
      <c r="FFD385"/>
      <c r="FFE385"/>
      <c r="FFF385"/>
      <c r="FFG385"/>
      <c r="FFH385"/>
      <c r="FFI385"/>
      <c r="FFJ385"/>
      <c r="FFK385"/>
      <c r="FFL385"/>
      <c r="FFM385"/>
      <c r="FFN385"/>
      <c r="FFO385"/>
      <c r="FFP385"/>
      <c r="FFQ385"/>
      <c r="FFR385"/>
      <c r="FFS385"/>
      <c r="FFT385"/>
      <c r="FFU385"/>
      <c r="FFV385"/>
      <c r="FFW385"/>
      <c r="FFX385"/>
      <c r="FFY385"/>
      <c r="FFZ385"/>
      <c r="FGA385"/>
      <c r="FGB385"/>
      <c r="FGC385"/>
      <c r="FGD385"/>
      <c r="FGE385"/>
      <c r="FGF385"/>
      <c r="FGG385"/>
      <c r="FGH385"/>
      <c r="FGI385"/>
      <c r="FGJ385"/>
      <c r="FGK385"/>
      <c r="FGL385"/>
      <c r="FGM385"/>
      <c r="FGN385"/>
      <c r="FGO385"/>
      <c r="FGP385"/>
      <c r="FGQ385"/>
      <c r="FGR385"/>
      <c r="FGS385"/>
      <c r="FGT385"/>
      <c r="FGU385"/>
      <c r="FGV385"/>
      <c r="FGW385"/>
      <c r="FGX385"/>
      <c r="FGY385"/>
      <c r="FGZ385"/>
      <c r="FHA385"/>
      <c r="FHB385"/>
      <c r="FHC385"/>
      <c r="FHD385"/>
      <c r="FHE385"/>
      <c r="FHF385"/>
      <c r="FHG385"/>
      <c r="FHH385"/>
      <c r="FHI385"/>
      <c r="FHJ385"/>
      <c r="FHK385"/>
      <c r="FHL385"/>
      <c r="FHM385"/>
      <c r="FHN385"/>
      <c r="FHO385"/>
      <c r="FHP385"/>
      <c r="FHQ385"/>
      <c r="FHR385"/>
      <c r="FHS385"/>
      <c r="FHT385"/>
      <c r="FHU385"/>
      <c r="FHV385"/>
      <c r="FHW385"/>
      <c r="FHX385"/>
      <c r="FHY385"/>
      <c r="FHZ385"/>
      <c r="FIA385"/>
      <c r="FIB385"/>
      <c r="FIC385"/>
      <c r="FID385"/>
      <c r="FIE385"/>
      <c r="FIF385"/>
      <c r="FIG385"/>
      <c r="FIH385"/>
      <c r="FII385"/>
      <c r="FIJ385"/>
      <c r="FIK385"/>
      <c r="FIL385"/>
      <c r="FIM385"/>
      <c r="FIN385"/>
      <c r="FIO385"/>
      <c r="FIP385"/>
      <c r="FIQ385"/>
      <c r="FIR385"/>
      <c r="FIS385"/>
      <c r="FIT385"/>
      <c r="FIU385"/>
      <c r="FIV385"/>
      <c r="FIW385"/>
      <c r="FIX385"/>
      <c r="FIY385"/>
      <c r="FIZ385"/>
      <c r="FJA385"/>
      <c r="FJB385"/>
      <c r="FJC385"/>
      <c r="FJD385"/>
      <c r="FJE385"/>
      <c r="FJF385"/>
      <c r="FJG385"/>
      <c r="FJH385"/>
      <c r="FJI385"/>
      <c r="FJJ385"/>
      <c r="FJK385"/>
      <c r="FJL385"/>
      <c r="FJM385"/>
      <c r="FJN385"/>
      <c r="FJO385"/>
      <c r="FJP385"/>
      <c r="FJQ385"/>
      <c r="FJR385"/>
      <c r="FJS385"/>
      <c r="FJT385"/>
      <c r="FJU385"/>
      <c r="FJV385"/>
      <c r="FJW385"/>
      <c r="FJX385"/>
      <c r="FJY385"/>
      <c r="FJZ385"/>
      <c r="FKA385"/>
      <c r="FKB385"/>
      <c r="FKC385"/>
      <c r="FKD385"/>
      <c r="FKE385"/>
      <c r="FKF385"/>
      <c r="FKG385"/>
      <c r="FKH385"/>
      <c r="FKI385"/>
      <c r="FKJ385"/>
      <c r="FKK385"/>
      <c r="FKL385"/>
      <c r="FKM385"/>
      <c r="FKN385"/>
      <c r="FKO385"/>
      <c r="FKP385"/>
      <c r="FKQ385"/>
      <c r="FKR385"/>
      <c r="FKS385"/>
      <c r="FKT385"/>
      <c r="FKU385"/>
      <c r="FKV385"/>
      <c r="FKW385"/>
      <c r="FKX385"/>
      <c r="FKY385"/>
      <c r="FKZ385"/>
      <c r="FLA385"/>
      <c r="FLB385"/>
      <c r="FLC385"/>
      <c r="FLD385"/>
      <c r="FLE385"/>
      <c r="FLF385"/>
      <c r="FLG385"/>
      <c r="FLH385"/>
      <c r="FLI385"/>
      <c r="FLJ385"/>
      <c r="FLK385"/>
      <c r="FLL385"/>
      <c r="FLM385"/>
      <c r="FLN385"/>
      <c r="FLO385"/>
      <c r="FLP385"/>
      <c r="FLQ385"/>
      <c r="FLR385"/>
      <c r="FLS385"/>
      <c r="FLT385"/>
      <c r="FLU385"/>
      <c r="FLV385"/>
      <c r="FLW385"/>
      <c r="FLX385"/>
      <c r="FLY385"/>
      <c r="FLZ385"/>
      <c r="FMA385"/>
      <c r="FMB385"/>
      <c r="FMC385"/>
      <c r="FMD385"/>
      <c r="FME385"/>
      <c r="FMF385"/>
      <c r="FMG385"/>
      <c r="FMH385"/>
      <c r="FMI385"/>
      <c r="FMJ385"/>
      <c r="FMK385"/>
      <c r="FML385"/>
      <c r="FMM385"/>
      <c r="FMN385"/>
      <c r="FMO385"/>
      <c r="FMP385"/>
      <c r="FMQ385"/>
      <c r="FMR385"/>
      <c r="FMS385"/>
      <c r="FMT385"/>
      <c r="FMU385"/>
      <c r="FMV385"/>
      <c r="FMW385"/>
      <c r="FMX385"/>
      <c r="FMY385"/>
      <c r="FMZ385"/>
      <c r="FNA385"/>
      <c r="FNB385"/>
      <c r="FNC385"/>
      <c r="FND385"/>
      <c r="FNE385"/>
      <c r="FNF385"/>
      <c r="FNG385"/>
      <c r="FNH385"/>
      <c r="FNI385"/>
      <c r="FNJ385"/>
      <c r="FNK385"/>
      <c r="FNL385"/>
      <c r="FNM385"/>
      <c r="FNN385"/>
      <c r="FNO385"/>
      <c r="FNP385"/>
      <c r="FNQ385"/>
      <c r="FNR385"/>
      <c r="FNS385"/>
      <c r="FNT385"/>
      <c r="FNU385"/>
      <c r="FNV385"/>
      <c r="FNW385"/>
      <c r="FNX385"/>
      <c r="FNY385"/>
      <c r="FNZ385"/>
      <c r="FOA385"/>
      <c r="FOB385"/>
      <c r="FOC385"/>
      <c r="FOD385"/>
      <c r="FOE385"/>
      <c r="FOF385"/>
      <c r="FOG385"/>
      <c r="FOH385"/>
      <c r="FOI385"/>
      <c r="FOJ385"/>
      <c r="FOK385"/>
      <c r="FOL385"/>
      <c r="FOM385"/>
      <c r="FON385"/>
      <c r="FOO385"/>
      <c r="FOP385"/>
      <c r="FOQ385"/>
      <c r="FOR385"/>
      <c r="FOS385"/>
      <c r="FOT385"/>
      <c r="FOU385"/>
      <c r="FOV385"/>
      <c r="FOW385"/>
      <c r="FOX385"/>
      <c r="FOY385"/>
      <c r="FOZ385"/>
      <c r="FPA385"/>
      <c r="FPB385"/>
      <c r="FPC385"/>
      <c r="FPD385"/>
      <c r="FPE385"/>
      <c r="FPF385"/>
      <c r="FPG385"/>
      <c r="FPH385"/>
      <c r="FPI385"/>
      <c r="FPJ385"/>
      <c r="FPK385"/>
      <c r="FPL385"/>
      <c r="FPM385"/>
      <c r="FPN385"/>
      <c r="FPO385"/>
      <c r="FPP385"/>
      <c r="FPQ385"/>
      <c r="FPR385"/>
      <c r="FPS385"/>
      <c r="FPT385"/>
      <c r="FPU385"/>
      <c r="FPV385"/>
      <c r="FPW385"/>
      <c r="FPX385"/>
      <c r="FPY385"/>
      <c r="FPZ385"/>
      <c r="FQA385"/>
      <c r="FQB385"/>
      <c r="FQC385"/>
      <c r="FQD385"/>
      <c r="FQE385"/>
      <c r="FQF385"/>
      <c r="FQG385"/>
      <c r="FQH385"/>
      <c r="FQI385"/>
      <c r="FQJ385"/>
      <c r="FQK385"/>
      <c r="FQL385"/>
      <c r="FQM385"/>
      <c r="FQN385"/>
      <c r="FQO385"/>
      <c r="FQP385"/>
      <c r="FQQ385"/>
      <c r="FQR385"/>
      <c r="FQS385"/>
      <c r="FQT385"/>
      <c r="FQU385"/>
      <c r="FQV385"/>
      <c r="FQW385"/>
      <c r="FQX385"/>
      <c r="FQY385"/>
      <c r="FQZ385"/>
      <c r="FRA385"/>
      <c r="FRB385"/>
      <c r="FRC385"/>
      <c r="FRD385"/>
      <c r="FRE385"/>
      <c r="FRF385"/>
      <c r="FRG385"/>
      <c r="FRH385"/>
      <c r="FRI385"/>
      <c r="FRJ385"/>
      <c r="FRK385"/>
      <c r="FRL385"/>
      <c r="FRM385"/>
      <c r="FRN385"/>
      <c r="FRO385"/>
      <c r="FRP385"/>
      <c r="FRQ385"/>
      <c r="FRR385"/>
      <c r="FRS385"/>
      <c r="FRT385"/>
      <c r="FRU385"/>
      <c r="FRV385"/>
      <c r="FRW385"/>
      <c r="FRX385"/>
      <c r="FRY385"/>
      <c r="FRZ385"/>
      <c r="FSA385"/>
      <c r="FSB385"/>
      <c r="FSC385"/>
      <c r="FSD385"/>
      <c r="FSE385"/>
      <c r="FSF385"/>
      <c r="FSG385"/>
      <c r="FSH385"/>
      <c r="FSI385"/>
      <c r="FSJ385"/>
      <c r="FSK385"/>
      <c r="FSL385"/>
      <c r="FSM385"/>
      <c r="FSN385"/>
      <c r="FSO385"/>
      <c r="FSP385"/>
      <c r="FSQ385"/>
      <c r="FSR385"/>
      <c r="FSS385"/>
      <c r="FST385"/>
      <c r="FSU385"/>
      <c r="FSV385"/>
      <c r="FSW385"/>
      <c r="FSX385"/>
      <c r="FSY385"/>
      <c r="FSZ385"/>
      <c r="FTA385"/>
      <c r="FTB385"/>
      <c r="FTC385"/>
      <c r="FTD385"/>
      <c r="FTE385"/>
      <c r="FTF385"/>
      <c r="FTG385"/>
      <c r="FTH385"/>
      <c r="FTI385"/>
      <c r="FTJ385"/>
      <c r="FTK385"/>
      <c r="FTL385"/>
      <c r="FTM385"/>
      <c r="FTN385"/>
      <c r="FTO385"/>
      <c r="FTP385"/>
      <c r="FTQ385"/>
      <c r="FTR385"/>
      <c r="FTS385"/>
      <c r="FTT385"/>
      <c r="FTU385"/>
      <c r="FTV385"/>
      <c r="FTW385"/>
      <c r="FTX385"/>
      <c r="FTY385"/>
      <c r="FTZ385"/>
      <c r="FUA385"/>
      <c r="FUB385"/>
      <c r="FUC385"/>
      <c r="FUD385"/>
      <c r="FUE385"/>
      <c r="FUF385"/>
      <c r="FUG385"/>
      <c r="FUH385"/>
      <c r="FUI385"/>
      <c r="FUJ385"/>
      <c r="FUK385"/>
      <c r="FUL385"/>
      <c r="FUM385"/>
      <c r="FUN385"/>
      <c r="FUO385"/>
      <c r="FUP385"/>
      <c r="FUQ385"/>
      <c r="FUR385"/>
      <c r="FUS385"/>
      <c r="FUT385"/>
      <c r="FUU385"/>
      <c r="FUV385"/>
      <c r="FUW385"/>
      <c r="FUX385"/>
      <c r="FUY385"/>
      <c r="FUZ385"/>
      <c r="FVA385"/>
      <c r="FVB385"/>
      <c r="FVC385"/>
      <c r="FVD385"/>
      <c r="FVE385"/>
      <c r="FVF385"/>
      <c r="FVG385"/>
      <c r="FVH385"/>
      <c r="FVI385"/>
      <c r="FVJ385"/>
      <c r="FVK385"/>
      <c r="FVL385"/>
      <c r="FVM385"/>
      <c r="FVN385"/>
      <c r="FVO385"/>
      <c r="FVP385"/>
      <c r="FVQ385"/>
      <c r="FVR385"/>
      <c r="FVS385"/>
      <c r="FVT385"/>
      <c r="FVU385"/>
      <c r="FVV385"/>
      <c r="FVW385"/>
      <c r="FVX385"/>
      <c r="FVY385"/>
      <c r="FVZ385"/>
      <c r="FWA385"/>
      <c r="FWB385"/>
      <c r="FWC385"/>
      <c r="FWD385"/>
      <c r="FWE385"/>
      <c r="FWF385"/>
      <c r="FWG385"/>
      <c r="FWH385"/>
      <c r="FWI385"/>
      <c r="FWJ385"/>
      <c r="FWK385"/>
      <c r="FWL385"/>
      <c r="FWM385"/>
      <c r="FWN385"/>
      <c r="FWO385"/>
      <c r="FWP385"/>
      <c r="FWQ385"/>
      <c r="FWR385"/>
      <c r="FWS385"/>
      <c r="FWT385"/>
      <c r="FWU385"/>
      <c r="FWV385"/>
      <c r="FWW385"/>
      <c r="FWX385"/>
      <c r="FWY385"/>
      <c r="FWZ385"/>
      <c r="FXA385"/>
      <c r="FXB385"/>
      <c r="FXC385"/>
      <c r="FXD385"/>
      <c r="FXE385"/>
      <c r="FXF385"/>
      <c r="FXG385"/>
      <c r="FXH385"/>
      <c r="FXI385"/>
      <c r="FXJ385"/>
      <c r="FXK385"/>
      <c r="FXL385"/>
      <c r="FXM385"/>
      <c r="FXN385"/>
      <c r="FXO385"/>
      <c r="FXP385"/>
      <c r="FXQ385"/>
      <c r="FXR385"/>
      <c r="FXS385"/>
      <c r="FXT385"/>
      <c r="FXU385"/>
      <c r="FXV385"/>
      <c r="FXW385"/>
      <c r="FXX385"/>
      <c r="FXY385"/>
      <c r="FXZ385"/>
      <c r="FYA385"/>
      <c r="FYB385"/>
      <c r="FYC385"/>
      <c r="FYD385"/>
      <c r="FYE385"/>
      <c r="FYF385"/>
      <c r="FYG385"/>
      <c r="FYH385"/>
      <c r="FYI385"/>
      <c r="FYJ385"/>
      <c r="FYK385"/>
      <c r="FYL385"/>
      <c r="FYM385"/>
      <c r="FYN385"/>
      <c r="FYO385"/>
      <c r="FYP385"/>
      <c r="FYQ385"/>
      <c r="FYR385"/>
      <c r="FYS385"/>
      <c r="FYT385"/>
      <c r="FYU385"/>
      <c r="FYV385"/>
      <c r="FYW385"/>
      <c r="FYX385"/>
      <c r="FYY385"/>
      <c r="FYZ385"/>
      <c r="FZA385"/>
      <c r="FZB385"/>
      <c r="FZC385"/>
      <c r="FZD385"/>
      <c r="FZE385"/>
      <c r="FZF385"/>
      <c r="FZG385"/>
      <c r="FZH385"/>
      <c r="FZI385"/>
      <c r="FZJ385"/>
      <c r="FZK385"/>
      <c r="FZL385"/>
      <c r="FZM385"/>
      <c r="FZN385"/>
      <c r="FZO385"/>
      <c r="FZP385"/>
      <c r="FZQ385"/>
      <c r="FZR385"/>
      <c r="FZS385"/>
      <c r="FZT385"/>
      <c r="FZU385"/>
      <c r="FZV385"/>
      <c r="FZW385"/>
      <c r="FZX385"/>
      <c r="FZY385"/>
      <c r="FZZ385"/>
      <c r="GAA385"/>
      <c r="GAB385"/>
      <c r="GAC385"/>
      <c r="GAD385"/>
      <c r="GAE385"/>
      <c r="GAF385"/>
      <c r="GAG385"/>
      <c r="GAH385"/>
      <c r="GAI385"/>
      <c r="GAJ385"/>
      <c r="GAK385"/>
      <c r="GAL385"/>
      <c r="GAM385"/>
      <c r="GAN385"/>
      <c r="GAO385"/>
      <c r="GAP385"/>
      <c r="GAQ385"/>
      <c r="GAR385"/>
      <c r="GAS385"/>
      <c r="GAT385"/>
      <c r="GAU385"/>
      <c r="GAV385"/>
      <c r="GAW385"/>
      <c r="GAX385"/>
      <c r="GAY385"/>
      <c r="GAZ385"/>
      <c r="GBA385"/>
      <c r="GBB385"/>
      <c r="GBC385"/>
      <c r="GBD385"/>
      <c r="GBE385"/>
      <c r="GBF385"/>
      <c r="GBG385"/>
      <c r="GBH385"/>
      <c r="GBI385"/>
      <c r="GBJ385"/>
      <c r="GBK385"/>
      <c r="GBL385"/>
      <c r="GBM385"/>
      <c r="GBN385"/>
      <c r="GBO385"/>
      <c r="GBP385"/>
      <c r="GBQ385"/>
      <c r="GBR385"/>
      <c r="GBS385"/>
      <c r="GBT385"/>
      <c r="GBU385"/>
      <c r="GBV385"/>
      <c r="GBW385"/>
      <c r="GBX385"/>
      <c r="GBY385"/>
      <c r="GBZ385"/>
      <c r="GCA385"/>
      <c r="GCB385"/>
      <c r="GCC385"/>
      <c r="GCD385"/>
      <c r="GCE385"/>
      <c r="GCF385"/>
      <c r="GCG385"/>
      <c r="GCH385"/>
      <c r="GCI385"/>
      <c r="GCJ385"/>
      <c r="GCK385"/>
      <c r="GCL385"/>
      <c r="GCM385"/>
      <c r="GCN385"/>
      <c r="GCO385"/>
      <c r="GCP385"/>
      <c r="GCQ385"/>
      <c r="GCR385"/>
      <c r="GCS385"/>
      <c r="GCT385"/>
      <c r="GCU385"/>
      <c r="GCV385"/>
      <c r="GCW385"/>
      <c r="GCX385"/>
      <c r="GCY385"/>
      <c r="GCZ385"/>
      <c r="GDA385"/>
      <c r="GDB385"/>
      <c r="GDC385"/>
      <c r="GDD385"/>
      <c r="GDE385"/>
      <c r="GDF385"/>
      <c r="GDG385"/>
      <c r="GDH385"/>
      <c r="GDI385"/>
      <c r="GDJ385"/>
      <c r="GDK385"/>
      <c r="GDL385"/>
      <c r="GDM385"/>
      <c r="GDN385"/>
      <c r="GDO385"/>
      <c r="GDP385"/>
      <c r="GDQ385"/>
      <c r="GDR385"/>
      <c r="GDS385"/>
      <c r="GDT385"/>
      <c r="GDU385"/>
      <c r="GDV385"/>
      <c r="GDW385"/>
      <c r="GDX385"/>
      <c r="GDY385"/>
      <c r="GDZ385"/>
      <c r="GEA385"/>
      <c r="GEB385"/>
      <c r="GEC385"/>
      <c r="GED385"/>
      <c r="GEE385"/>
      <c r="GEF385"/>
      <c r="GEG385"/>
      <c r="GEH385"/>
      <c r="GEI385"/>
      <c r="GEJ385"/>
      <c r="GEK385"/>
      <c r="GEL385"/>
      <c r="GEM385"/>
      <c r="GEN385"/>
      <c r="GEO385"/>
      <c r="GEP385"/>
      <c r="GEQ385"/>
      <c r="GER385"/>
      <c r="GES385"/>
      <c r="GET385"/>
      <c r="GEU385"/>
      <c r="GEV385"/>
      <c r="GEW385"/>
      <c r="GEX385"/>
      <c r="GEY385"/>
      <c r="GEZ385"/>
      <c r="GFA385"/>
      <c r="GFB385"/>
      <c r="GFC385"/>
      <c r="GFD385"/>
      <c r="GFE385"/>
      <c r="GFF385"/>
      <c r="GFG385"/>
      <c r="GFH385"/>
      <c r="GFI385"/>
      <c r="GFJ385"/>
      <c r="GFK385"/>
      <c r="GFL385"/>
      <c r="GFM385"/>
      <c r="GFN385"/>
      <c r="GFO385"/>
      <c r="GFP385"/>
      <c r="GFQ385"/>
      <c r="GFR385"/>
      <c r="GFS385"/>
      <c r="GFT385"/>
      <c r="GFU385"/>
      <c r="GFV385"/>
      <c r="GFW385"/>
      <c r="GFX385"/>
      <c r="GFY385"/>
      <c r="GFZ385"/>
      <c r="GGA385"/>
      <c r="GGB385"/>
      <c r="GGC385"/>
      <c r="GGD385"/>
      <c r="GGE385"/>
      <c r="GGF385"/>
      <c r="GGG385"/>
      <c r="GGH385"/>
      <c r="GGI385"/>
      <c r="GGJ385"/>
      <c r="GGK385"/>
      <c r="GGL385"/>
      <c r="GGM385"/>
      <c r="GGN385"/>
      <c r="GGO385"/>
      <c r="GGP385"/>
      <c r="GGQ385"/>
      <c r="GGR385"/>
      <c r="GGS385"/>
      <c r="GGT385"/>
      <c r="GGU385"/>
      <c r="GGV385"/>
      <c r="GGW385"/>
      <c r="GGX385"/>
      <c r="GGY385"/>
      <c r="GGZ385"/>
      <c r="GHA385"/>
      <c r="GHB385"/>
      <c r="GHC385"/>
      <c r="GHD385"/>
      <c r="GHE385"/>
      <c r="GHF385"/>
      <c r="GHG385"/>
      <c r="GHH385"/>
      <c r="GHI385"/>
      <c r="GHJ385"/>
      <c r="GHK385"/>
      <c r="GHL385"/>
      <c r="GHM385"/>
      <c r="GHN385"/>
      <c r="GHO385"/>
      <c r="GHP385"/>
      <c r="GHQ385"/>
      <c r="GHR385"/>
      <c r="GHS385"/>
      <c r="GHT385"/>
      <c r="GHU385"/>
      <c r="GHV385"/>
      <c r="GHW385"/>
      <c r="GHX385"/>
      <c r="GHY385"/>
      <c r="GHZ385"/>
      <c r="GIA385"/>
      <c r="GIB385"/>
      <c r="GIC385"/>
      <c r="GID385"/>
      <c r="GIE385"/>
      <c r="GIF385"/>
      <c r="GIG385"/>
      <c r="GIH385"/>
      <c r="GII385"/>
      <c r="GIJ385"/>
      <c r="GIK385"/>
      <c r="GIL385"/>
      <c r="GIM385"/>
      <c r="GIN385"/>
      <c r="GIO385"/>
      <c r="GIP385"/>
      <c r="GIQ385"/>
      <c r="GIR385"/>
      <c r="GIS385"/>
      <c r="GIT385"/>
      <c r="GIU385"/>
      <c r="GIV385"/>
      <c r="GIW385"/>
      <c r="GIX385"/>
      <c r="GIY385"/>
      <c r="GIZ385"/>
      <c r="GJA385"/>
      <c r="GJB385"/>
      <c r="GJC385"/>
      <c r="GJD385"/>
      <c r="GJE385"/>
      <c r="GJF385"/>
      <c r="GJG385"/>
      <c r="GJH385"/>
      <c r="GJI385"/>
      <c r="GJJ385"/>
      <c r="GJK385"/>
      <c r="GJL385"/>
      <c r="GJM385"/>
      <c r="GJN385"/>
      <c r="GJO385"/>
      <c r="GJP385"/>
      <c r="GJQ385"/>
      <c r="GJR385"/>
      <c r="GJS385"/>
      <c r="GJT385"/>
      <c r="GJU385"/>
      <c r="GJV385"/>
      <c r="GJW385"/>
      <c r="GJX385"/>
      <c r="GJY385"/>
      <c r="GJZ385"/>
      <c r="GKA385"/>
      <c r="GKB385"/>
      <c r="GKC385"/>
      <c r="GKD385"/>
      <c r="GKE385"/>
      <c r="GKF385"/>
      <c r="GKG385"/>
      <c r="GKH385"/>
      <c r="GKI385"/>
      <c r="GKJ385"/>
      <c r="GKK385"/>
      <c r="GKL385"/>
      <c r="GKM385"/>
      <c r="GKN385"/>
      <c r="GKO385"/>
      <c r="GKP385"/>
      <c r="GKQ385"/>
      <c r="GKR385"/>
      <c r="GKS385"/>
      <c r="GKT385"/>
      <c r="GKU385"/>
      <c r="GKV385"/>
      <c r="GKW385"/>
      <c r="GKX385"/>
      <c r="GKY385"/>
      <c r="GKZ385"/>
      <c r="GLA385"/>
      <c r="GLB385"/>
      <c r="GLC385"/>
      <c r="GLD385"/>
      <c r="GLE385"/>
      <c r="GLF385"/>
      <c r="GLG385"/>
      <c r="GLH385"/>
      <c r="GLI385"/>
      <c r="GLJ385"/>
      <c r="GLK385"/>
      <c r="GLL385"/>
      <c r="GLM385"/>
      <c r="GLN385"/>
      <c r="GLO385"/>
      <c r="GLP385"/>
      <c r="GLQ385"/>
      <c r="GLR385"/>
      <c r="GLS385"/>
      <c r="GLT385"/>
      <c r="GLU385"/>
      <c r="GLV385"/>
      <c r="GLW385"/>
      <c r="GLX385"/>
      <c r="GLY385"/>
      <c r="GLZ385"/>
      <c r="GMA385"/>
      <c r="GMB385"/>
      <c r="GMC385"/>
      <c r="GMD385"/>
      <c r="GME385"/>
      <c r="GMF385"/>
      <c r="GMG385"/>
      <c r="GMH385"/>
      <c r="GMI385"/>
      <c r="GMJ385"/>
      <c r="GMK385"/>
      <c r="GML385"/>
      <c r="GMM385"/>
      <c r="GMN385"/>
      <c r="GMO385"/>
      <c r="GMP385"/>
      <c r="GMQ385"/>
      <c r="GMR385"/>
      <c r="GMS385"/>
      <c r="GMT385"/>
      <c r="GMU385"/>
      <c r="GMV385"/>
      <c r="GMW385"/>
      <c r="GMX385"/>
      <c r="GMY385"/>
      <c r="GMZ385"/>
      <c r="GNA385"/>
      <c r="GNB385"/>
      <c r="GNC385"/>
      <c r="GND385"/>
      <c r="GNE385"/>
      <c r="GNF385"/>
      <c r="GNG385"/>
      <c r="GNH385"/>
      <c r="GNI385"/>
      <c r="GNJ385"/>
      <c r="GNK385"/>
      <c r="GNL385"/>
      <c r="GNM385"/>
      <c r="GNN385"/>
      <c r="GNO385"/>
      <c r="GNP385"/>
      <c r="GNQ385"/>
      <c r="GNR385"/>
      <c r="GNS385"/>
      <c r="GNT385"/>
      <c r="GNU385"/>
      <c r="GNV385"/>
      <c r="GNW385"/>
      <c r="GNX385"/>
      <c r="GNY385"/>
      <c r="GNZ385"/>
      <c r="GOA385"/>
      <c r="GOB385"/>
      <c r="GOC385"/>
      <c r="GOD385"/>
      <c r="GOE385"/>
      <c r="GOF385"/>
      <c r="GOG385"/>
      <c r="GOH385"/>
      <c r="GOI385"/>
      <c r="GOJ385"/>
      <c r="GOK385"/>
      <c r="GOL385"/>
      <c r="GOM385"/>
      <c r="GON385"/>
      <c r="GOO385"/>
      <c r="GOP385"/>
      <c r="GOQ385"/>
      <c r="GOR385"/>
      <c r="GOS385"/>
      <c r="GOT385"/>
      <c r="GOU385"/>
      <c r="GOV385"/>
      <c r="GOW385"/>
      <c r="GOX385"/>
      <c r="GOY385"/>
      <c r="GOZ385"/>
      <c r="GPA385"/>
      <c r="GPB385"/>
      <c r="GPC385"/>
      <c r="GPD385"/>
      <c r="GPE385"/>
      <c r="GPF385"/>
      <c r="GPG385"/>
      <c r="GPH385"/>
      <c r="GPI385"/>
      <c r="GPJ385"/>
      <c r="GPK385"/>
      <c r="GPL385"/>
      <c r="GPM385"/>
      <c r="GPN385"/>
      <c r="GPO385"/>
      <c r="GPP385"/>
      <c r="GPQ385"/>
      <c r="GPR385"/>
      <c r="GPS385"/>
      <c r="GPT385"/>
      <c r="GPU385"/>
      <c r="GPV385"/>
      <c r="GPW385"/>
      <c r="GPX385"/>
      <c r="GPY385"/>
      <c r="GPZ385"/>
      <c r="GQA385"/>
      <c r="GQB385"/>
      <c r="GQC385"/>
      <c r="GQD385"/>
      <c r="GQE385"/>
      <c r="GQF385"/>
      <c r="GQG385"/>
      <c r="GQH385"/>
      <c r="GQI385"/>
      <c r="GQJ385"/>
      <c r="GQK385"/>
      <c r="GQL385"/>
      <c r="GQM385"/>
      <c r="GQN385"/>
      <c r="GQO385"/>
      <c r="GQP385"/>
      <c r="GQQ385"/>
      <c r="GQR385"/>
      <c r="GQS385"/>
      <c r="GQT385"/>
      <c r="GQU385"/>
      <c r="GQV385"/>
      <c r="GQW385"/>
      <c r="GQX385"/>
      <c r="GQY385"/>
      <c r="GQZ385"/>
      <c r="GRA385"/>
      <c r="GRB385"/>
      <c r="GRC385"/>
      <c r="GRD385"/>
      <c r="GRE385"/>
      <c r="GRF385"/>
      <c r="GRG385"/>
      <c r="GRH385"/>
      <c r="GRI385"/>
      <c r="GRJ385"/>
      <c r="GRK385"/>
      <c r="GRL385"/>
      <c r="GRM385"/>
      <c r="GRN385"/>
      <c r="GRO385"/>
      <c r="GRP385"/>
      <c r="GRQ385"/>
      <c r="GRR385"/>
      <c r="GRS385"/>
      <c r="GRT385"/>
      <c r="GRU385"/>
      <c r="GRV385"/>
      <c r="GRW385"/>
      <c r="GRX385"/>
      <c r="GRY385"/>
      <c r="GRZ385"/>
      <c r="GSA385"/>
      <c r="GSB385"/>
      <c r="GSC385"/>
      <c r="GSD385"/>
      <c r="GSE385"/>
      <c r="GSF385"/>
      <c r="GSG385"/>
      <c r="GSH385"/>
      <c r="GSI385"/>
      <c r="GSJ385"/>
      <c r="GSK385"/>
      <c r="GSL385"/>
      <c r="GSM385"/>
      <c r="GSN385"/>
      <c r="GSO385"/>
      <c r="GSP385"/>
      <c r="GSQ385"/>
      <c r="GSR385"/>
      <c r="GSS385"/>
      <c r="GST385"/>
      <c r="GSU385"/>
      <c r="GSV385"/>
      <c r="GSW385"/>
      <c r="GSX385"/>
      <c r="GSY385"/>
      <c r="GSZ385"/>
      <c r="GTA385"/>
      <c r="GTB385"/>
      <c r="GTC385"/>
      <c r="GTD385"/>
      <c r="GTE385"/>
      <c r="GTF385"/>
      <c r="GTG385"/>
      <c r="GTH385"/>
      <c r="GTI385"/>
      <c r="GTJ385"/>
      <c r="GTK385"/>
      <c r="GTL385"/>
      <c r="GTM385"/>
      <c r="GTN385"/>
      <c r="GTO385"/>
      <c r="GTP385"/>
      <c r="GTQ385"/>
      <c r="GTR385"/>
      <c r="GTS385"/>
      <c r="GTT385"/>
      <c r="GTU385"/>
      <c r="GTV385"/>
      <c r="GTW385"/>
      <c r="GTX385"/>
      <c r="GTY385"/>
      <c r="GTZ385"/>
      <c r="GUA385"/>
      <c r="GUB385"/>
      <c r="GUC385"/>
      <c r="GUD385"/>
      <c r="GUE385"/>
      <c r="GUF385"/>
      <c r="GUG385"/>
      <c r="GUH385"/>
      <c r="GUI385"/>
      <c r="GUJ385"/>
      <c r="GUK385"/>
      <c r="GUL385"/>
      <c r="GUM385"/>
      <c r="GUN385"/>
      <c r="GUO385"/>
      <c r="GUP385"/>
      <c r="GUQ385"/>
      <c r="GUR385"/>
      <c r="GUS385"/>
      <c r="GUT385"/>
      <c r="GUU385"/>
      <c r="GUV385"/>
      <c r="GUW385"/>
      <c r="GUX385"/>
      <c r="GUY385"/>
      <c r="GUZ385"/>
      <c r="GVA385"/>
      <c r="GVB385"/>
      <c r="GVC385"/>
      <c r="GVD385"/>
      <c r="GVE385"/>
      <c r="GVF385"/>
      <c r="GVG385"/>
      <c r="GVH385"/>
      <c r="GVI385"/>
      <c r="GVJ385"/>
      <c r="GVK385"/>
      <c r="GVL385"/>
      <c r="GVM385"/>
      <c r="GVN385"/>
      <c r="GVO385"/>
      <c r="GVP385"/>
      <c r="GVQ385"/>
      <c r="GVR385"/>
      <c r="GVS385"/>
      <c r="GVT385"/>
      <c r="GVU385"/>
      <c r="GVV385"/>
      <c r="GVW385"/>
      <c r="GVX385"/>
      <c r="GVY385"/>
      <c r="GVZ385"/>
      <c r="GWA385"/>
      <c r="GWB385"/>
      <c r="GWC385"/>
      <c r="GWD385"/>
      <c r="GWE385"/>
      <c r="GWF385"/>
      <c r="GWG385"/>
      <c r="GWH385"/>
      <c r="GWI385"/>
      <c r="GWJ385"/>
      <c r="GWK385"/>
      <c r="GWL385"/>
      <c r="GWM385"/>
      <c r="GWN385"/>
      <c r="GWO385"/>
      <c r="GWP385"/>
      <c r="GWQ385"/>
      <c r="GWR385"/>
      <c r="GWS385"/>
      <c r="GWT385"/>
      <c r="GWU385"/>
      <c r="GWV385"/>
      <c r="GWW385"/>
      <c r="GWX385"/>
      <c r="GWY385"/>
      <c r="GWZ385"/>
      <c r="GXA385"/>
      <c r="GXB385"/>
      <c r="GXC385"/>
      <c r="GXD385"/>
      <c r="GXE385"/>
      <c r="GXF385"/>
      <c r="GXG385"/>
      <c r="GXH385"/>
      <c r="GXI385"/>
      <c r="GXJ385"/>
      <c r="GXK385"/>
      <c r="GXL385"/>
      <c r="GXM385"/>
      <c r="GXN385"/>
      <c r="GXO385"/>
      <c r="GXP385"/>
      <c r="GXQ385"/>
      <c r="GXR385"/>
      <c r="GXS385"/>
      <c r="GXT385"/>
      <c r="GXU385"/>
      <c r="GXV385"/>
      <c r="GXW385"/>
      <c r="GXX385"/>
      <c r="GXY385"/>
      <c r="GXZ385"/>
      <c r="GYA385"/>
      <c r="GYB385"/>
      <c r="GYC385"/>
      <c r="GYD385"/>
      <c r="GYE385"/>
      <c r="GYF385"/>
      <c r="GYG385"/>
      <c r="GYH385"/>
      <c r="GYI385"/>
      <c r="GYJ385"/>
      <c r="GYK385"/>
      <c r="GYL385"/>
      <c r="GYM385"/>
      <c r="GYN385"/>
      <c r="GYO385"/>
      <c r="GYP385"/>
      <c r="GYQ385"/>
      <c r="GYR385"/>
      <c r="GYS385"/>
      <c r="GYT385"/>
      <c r="GYU385"/>
      <c r="GYV385"/>
      <c r="GYW385"/>
      <c r="GYX385"/>
      <c r="GYY385"/>
      <c r="GYZ385"/>
      <c r="GZA385"/>
      <c r="GZB385"/>
      <c r="GZC385"/>
      <c r="GZD385"/>
      <c r="GZE385"/>
      <c r="GZF385"/>
      <c r="GZG385"/>
      <c r="GZH385"/>
      <c r="GZI385"/>
      <c r="GZJ385"/>
      <c r="GZK385"/>
      <c r="GZL385"/>
      <c r="GZM385"/>
      <c r="GZN385"/>
      <c r="GZO385"/>
      <c r="GZP385"/>
      <c r="GZQ385"/>
      <c r="GZR385"/>
      <c r="GZS385"/>
      <c r="GZT385"/>
      <c r="GZU385"/>
      <c r="GZV385"/>
      <c r="GZW385"/>
      <c r="GZX385"/>
      <c r="GZY385"/>
      <c r="GZZ385"/>
      <c r="HAA385"/>
      <c r="HAB385"/>
      <c r="HAC385"/>
      <c r="HAD385"/>
      <c r="HAE385"/>
      <c r="HAF385"/>
      <c r="HAG385"/>
      <c r="HAH385"/>
      <c r="HAI385"/>
      <c r="HAJ385"/>
      <c r="HAK385"/>
      <c r="HAL385"/>
      <c r="HAM385"/>
      <c r="HAN385"/>
      <c r="HAO385"/>
      <c r="HAP385"/>
      <c r="HAQ385"/>
      <c r="HAR385"/>
      <c r="HAS385"/>
      <c r="HAT385"/>
      <c r="HAU385"/>
      <c r="HAV385"/>
      <c r="HAW385"/>
      <c r="HAX385"/>
      <c r="HAY385"/>
      <c r="HAZ385"/>
      <c r="HBA385"/>
      <c r="HBB385"/>
      <c r="HBC385"/>
      <c r="HBD385"/>
      <c r="HBE385"/>
      <c r="HBF385"/>
      <c r="HBG385"/>
      <c r="HBH385"/>
      <c r="HBI385"/>
      <c r="HBJ385"/>
      <c r="HBK385"/>
      <c r="HBL385"/>
      <c r="HBM385"/>
      <c r="HBN385"/>
      <c r="HBO385"/>
      <c r="HBP385"/>
      <c r="HBQ385"/>
      <c r="HBR385"/>
      <c r="HBS385"/>
      <c r="HBT385"/>
      <c r="HBU385"/>
      <c r="HBV385"/>
      <c r="HBW385"/>
      <c r="HBX385"/>
      <c r="HBY385"/>
      <c r="HBZ385"/>
      <c r="HCA385"/>
      <c r="HCB385"/>
      <c r="HCC385"/>
      <c r="HCD385"/>
      <c r="HCE385"/>
      <c r="HCF385"/>
      <c r="HCG385"/>
      <c r="HCH385"/>
      <c r="HCI385"/>
      <c r="HCJ385"/>
      <c r="HCK385"/>
      <c r="HCL385"/>
      <c r="HCM385"/>
      <c r="HCN385"/>
      <c r="HCO385"/>
      <c r="HCP385"/>
      <c r="HCQ385"/>
      <c r="HCR385"/>
      <c r="HCS385"/>
      <c r="HCT385"/>
      <c r="HCU385"/>
      <c r="HCV385"/>
      <c r="HCW385"/>
      <c r="HCX385"/>
      <c r="HCY385"/>
      <c r="HCZ385"/>
      <c r="HDA385"/>
      <c r="HDB385"/>
      <c r="HDC385"/>
      <c r="HDD385"/>
      <c r="HDE385"/>
      <c r="HDF385"/>
      <c r="HDG385"/>
      <c r="HDH385"/>
      <c r="HDI385"/>
      <c r="HDJ385"/>
      <c r="HDK385"/>
      <c r="HDL385"/>
      <c r="HDM385"/>
      <c r="HDN385"/>
      <c r="HDO385"/>
      <c r="HDP385"/>
      <c r="HDQ385"/>
      <c r="HDR385"/>
      <c r="HDS385"/>
      <c r="HDT385"/>
      <c r="HDU385"/>
      <c r="HDV385"/>
      <c r="HDW385"/>
      <c r="HDX385"/>
      <c r="HDY385"/>
      <c r="HDZ385"/>
      <c r="HEA385"/>
      <c r="HEB385"/>
      <c r="HEC385"/>
      <c r="HED385"/>
      <c r="HEE385"/>
      <c r="HEF385"/>
      <c r="HEG385"/>
      <c r="HEH385"/>
      <c r="HEI385"/>
      <c r="HEJ385"/>
      <c r="HEK385"/>
      <c r="HEL385"/>
      <c r="HEM385"/>
      <c r="HEN385"/>
      <c r="HEO385"/>
      <c r="HEP385"/>
      <c r="HEQ385"/>
      <c r="HER385"/>
      <c r="HES385"/>
      <c r="HET385"/>
      <c r="HEU385"/>
      <c r="HEV385"/>
      <c r="HEW385"/>
      <c r="HEX385"/>
      <c r="HEY385"/>
      <c r="HEZ385"/>
      <c r="HFA385"/>
      <c r="HFB385"/>
      <c r="HFC385"/>
      <c r="HFD385"/>
      <c r="HFE385"/>
      <c r="HFF385"/>
      <c r="HFG385"/>
      <c r="HFH385"/>
      <c r="HFI385"/>
      <c r="HFJ385"/>
      <c r="HFK385"/>
      <c r="HFL385"/>
      <c r="HFM385"/>
      <c r="HFN385"/>
      <c r="HFO385"/>
      <c r="HFP385"/>
      <c r="HFQ385"/>
      <c r="HFR385"/>
      <c r="HFS385"/>
      <c r="HFT385"/>
      <c r="HFU385"/>
      <c r="HFV385"/>
      <c r="HFW385"/>
      <c r="HFX385"/>
      <c r="HFY385"/>
      <c r="HFZ385"/>
      <c r="HGA385"/>
      <c r="HGB385"/>
      <c r="HGC385"/>
      <c r="HGD385"/>
      <c r="HGE385"/>
      <c r="HGF385"/>
      <c r="HGG385"/>
      <c r="HGH385"/>
      <c r="HGI385"/>
      <c r="HGJ385"/>
      <c r="HGK385"/>
      <c r="HGL385"/>
      <c r="HGM385"/>
      <c r="HGN385"/>
      <c r="HGO385"/>
      <c r="HGP385"/>
      <c r="HGQ385"/>
      <c r="HGR385"/>
      <c r="HGS385"/>
      <c r="HGT385"/>
      <c r="HGU385"/>
      <c r="HGV385"/>
      <c r="HGW385"/>
      <c r="HGX385"/>
      <c r="HGY385"/>
      <c r="HGZ385"/>
      <c r="HHA385"/>
      <c r="HHB385"/>
      <c r="HHC385"/>
      <c r="HHD385"/>
      <c r="HHE385"/>
      <c r="HHF385"/>
      <c r="HHG385"/>
      <c r="HHH385"/>
      <c r="HHI385"/>
      <c r="HHJ385"/>
      <c r="HHK385"/>
      <c r="HHL385"/>
      <c r="HHM385"/>
      <c r="HHN385"/>
      <c r="HHO385"/>
      <c r="HHP385"/>
      <c r="HHQ385"/>
      <c r="HHR385"/>
      <c r="HHS385"/>
      <c r="HHT385"/>
      <c r="HHU385"/>
      <c r="HHV385"/>
      <c r="HHW385"/>
      <c r="HHX385"/>
      <c r="HHY385"/>
      <c r="HHZ385"/>
      <c r="HIA385"/>
      <c r="HIB385"/>
      <c r="HIC385"/>
      <c r="HID385"/>
      <c r="HIE385"/>
      <c r="HIF385"/>
      <c r="HIG385"/>
      <c r="HIH385"/>
      <c r="HII385"/>
      <c r="HIJ385"/>
      <c r="HIK385"/>
      <c r="HIL385"/>
      <c r="HIM385"/>
      <c r="HIN385"/>
      <c r="HIO385"/>
      <c r="HIP385"/>
      <c r="HIQ385"/>
      <c r="HIR385"/>
      <c r="HIS385"/>
      <c r="HIT385"/>
      <c r="HIU385"/>
      <c r="HIV385"/>
      <c r="HIW385"/>
      <c r="HIX385"/>
      <c r="HIY385"/>
      <c r="HIZ385"/>
      <c r="HJA385"/>
      <c r="HJB385"/>
      <c r="HJC385"/>
      <c r="HJD385"/>
      <c r="HJE385"/>
      <c r="HJF385"/>
      <c r="HJG385"/>
      <c r="HJH385"/>
      <c r="HJI385"/>
      <c r="HJJ385"/>
      <c r="HJK385"/>
      <c r="HJL385"/>
      <c r="HJM385"/>
      <c r="HJN385"/>
      <c r="HJO385"/>
      <c r="HJP385"/>
      <c r="HJQ385"/>
      <c r="HJR385"/>
      <c r="HJS385"/>
      <c r="HJT385"/>
      <c r="HJU385"/>
      <c r="HJV385"/>
      <c r="HJW385"/>
      <c r="HJX385"/>
      <c r="HJY385"/>
      <c r="HJZ385"/>
      <c r="HKA385"/>
      <c r="HKB385"/>
      <c r="HKC385"/>
      <c r="HKD385"/>
      <c r="HKE385"/>
      <c r="HKF385"/>
      <c r="HKG385"/>
      <c r="HKH385"/>
      <c r="HKI385"/>
      <c r="HKJ385"/>
      <c r="HKK385"/>
      <c r="HKL385"/>
      <c r="HKM385"/>
      <c r="HKN385"/>
      <c r="HKO385"/>
      <c r="HKP385"/>
      <c r="HKQ385"/>
      <c r="HKR385"/>
      <c r="HKS385"/>
      <c r="HKT385"/>
      <c r="HKU385"/>
      <c r="HKV385"/>
      <c r="HKW385"/>
      <c r="HKX385"/>
      <c r="HKY385"/>
      <c r="HKZ385"/>
      <c r="HLA385"/>
      <c r="HLB385"/>
      <c r="HLC385"/>
      <c r="HLD385"/>
      <c r="HLE385"/>
      <c r="HLF385"/>
      <c r="HLG385"/>
      <c r="HLH385"/>
      <c r="HLI385"/>
      <c r="HLJ385"/>
      <c r="HLK385"/>
      <c r="HLL385"/>
      <c r="HLM385"/>
      <c r="HLN385"/>
      <c r="HLO385"/>
      <c r="HLP385"/>
      <c r="HLQ385"/>
      <c r="HLR385"/>
      <c r="HLS385"/>
      <c r="HLT385"/>
      <c r="HLU385"/>
      <c r="HLV385"/>
      <c r="HLW385"/>
      <c r="HLX385"/>
      <c r="HLY385"/>
      <c r="HLZ385"/>
      <c r="HMA385"/>
      <c r="HMB385"/>
      <c r="HMC385"/>
      <c r="HMD385"/>
      <c r="HME385"/>
      <c r="HMF385"/>
      <c r="HMG385"/>
      <c r="HMH385"/>
      <c r="HMI385"/>
      <c r="HMJ385"/>
      <c r="HMK385"/>
      <c r="HML385"/>
      <c r="HMM385"/>
      <c r="HMN385"/>
      <c r="HMO385"/>
      <c r="HMP385"/>
      <c r="HMQ385"/>
      <c r="HMR385"/>
      <c r="HMS385"/>
      <c r="HMT385"/>
      <c r="HMU385"/>
      <c r="HMV385"/>
      <c r="HMW385"/>
      <c r="HMX385"/>
      <c r="HMY385"/>
      <c r="HMZ385"/>
      <c r="HNA385"/>
      <c r="HNB385"/>
      <c r="HNC385"/>
      <c r="HND385"/>
      <c r="HNE385"/>
      <c r="HNF385"/>
      <c r="HNG385"/>
      <c r="HNH385"/>
      <c r="HNI385"/>
      <c r="HNJ385"/>
      <c r="HNK385"/>
      <c r="HNL385"/>
      <c r="HNM385"/>
      <c r="HNN385"/>
      <c r="HNO385"/>
      <c r="HNP385"/>
      <c r="HNQ385"/>
      <c r="HNR385"/>
      <c r="HNS385"/>
      <c r="HNT385"/>
      <c r="HNU385"/>
      <c r="HNV385"/>
      <c r="HNW385"/>
      <c r="HNX385"/>
      <c r="HNY385"/>
      <c r="HNZ385"/>
      <c r="HOA385"/>
      <c r="HOB385"/>
      <c r="HOC385"/>
      <c r="HOD385"/>
      <c r="HOE385"/>
      <c r="HOF385"/>
      <c r="HOG385"/>
      <c r="HOH385"/>
      <c r="HOI385"/>
      <c r="HOJ385"/>
      <c r="HOK385"/>
      <c r="HOL385"/>
      <c r="HOM385"/>
      <c r="HON385"/>
      <c r="HOO385"/>
      <c r="HOP385"/>
      <c r="HOQ385"/>
      <c r="HOR385"/>
      <c r="HOS385"/>
      <c r="HOT385"/>
      <c r="HOU385"/>
      <c r="HOV385"/>
      <c r="HOW385"/>
      <c r="HOX385"/>
      <c r="HOY385"/>
      <c r="HOZ385"/>
      <c r="HPA385"/>
      <c r="HPB385"/>
      <c r="HPC385"/>
      <c r="HPD385"/>
      <c r="HPE385"/>
      <c r="HPF385"/>
      <c r="HPG385"/>
      <c r="HPH385"/>
      <c r="HPI385"/>
      <c r="HPJ385"/>
      <c r="HPK385"/>
      <c r="HPL385"/>
      <c r="HPM385"/>
      <c r="HPN385"/>
      <c r="HPO385"/>
      <c r="HPP385"/>
      <c r="HPQ385"/>
      <c r="HPR385"/>
      <c r="HPS385"/>
      <c r="HPT385"/>
      <c r="HPU385"/>
      <c r="HPV385"/>
      <c r="HPW385"/>
      <c r="HPX385"/>
      <c r="HPY385"/>
      <c r="HPZ385"/>
      <c r="HQA385"/>
      <c r="HQB385"/>
      <c r="HQC385"/>
      <c r="HQD385"/>
      <c r="HQE385"/>
      <c r="HQF385"/>
      <c r="HQG385"/>
      <c r="HQH385"/>
      <c r="HQI385"/>
      <c r="HQJ385"/>
      <c r="HQK385"/>
      <c r="HQL385"/>
      <c r="HQM385"/>
      <c r="HQN385"/>
      <c r="HQO385"/>
      <c r="HQP385"/>
      <c r="HQQ385"/>
      <c r="HQR385"/>
      <c r="HQS385"/>
      <c r="HQT385"/>
      <c r="HQU385"/>
      <c r="HQV385"/>
      <c r="HQW385"/>
      <c r="HQX385"/>
      <c r="HQY385"/>
      <c r="HQZ385"/>
      <c r="HRA385"/>
      <c r="HRB385"/>
      <c r="HRC385"/>
      <c r="HRD385"/>
      <c r="HRE385"/>
      <c r="HRF385"/>
      <c r="HRG385"/>
      <c r="HRH385"/>
      <c r="HRI385"/>
      <c r="HRJ385"/>
      <c r="HRK385"/>
      <c r="HRL385"/>
      <c r="HRM385"/>
      <c r="HRN385"/>
      <c r="HRO385"/>
      <c r="HRP385"/>
      <c r="HRQ385"/>
      <c r="HRR385"/>
      <c r="HRS385"/>
      <c r="HRT385"/>
      <c r="HRU385"/>
      <c r="HRV385"/>
      <c r="HRW385"/>
      <c r="HRX385"/>
      <c r="HRY385"/>
      <c r="HRZ385"/>
      <c r="HSA385"/>
      <c r="HSB385"/>
      <c r="HSC385"/>
      <c r="HSD385"/>
      <c r="HSE385"/>
      <c r="HSF385"/>
      <c r="HSG385"/>
      <c r="HSH385"/>
      <c r="HSI385"/>
      <c r="HSJ385"/>
      <c r="HSK385"/>
      <c r="HSL385"/>
      <c r="HSM385"/>
      <c r="HSN385"/>
      <c r="HSO385"/>
      <c r="HSP385"/>
      <c r="HSQ385"/>
      <c r="HSR385"/>
      <c r="HSS385"/>
      <c r="HST385"/>
      <c r="HSU385"/>
      <c r="HSV385"/>
      <c r="HSW385"/>
      <c r="HSX385"/>
      <c r="HSY385"/>
      <c r="HSZ385"/>
      <c r="HTA385"/>
      <c r="HTB385"/>
      <c r="HTC385"/>
      <c r="HTD385"/>
      <c r="HTE385"/>
      <c r="HTF385"/>
      <c r="HTG385"/>
      <c r="HTH385"/>
      <c r="HTI385"/>
      <c r="HTJ385"/>
      <c r="HTK385"/>
      <c r="HTL385"/>
      <c r="HTM385"/>
      <c r="HTN385"/>
      <c r="HTO385"/>
      <c r="HTP385"/>
      <c r="HTQ385"/>
      <c r="HTR385"/>
      <c r="HTS385"/>
      <c r="HTT385"/>
      <c r="HTU385"/>
      <c r="HTV385"/>
      <c r="HTW385"/>
      <c r="HTX385"/>
      <c r="HTY385"/>
      <c r="HTZ385"/>
      <c r="HUA385"/>
      <c r="HUB385"/>
      <c r="HUC385"/>
      <c r="HUD385"/>
      <c r="HUE385"/>
      <c r="HUF385"/>
      <c r="HUG385"/>
      <c r="HUH385"/>
      <c r="HUI385"/>
      <c r="HUJ385"/>
      <c r="HUK385"/>
      <c r="HUL385"/>
      <c r="HUM385"/>
      <c r="HUN385"/>
      <c r="HUO385"/>
      <c r="HUP385"/>
      <c r="HUQ385"/>
      <c r="HUR385"/>
      <c r="HUS385"/>
      <c r="HUT385"/>
      <c r="HUU385"/>
      <c r="HUV385"/>
      <c r="HUW385"/>
      <c r="HUX385"/>
      <c r="HUY385"/>
      <c r="HUZ385"/>
      <c r="HVA385"/>
      <c r="HVB385"/>
      <c r="HVC385"/>
      <c r="HVD385"/>
      <c r="HVE385"/>
      <c r="HVF385"/>
      <c r="HVG385"/>
      <c r="HVH385"/>
      <c r="HVI385"/>
      <c r="HVJ385"/>
      <c r="HVK385"/>
      <c r="HVL385"/>
      <c r="HVM385"/>
      <c r="HVN385"/>
      <c r="HVO385"/>
      <c r="HVP385"/>
      <c r="HVQ385"/>
      <c r="HVR385"/>
      <c r="HVS385"/>
      <c r="HVT385"/>
      <c r="HVU385"/>
      <c r="HVV385"/>
      <c r="HVW385"/>
      <c r="HVX385"/>
      <c r="HVY385"/>
      <c r="HVZ385"/>
      <c r="HWA385"/>
      <c r="HWB385"/>
      <c r="HWC385"/>
      <c r="HWD385"/>
      <c r="HWE385"/>
      <c r="HWF385"/>
      <c r="HWG385"/>
      <c r="HWH385"/>
      <c r="HWI385"/>
      <c r="HWJ385"/>
      <c r="HWK385"/>
      <c r="HWL385"/>
      <c r="HWM385"/>
      <c r="HWN385"/>
      <c r="HWO385"/>
      <c r="HWP385"/>
      <c r="HWQ385"/>
      <c r="HWR385"/>
      <c r="HWS385"/>
      <c r="HWT385"/>
      <c r="HWU385"/>
      <c r="HWV385"/>
      <c r="HWW385"/>
      <c r="HWX385"/>
      <c r="HWY385"/>
      <c r="HWZ385"/>
      <c r="HXA385"/>
      <c r="HXB385"/>
      <c r="HXC385"/>
      <c r="HXD385"/>
      <c r="HXE385"/>
      <c r="HXF385"/>
      <c r="HXG385"/>
      <c r="HXH385"/>
      <c r="HXI385"/>
      <c r="HXJ385"/>
      <c r="HXK385"/>
      <c r="HXL385"/>
      <c r="HXM385"/>
      <c r="HXN385"/>
      <c r="HXO385"/>
      <c r="HXP385"/>
      <c r="HXQ385"/>
      <c r="HXR385"/>
      <c r="HXS385"/>
      <c r="HXT385"/>
      <c r="HXU385"/>
      <c r="HXV385"/>
      <c r="HXW385"/>
      <c r="HXX385"/>
      <c r="HXY385"/>
      <c r="HXZ385"/>
      <c r="HYA385"/>
      <c r="HYB385"/>
      <c r="HYC385"/>
      <c r="HYD385"/>
      <c r="HYE385"/>
      <c r="HYF385"/>
      <c r="HYG385"/>
      <c r="HYH385"/>
      <c r="HYI385"/>
      <c r="HYJ385"/>
      <c r="HYK385"/>
      <c r="HYL385"/>
      <c r="HYM385"/>
      <c r="HYN385"/>
      <c r="HYO385"/>
      <c r="HYP385"/>
      <c r="HYQ385"/>
      <c r="HYR385"/>
      <c r="HYS385"/>
      <c r="HYT385"/>
      <c r="HYU385"/>
      <c r="HYV385"/>
      <c r="HYW385"/>
      <c r="HYX385"/>
      <c r="HYY385"/>
      <c r="HYZ385"/>
      <c r="HZA385"/>
      <c r="HZB385"/>
      <c r="HZC385"/>
      <c r="HZD385"/>
      <c r="HZE385"/>
      <c r="HZF385"/>
      <c r="HZG385"/>
      <c r="HZH385"/>
      <c r="HZI385"/>
      <c r="HZJ385"/>
      <c r="HZK385"/>
      <c r="HZL385"/>
      <c r="HZM385"/>
      <c r="HZN385"/>
      <c r="HZO385"/>
      <c r="HZP385"/>
      <c r="HZQ385"/>
      <c r="HZR385"/>
      <c r="HZS385"/>
      <c r="HZT385"/>
      <c r="HZU385"/>
      <c r="HZV385"/>
      <c r="HZW385"/>
      <c r="HZX385"/>
      <c r="HZY385"/>
      <c r="HZZ385"/>
      <c r="IAA385"/>
      <c r="IAB385"/>
      <c r="IAC385"/>
      <c r="IAD385"/>
      <c r="IAE385"/>
      <c r="IAF385"/>
      <c r="IAG385"/>
      <c r="IAH385"/>
      <c r="IAI385"/>
      <c r="IAJ385"/>
      <c r="IAK385"/>
      <c r="IAL385"/>
      <c r="IAM385"/>
      <c r="IAN385"/>
      <c r="IAO385"/>
      <c r="IAP385"/>
      <c r="IAQ385"/>
      <c r="IAR385"/>
      <c r="IAS385"/>
      <c r="IAT385"/>
      <c r="IAU385"/>
      <c r="IAV385"/>
      <c r="IAW385"/>
      <c r="IAX385"/>
      <c r="IAY385"/>
      <c r="IAZ385"/>
      <c r="IBA385"/>
      <c r="IBB385"/>
      <c r="IBC385"/>
      <c r="IBD385"/>
      <c r="IBE385"/>
      <c r="IBF385"/>
      <c r="IBG385"/>
      <c r="IBH385"/>
      <c r="IBI385"/>
      <c r="IBJ385"/>
      <c r="IBK385"/>
      <c r="IBL385"/>
      <c r="IBM385"/>
      <c r="IBN385"/>
      <c r="IBO385"/>
      <c r="IBP385"/>
      <c r="IBQ385"/>
      <c r="IBR385"/>
      <c r="IBS385"/>
      <c r="IBT385"/>
      <c r="IBU385"/>
      <c r="IBV385"/>
      <c r="IBW385"/>
      <c r="IBX385"/>
      <c r="IBY385"/>
      <c r="IBZ385"/>
      <c r="ICA385"/>
      <c r="ICB385"/>
      <c r="ICC385"/>
      <c r="ICD385"/>
      <c r="ICE385"/>
      <c r="ICF385"/>
      <c r="ICG385"/>
      <c r="ICH385"/>
      <c r="ICI385"/>
      <c r="ICJ385"/>
      <c r="ICK385"/>
      <c r="ICL385"/>
      <c r="ICM385"/>
      <c r="ICN385"/>
      <c r="ICO385"/>
      <c r="ICP385"/>
      <c r="ICQ385"/>
      <c r="ICR385"/>
      <c r="ICS385"/>
      <c r="ICT385"/>
      <c r="ICU385"/>
      <c r="ICV385"/>
      <c r="ICW385"/>
      <c r="ICX385"/>
      <c r="ICY385"/>
      <c r="ICZ385"/>
      <c r="IDA385"/>
      <c r="IDB385"/>
      <c r="IDC385"/>
      <c r="IDD385"/>
      <c r="IDE385"/>
      <c r="IDF385"/>
      <c r="IDG385"/>
      <c r="IDH385"/>
      <c r="IDI385"/>
      <c r="IDJ385"/>
      <c r="IDK385"/>
      <c r="IDL385"/>
      <c r="IDM385"/>
      <c r="IDN385"/>
      <c r="IDO385"/>
      <c r="IDP385"/>
      <c r="IDQ385"/>
      <c r="IDR385"/>
      <c r="IDS385"/>
      <c r="IDT385"/>
      <c r="IDU385"/>
      <c r="IDV385"/>
      <c r="IDW385"/>
      <c r="IDX385"/>
      <c r="IDY385"/>
      <c r="IDZ385"/>
      <c r="IEA385"/>
      <c r="IEB385"/>
      <c r="IEC385"/>
      <c r="IED385"/>
      <c r="IEE385"/>
      <c r="IEF385"/>
      <c r="IEG385"/>
      <c r="IEH385"/>
      <c r="IEI385"/>
      <c r="IEJ385"/>
      <c r="IEK385"/>
      <c r="IEL385"/>
      <c r="IEM385"/>
      <c r="IEN385"/>
      <c r="IEO385"/>
      <c r="IEP385"/>
      <c r="IEQ385"/>
      <c r="IER385"/>
      <c r="IES385"/>
      <c r="IET385"/>
      <c r="IEU385"/>
      <c r="IEV385"/>
      <c r="IEW385"/>
      <c r="IEX385"/>
      <c r="IEY385"/>
      <c r="IEZ385"/>
      <c r="IFA385"/>
      <c r="IFB385"/>
      <c r="IFC385"/>
      <c r="IFD385"/>
      <c r="IFE385"/>
      <c r="IFF385"/>
      <c r="IFG385"/>
      <c r="IFH385"/>
      <c r="IFI385"/>
      <c r="IFJ385"/>
      <c r="IFK385"/>
      <c r="IFL385"/>
      <c r="IFM385"/>
      <c r="IFN385"/>
      <c r="IFO385"/>
      <c r="IFP385"/>
      <c r="IFQ385"/>
      <c r="IFR385"/>
      <c r="IFS385"/>
      <c r="IFT385"/>
      <c r="IFU385"/>
      <c r="IFV385"/>
      <c r="IFW385"/>
      <c r="IFX385"/>
      <c r="IFY385"/>
      <c r="IFZ385"/>
      <c r="IGA385"/>
      <c r="IGB385"/>
      <c r="IGC385"/>
      <c r="IGD385"/>
      <c r="IGE385"/>
      <c r="IGF385"/>
      <c r="IGG385"/>
      <c r="IGH385"/>
      <c r="IGI385"/>
      <c r="IGJ385"/>
      <c r="IGK385"/>
      <c r="IGL385"/>
      <c r="IGM385"/>
      <c r="IGN385"/>
      <c r="IGO385"/>
      <c r="IGP385"/>
      <c r="IGQ385"/>
      <c r="IGR385"/>
      <c r="IGS385"/>
      <c r="IGT385"/>
      <c r="IGU385"/>
      <c r="IGV385"/>
      <c r="IGW385"/>
      <c r="IGX385"/>
      <c r="IGY385"/>
      <c r="IGZ385"/>
      <c r="IHA385"/>
      <c r="IHB385"/>
      <c r="IHC385"/>
      <c r="IHD385"/>
      <c r="IHE385"/>
      <c r="IHF385"/>
      <c r="IHG385"/>
      <c r="IHH385"/>
      <c r="IHI385"/>
      <c r="IHJ385"/>
      <c r="IHK385"/>
      <c r="IHL385"/>
      <c r="IHM385"/>
      <c r="IHN385"/>
      <c r="IHO385"/>
      <c r="IHP385"/>
      <c r="IHQ385"/>
      <c r="IHR385"/>
      <c r="IHS385"/>
      <c r="IHT385"/>
      <c r="IHU385"/>
      <c r="IHV385"/>
      <c r="IHW385"/>
      <c r="IHX385"/>
      <c r="IHY385"/>
      <c r="IHZ385"/>
      <c r="IIA385"/>
      <c r="IIB385"/>
      <c r="IIC385"/>
      <c r="IID385"/>
      <c r="IIE385"/>
      <c r="IIF385"/>
      <c r="IIG385"/>
      <c r="IIH385"/>
      <c r="III385"/>
      <c r="IIJ385"/>
      <c r="IIK385"/>
      <c r="IIL385"/>
      <c r="IIM385"/>
      <c r="IIN385"/>
      <c r="IIO385"/>
      <c r="IIP385"/>
      <c r="IIQ385"/>
      <c r="IIR385"/>
      <c r="IIS385"/>
      <c r="IIT385"/>
      <c r="IIU385"/>
      <c r="IIV385"/>
      <c r="IIW385"/>
      <c r="IIX385"/>
      <c r="IIY385"/>
      <c r="IIZ385"/>
      <c r="IJA385"/>
      <c r="IJB385"/>
      <c r="IJC385"/>
      <c r="IJD385"/>
      <c r="IJE385"/>
      <c r="IJF385"/>
      <c r="IJG385"/>
      <c r="IJH385"/>
      <c r="IJI385"/>
      <c r="IJJ385"/>
      <c r="IJK385"/>
      <c r="IJL385"/>
      <c r="IJM385"/>
      <c r="IJN385"/>
      <c r="IJO385"/>
      <c r="IJP385"/>
      <c r="IJQ385"/>
      <c r="IJR385"/>
      <c r="IJS385"/>
      <c r="IJT385"/>
      <c r="IJU385"/>
      <c r="IJV385"/>
      <c r="IJW385"/>
      <c r="IJX385"/>
      <c r="IJY385"/>
      <c r="IJZ385"/>
      <c r="IKA385"/>
      <c r="IKB385"/>
      <c r="IKC385"/>
      <c r="IKD385"/>
      <c r="IKE385"/>
      <c r="IKF385"/>
      <c r="IKG385"/>
      <c r="IKH385"/>
      <c r="IKI385"/>
      <c r="IKJ385"/>
      <c r="IKK385"/>
      <c r="IKL385"/>
      <c r="IKM385"/>
      <c r="IKN385"/>
      <c r="IKO385"/>
      <c r="IKP385"/>
      <c r="IKQ385"/>
      <c r="IKR385"/>
      <c r="IKS385"/>
      <c r="IKT385"/>
      <c r="IKU385"/>
      <c r="IKV385"/>
      <c r="IKW385"/>
      <c r="IKX385"/>
      <c r="IKY385"/>
      <c r="IKZ385"/>
      <c r="ILA385"/>
      <c r="ILB385"/>
      <c r="ILC385"/>
      <c r="ILD385"/>
      <c r="ILE385"/>
      <c r="ILF385"/>
      <c r="ILG385"/>
      <c r="ILH385"/>
      <c r="ILI385"/>
      <c r="ILJ385"/>
      <c r="ILK385"/>
      <c r="ILL385"/>
      <c r="ILM385"/>
      <c r="ILN385"/>
      <c r="ILO385"/>
      <c r="ILP385"/>
      <c r="ILQ385"/>
      <c r="ILR385"/>
      <c r="ILS385"/>
      <c r="ILT385"/>
      <c r="ILU385"/>
      <c r="ILV385"/>
      <c r="ILW385"/>
      <c r="ILX385"/>
      <c r="ILY385"/>
      <c r="ILZ385"/>
      <c r="IMA385"/>
      <c r="IMB385"/>
      <c r="IMC385"/>
      <c r="IMD385"/>
      <c r="IME385"/>
      <c r="IMF385"/>
      <c r="IMG385"/>
      <c r="IMH385"/>
      <c r="IMI385"/>
      <c r="IMJ385"/>
      <c r="IMK385"/>
      <c r="IML385"/>
      <c r="IMM385"/>
      <c r="IMN385"/>
      <c r="IMO385"/>
      <c r="IMP385"/>
      <c r="IMQ385"/>
      <c r="IMR385"/>
      <c r="IMS385"/>
      <c r="IMT385"/>
      <c r="IMU385"/>
      <c r="IMV385"/>
      <c r="IMW385"/>
      <c r="IMX385"/>
      <c r="IMY385"/>
      <c r="IMZ385"/>
      <c r="INA385"/>
      <c r="INB385"/>
      <c r="INC385"/>
      <c r="IND385"/>
      <c r="INE385"/>
      <c r="INF385"/>
      <c r="ING385"/>
      <c r="INH385"/>
      <c r="INI385"/>
      <c r="INJ385"/>
      <c r="INK385"/>
      <c r="INL385"/>
      <c r="INM385"/>
      <c r="INN385"/>
      <c r="INO385"/>
      <c r="INP385"/>
      <c r="INQ385"/>
      <c r="INR385"/>
      <c r="INS385"/>
      <c r="INT385"/>
      <c r="INU385"/>
      <c r="INV385"/>
      <c r="INW385"/>
      <c r="INX385"/>
      <c r="INY385"/>
      <c r="INZ385"/>
      <c r="IOA385"/>
      <c r="IOB385"/>
      <c r="IOC385"/>
      <c r="IOD385"/>
      <c r="IOE385"/>
      <c r="IOF385"/>
      <c r="IOG385"/>
      <c r="IOH385"/>
      <c r="IOI385"/>
      <c r="IOJ385"/>
      <c r="IOK385"/>
      <c r="IOL385"/>
      <c r="IOM385"/>
      <c r="ION385"/>
      <c r="IOO385"/>
      <c r="IOP385"/>
      <c r="IOQ385"/>
      <c r="IOR385"/>
      <c r="IOS385"/>
      <c r="IOT385"/>
      <c r="IOU385"/>
      <c r="IOV385"/>
      <c r="IOW385"/>
      <c r="IOX385"/>
      <c r="IOY385"/>
      <c r="IOZ385"/>
      <c r="IPA385"/>
      <c r="IPB385"/>
      <c r="IPC385"/>
      <c r="IPD385"/>
      <c r="IPE385"/>
      <c r="IPF385"/>
      <c r="IPG385"/>
      <c r="IPH385"/>
      <c r="IPI385"/>
      <c r="IPJ385"/>
      <c r="IPK385"/>
      <c r="IPL385"/>
      <c r="IPM385"/>
      <c r="IPN385"/>
      <c r="IPO385"/>
      <c r="IPP385"/>
      <c r="IPQ385"/>
      <c r="IPR385"/>
      <c r="IPS385"/>
      <c r="IPT385"/>
      <c r="IPU385"/>
      <c r="IPV385"/>
      <c r="IPW385"/>
      <c r="IPX385"/>
      <c r="IPY385"/>
      <c r="IPZ385"/>
      <c r="IQA385"/>
      <c r="IQB385"/>
      <c r="IQC385"/>
      <c r="IQD385"/>
      <c r="IQE385"/>
      <c r="IQF385"/>
      <c r="IQG385"/>
      <c r="IQH385"/>
      <c r="IQI385"/>
      <c r="IQJ385"/>
      <c r="IQK385"/>
      <c r="IQL385"/>
      <c r="IQM385"/>
      <c r="IQN385"/>
      <c r="IQO385"/>
      <c r="IQP385"/>
      <c r="IQQ385"/>
      <c r="IQR385"/>
      <c r="IQS385"/>
      <c r="IQT385"/>
      <c r="IQU385"/>
      <c r="IQV385"/>
      <c r="IQW385"/>
      <c r="IQX385"/>
      <c r="IQY385"/>
      <c r="IQZ385"/>
      <c r="IRA385"/>
      <c r="IRB385"/>
      <c r="IRC385"/>
      <c r="IRD385"/>
      <c r="IRE385"/>
      <c r="IRF385"/>
      <c r="IRG385"/>
      <c r="IRH385"/>
      <c r="IRI385"/>
      <c r="IRJ385"/>
      <c r="IRK385"/>
      <c r="IRL385"/>
      <c r="IRM385"/>
      <c r="IRN385"/>
      <c r="IRO385"/>
      <c r="IRP385"/>
      <c r="IRQ385"/>
      <c r="IRR385"/>
      <c r="IRS385"/>
      <c r="IRT385"/>
      <c r="IRU385"/>
      <c r="IRV385"/>
      <c r="IRW385"/>
      <c r="IRX385"/>
      <c r="IRY385"/>
      <c r="IRZ385"/>
      <c r="ISA385"/>
      <c r="ISB385"/>
      <c r="ISC385"/>
      <c r="ISD385"/>
      <c r="ISE385"/>
      <c r="ISF385"/>
      <c r="ISG385"/>
      <c r="ISH385"/>
      <c r="ISI385"/>
      <c r="ISJ385"/>
      <c r="ISK385"/>
      <c r="ISL385"/>
      <c r="ISM385"/>
      <c r="ISN385"/>
      <c r="ISO385"/>
      <c r="ISP385"/>
      <c r="ISQ385"/>
      <c r="ISR385"/>
      <c r="ISS385"/>
      <c r="IST385"/>
      <c r="ISU385"/>
      <c r="ISV385"/>
      <c r="ISW385"/>
      <c r="ISX385"/>
      <c r="ISY385"/>
      <c r="ISZ385"/>
      <c r="ITA385"/>
      <c r="ITB385"/>
      <c r="ITC385"/>
      <c r="ITD385"/>
      <c r="ITE385"/>
      <c r="ITF385"/>
      <c r="ITG385"/>
      <c r="ITH385"/>
      <c r="ITI385"/>
      <c r="ITJ385"/>
      <c r="ITK385"/>
      <c r="ITL385"/>
      <c r="ITM385"/>
      <c r="ITN385"/>
      <c r="ITO385"/>
      <c r="ITP385"/>
      <c r="ITQ385"/>
      <c r="ITR385"/>
      <c r="ITS385"/>
      <c r="ITT385"/>
      <c r="ITU385"/>
      <c r="ITV385"/>
      <c r="ITW385"/>
      <c r="ITX385"/>
      <c r="ITY385"/>
      <c r="ITZ385"/>
      <c r="IUA385"/>
      <c r="IUB385"/>
      <c r="IUC385"/>
      <c r="IUD385"/>
      <c r="IUE385"/>
      <c r="IUF385"/>
      <c r="IUG385"/>
      <c r="IUH385"/>
      <c r="IUI385"/>
      <c r="IUJ385"/>
      <c r="IUK385"/>
      <c r="IUL385"/>
      <c r="IUM385"/>
      <c r="IUN385"/>
      <c r="IUO385"/>
      <c r="IUP385"/>
      <c r="IUQ385"/>
      <c r="IUR385"/>
      <c r="IUS385"/>
      <c r="IUT385"/>
      <c r="IUU385"/>
      <c r="IUV385"/>
      <c r="IUW385"/>
      <c r="IUX385"/>
      <c r="IUY385"/>
      <c r="IUZ385"/>
      <c r="IVA385"/>
      <c r="IVB385"/>
      <c r="IVC385"/>
      <c r="IVD385"/>
      <c r="IVE385"/>
      <c r="IVF385"/>
      <c r="IVG385"/>
      <c r="IVH385"/>
      <c r="IVI385"/>
      <c r="IVJ385"/>
      <c r="IVK385"/>
      <c r="IVL385"/>
      <c r="IVM385"/>
      <c r="IVN385"/>
      <c r="IVO385"/>
      <c r="IVP385"/>
      <c r="IVQ385"/>
      <c r="IVR385"/>
      <c r="IVS385"/>
      <c r="IVT385"/>
      <c r="IVU385"/>
      <c r="IVV385"/>
      <c r="IVW385"/>
      <c r="IVX385"/>
      <c r="IVY385"/>
      <c r="IVZ385"/>
      <c r="IWA385"/>
      <c r="IWB385"/>
      <c r="IWC385"/>
      <c r="IWD385"/>
      <c r="IWE385"/>
      <c r="IWF385"/>
      <c r="IWG385"/>
      <c r="IWH385"/>
      <c r="IWI385"/>
      <c r="IWJ385"/>
      <c r="IWK385"/>
      <c r="IWL385"/>
      <c r="IWM385"/>
      <c r="IWN385"/>
      <c r="IWO385"/>
      <c r="IWP385"/>
      <c r="IWQ385"/>
      <c r="IWR385"/>
      <c r="IWS385"/>
      <c r="IWT385"/>
      <c r="IWU385"/>
      <c r="IWV385"/>
      <c r="IWW385"/>
      <c r="IWX385"/>
      <c r="IWY385"/>
      <c r="IWZ385"/>
      <c r="IXA385"/>
      <c r="IXB385"/>
      <c r="IXC385"/>
      <c r="IXD385"/>
      <c r="IXE385"/>
      <c r="IXF385"/>
      <c r="IXG385"/>
      <c r="IXH385"/>
      <c r="IXI385"/>
      <c r="IXJ385"/>
      <c r="IXK385"/>
      <c r="IXL385"/>
      <c r="IXM385"/>
      <c r="IXN385"/>
      <c r="IXO385"/>
      <c r="IXP385"/>
      <c r="IXQ385"/>
      <c r="IXR385"/>
      <c r="IXS385"/>
      <c r="IXT385"/>
      <c r="IXU385"/>
      <c r="IXV385"/>
      <c r="IXW385"/>
      <c r="IXX385"/>
      <c r="IXY385"/>
      <c r="IXZ385"/>
      <c r="IYA385"/>
      <c r="IYB385"/>
      <c r="IYC385"/>
      <c r="IYD385"/>
      <c r="IYE385"/>
      <c r="IYF385"/>
      <c r="IYG385"/>
      <c r="IYH385"/>
      <c r="IYI385"/>
      <c r="IYJ385"/>
      <c r="IYK385"/>
      <c r="IYL385"/>
      <c r="IYM385"/>
      <c r="IYN385"/>
      <c r="IYO385"/>
      <c r="IYP385"/>
      <c r="IYQ385"/>
      <c r="IYR385"/>
      <c r="IYS385"/>
      <c r="IYT385"/>
      <c r="IYU385"/>
      <c r="IYV385"/>
      <c r="IYW385"/>
      <c r="IYX385"/>
      <c r="IYY385"/>
      <c r="IYZ385"/>
      <c r="IZA385"/>
      <c r="IZB385"/>
      <c r="IZC385"/>
      <c r="IZD385"/>
      <c r="IZE385"/>
      <c r="IZF385"/>
      <c r="IZG385"/>
      <c r="IZH385"/>
      <c r="IZI385"/>
      <c r="IZJ385"/>
      <c r="IZK385"/>
      <c r="IZL385"/>
      <c r="IZM385"/>
      <c r="IZN385"/>
      <c r="IZO385"/>
      <c r="IZP385"/>
      <c r="IZQ385"/>
      <c r="IZR385"/>
      <c r="IZS385"/>
      <c r="IZT385"/>
      <c r="IZU385"/>
      <c r="IZV385"/>
      <c r="IZW385"/>
      <c r="IZX385"/>
      <c r="IZY385"/>
      <c r="IZZ385"/>
      <c r="JAA385"/>
      <c r="JAB385"/>
      <c r="JAC385"/>
      <c r="JAD385"/>
      <c r="JAE385"/>
      <c r="JAF385"/>
      <c r="JAG385"/>
      <c r="JAH385"/>
      <c r="JAI385"/>
      <c r="JAJ385"/>
      <c r="JAK385"/>
      <c r="JAL385"/>
      <c r="JAM385"/>
      <c r="JAN385"/>
      <c r="JAO385"/>
      <c r="JAP385"/>
      <c r="JAQ385"/>
      <c r="JAR385"/>
      <c r="JAS385"/>
      <c r="JAT385"/>
      <c r="JAU385"/>
      <c r="JAV385"/>
      <c r="JAW385"/>
      <c r="JAX385"/>
      <c r="JAY385"/>
      <c r="JAZ385"/>
      <c r="JBA385"/>
      <c r="JBB385"/>
      <c r="JBC385"/>
      <c r="JBD385"/>
      <c r="JBE385"/>
      <c r="JBF385"/>
      <c r="JBG385"/>
      <c r="JBH385"/>
      <c r="JBI385"/>
      <c r="JBJ385"/>
      <c r="JBK385"/>
      <c r="JBL385"/>
      <c r="JBM385"/>
      <c r="JBN385"/>
      <c r="JBO385"/>
      <c r="JBP385"/>
      <c r="JBQ385"/>
      <c r="JBR385"/>
      <c r="JBS385"/>
      <c r="JBT385"/>
      <c r="JBU385"/>
      <c r="JBV385"/>
      <c r="JBW385"/>
      <c r="JBX385"/>
      <c r="JBY385"/>
      <c r="JBZ385"/>
      <c r="JCA385"/>
      <c r="JCB385"/>
      <c r="JCC385"/>
      <c r="JCD385"/>
      <c r="JCE385"/>
      <c r="JCF385"/>
      <c r="JCG385"/>
      <c r="JCH385"/>
      <c r="JCI385"/>
      <c r="JCJ385"/>
      <c r="JCK385"/>
      <c r="JCL385"/>
      <c r="JCM385"/>
      <c r="JCN385"/>
      <c r="JCO385"/>
      <c r="JCP385"/>
      <c r="JCQ385"/>
      <c r="JCR385"/>
      <c r="JCS385"/>
      <c r="JCT385"/>
      <c r="JCU385"/>
      <c r="JCV385"/>
      <c r="JCW385"/>
      <c r="JCX385"/>
      <c r="JCY385"/>
      <c r="JCZ385"/>
      <c r="JDA385"/>
      <c r="JDB385"/>
      <c r="JDC385"/>
      <c r="JDD385"/>
      <c r="JDE385"/>
      <c r="JDF385"/>
      <c r="JDG385"/>
      <c r="JDH385"/>
      <c r="JDI385"/>
      <c r="JDJ385"/>
      <c r="JDK385"/>
      <c r="JDL385"/>
      <c r="JDM385"/>
      <c r="JDN385"/>
      <c r="JDO385"/>
      <c r="JDP385"/>
      <c r="JDQ385"/>
      <c r="JDR385"/>
      <c r="JDS385"/>
      <c r="JDT385"/>
      <c r="JDU385"/>
      <c r="JDV385"/>
      <c r="JDW385"/>
      <c r="JDX385"/>
      <c r="JDY385"/>
      <c r="JDZ385"/>
      <c r="JEA385"/>
      <c r="JEB385"/>
      <c r="JEC385"/>
      <c r="JED385"/>
      <c r="JEE385"/>
      <c r="JEF385"/>
      <c r="JEG385"/>
      <c r="JEH385"/>
      <c r="JEI385"/>
      <c r="JEJ385"/>
      <c r="JEK385"/>
      <c r="JEL385"/>
      <c r="JEM385"/>
      <c r="JEN385"/>
      <c r="JEO385"/>
      <c r="JEP385"/>
      <c r="JEQ385"/>
      <c r="JER385"/>
      <c r="JES385"/>
      <c r="JET385"/>
      <c r="JEU385"/>
      <c r="JEV385"/>
      <c r="JEW385"/>
      <c r="JEX385"/>
      <c r="JEY385"/>
      <c r="JEZ385"/>
      <c r="JFA385"/>
      <c r="JFB385"/>
      <c r="JFC385"/>
      <c r="JFD385"/>
      <c r="JFE385"/>
      <c r="JFF385"/>
      <c r="JFG385"/>
      <c r="JFH385"/>
      <c r="JFI385"/>
      <c r="JFJ385"/>
      <c r="JFK385"/>
      <c r="JFL385"/>
      <c r="JFM385"/>
      <c r="JFN385"/>
      <c r="JFO385"/>
      <c r="JFP385"/>
      <c r="JFQ385"/>
      <c r="JFR385"/>
      <c r="JFS385"/>
      <c r="JFT385"/>
      <c r="JFU385"/>
      <c r="JFV385"/>
      <c r="JFW385"/>
      <c r="JFX385"/>
      <c r="JFY385"/>
      <c r="JFZ385"/>
      <c r="JGA385"/>
      <c r="JGB385"/>
      <c r="JGC385"/>
      <c r="JGD385"/>
      <c r="JGE385"/>
      <c r="JGF385"/>
      <c r="JGG385"/>
      <c r="JGH385"/>
      <c r="JGI385"/>
      <c r="JGJ385"/>
      <c r="JGK385"/>
      <c r="JGL385"/>
      <c r="JGM385"/>
      <c r="JGN385"/>
      <c r="JGO385"/>
      <c r="JGP385"/>
      <c r="JGQ385"/>
      <c r="JGR385"/>
      <c r="JGS385"/>
      <c r="JGT385"/>
      <c r="JGU385"/>
      <c r="JGV385"/>
      <c r="JGW385"/>
      <c r="JGX385"/>
      <c r="JGY385"/>
      <c r="JGZ385"/>
      <c r="JHA385"/>
      <c r="JHB385"/>
      <c r="JHC385"/>
      <c r="JHD385"/>
      <c r="JHE385"/>
      <c r="JHF385"/>
      <c r="JHG385"/>
      <c r="JHH385"/>
      <c r="JHI385"/>
      <c r="JHJ385"/>
      <c r="JHK385"/>
      <c r="JHL385"/>
      <c r="JHM385"/>
      <c r="JHN385"/>
      <c r="JHO385"/>
      <c r="JHP385"/>
      <c r="JHQ385"/>
      <c r="JHR385"/>
      <c r="JHS385"/>
      <c r="JHT385"/>
      <c r="JHU385"/>
      <c r="JHV385"/>
      <c r="JHW385"/>
      <c r="JHX385"/>
      <c r="JHY385"/>
      <c r="JHZ385"/>
      <c r="JIA385"/>
      <c r="JIB385"/>
      <c r="JIC385"/>
      <c r="JID385"/>
      <c r="JIE385"/>
      <c r="JIF385"/>
      <c r="JIG385"/>
      <c r="JIH385"/>
      <c r="JII385"/>
      <c r="JIJ385"/>
      <c r="JIK385"/>
      <c r="JIL385"/>
      <c r="JIM385"/>
      <c r="JIN385"/>
      <c r="JIO385"/>
      <c r="JIP385"/>
      <c r="JIQ385"/>
      <c r="JIR385"/>
      <c r="JIS385"/>
      <c r="JIT385"/>
      <c r="JIU385"/>
      <c r="JIV385"/>
      <c r="JIW385"/>
      <c r="JIX385"/>
      <c r="JIY385"/>
      <c r="JIZ385"/>
      <c r="JJA385"/>
      <c r="JJB385"/>
      <c r="JJC385"/>
      <c r="JJD385"/>
      <c r="JJE385"/>
      <c r="JJF385"/>
      <c r="JJG385"/>
      <c r="JJH385"/>
      <c r="JJI385"/>
      <c r="JJJ385"/>
      <c r="JJK385"/>
      <c r="JJL385"/>
      <c r="JJM385"/>
      <c r="JJN385"/>
      <c r="JJO385"/>
      <c r="JJP385"/>
      <c r="JJQ385"/>
      <c r="JJR385"/>
      <c r="JJS385"/>
      <c r="JJT385"/>
      <c r="JJU385"/>
      <c r="JJV385"/>
      <c r="JJW385"/>
      <c r="JJX385"/>
      <c r="JJY385"/>
      <c r="JJZ385"/>
      <c r="JKA385"/>
      <c r="JKB385"/>
      <c r="JKC385"/>
      <c r="JKD385"/>
      <c r="JKE385"/>
      <c r="JKF385"/>
      <c r="JKG385"/>
      <c r="JKH385"/>
      <c r="JKI385"/>
      <c r="JKJ385"/>
      <c r="JKK385"/>
      <c r="JKL385"/>
      <c r="JKM385"/>
      <c r="JKN385"/>
      <c r="JKO385"/>
      <c r="JKP385"/>
      <c r="JKQ385"/>
      <c r="JKR385"/>
      <c r="JKS385"/>
      <c r="JKT385"/>
      <c r="JKU385"/>
      <c r="JKV385"/>
      <c r="JKW385"/>
      <c r="JKX385"/>
      <c r="JKY385"/>
      <c r="JKZ385"/>
      <c r="JLA385"/>
      <c r="JLB385"/>
      <c r="JLC385"/>
      <c r="JLD385"/>
      <c r="JLE385"/>
      <c r="JLF385"/>
      <c r="JLG385"/>
      <c r="JLH385"/>
      <c r="JLI385"/>
      <c r="JLJ385"/>
      <c r="JLK385"/>
      <c r="JLL385"/>
      <c r="JLM385"/>
      <c r="JLN385"/>
      <c r="JLO385"/>
      <c r="JLP385"/>
      <c r="JLQ385"/>
      <c r="JLR385"/>
      <c r="JLS385"/>
      <c r="JLT385"/>
      <c r="JLU385"/>
      <c r="JLV385"/>
      <c r="JLW385"/>
      <c r="JLX385"/>
      <c r="JLY385"/>
      <c r="JLZ385"/>
      <c r="JMA385"/>
      <c r="JMB385"/>
      <c r="JMC385"/>
      <c r="JMD385"/>
      <c r="JME385"/>
      <c r="JMF385"/>
      <c r="JMG385"/>
      <c r="JMH385"/>
      <c r="JMI385"/>
      <c r="JMJ385"/>
      <c r="JMK385"/>
      <c r="JML385"/>
      <c r="JMM385"/>
      <c r="JMN385"/>
      <c r="JMO385"/>
      <c r="JMP385"/>
      <c r="JMQ385"/>
      <c r="JMR385"/>
      <c r="JMS385"/>
      <c r="JMT385"/>
      <c r="JMU385"/>
      <c r="JMV385"/>
      <c r="JMW385"/>
      <c r="JMX385"/>
      <c r="JMY385"/>
      <c r="JMZ385"/>
      <c r="JNA385"/>
      <c r="JNB385"/>
      <c r="JNC385"/>
      <c r="JND385"/>
      <c r="JNE385"/>
      <c r="JNF385"/>
      <c r="JNG385"/>
      <c r="JNH385"/>
      <c r="JNI385"/>
      <c r="JNJ385"/>
      <c r="JNK385"/>
      <c r="JNL385"/>
      <c r="JNM385"/>
      <c r="JNN385"/>
      <c r="JNO385"/>
      <c r="JNP385"/>
      <c r="JNQ385"/>
      <c r="JNR385"/>
      <c r="JNS385"/>
      <c r="JNT385"/>
      <c r="JNU385"/>
      <c r="JNV385"/>
      <c r="JNW385"/>
      <c r="JNX385"/>
      <c r="JNY385"/>
      <c r="JNZ385"/>
      <c r="JOA385"/>
      <c r="JOB385"/>
      <c r="JOC385"/>
      <c r="JOD385"/>
      <c r="JOE385"/>
      <c r="JOF385"/>
      <c r="JOG385"/>
      <c r="JOH385"/>
      <c r="JOI385"/>
      <c r="JOJ385"/>
      <c r="JOK385"/>
      <c r="JOL385"/>
      <c r="JOM385"/>
      <c r="JON385"/>
      <c r="JOO385"/>
      <c r="JOP385"/>
      <c r="JOQ385"/>
      <c r="JOR385"/>
      <c r="JOS385"/>
      <c r="JOT385"/>
      <c r="JOU385"/>
      <c r="JOV385"/>
      <c r="JOW385"/>
      <c r="JOX385"/>
      <c r="JOY385"/>
      <c r="JOZ385"/>
      <c r="JPA385"/>
      <c r="JPB385"/>
      <c r="JPC385"/>
      <c r="JPD385"/>
      <c r="JPE385"/>
      <c r="JPF385"/>
      <c r="JPG385"/>
      <c r="JPH385"/>
      <c r="JPI385"/>
      <c r="JPJ385"/>
      <c r="JPK385"/>
      <c r="JPL385"/>
      <c r="JPM385"/>
      <c r="JPN385"/>
      <c r="JPO385"/>
      <c r="JPP385"/>
      <c r="JPQ385"/>
      <c r="JPR385"/>
      <c r="JPS385"/>
      <c r="JPT385"/>
      <c r="JPU385"/>
      <c r="JPV385"/>
      <c r="JPW385"/>
      <c r="JPX385"/>
      <c r="JPY385"/>
      <c r="JPZ385"/>
      <c r="JQA385"/>
      <c r="JQB385"/>
      <c r="JQC385"/>
      <c r="JQD385"/>
      <c r="JQE385"/>
      <c r="JQF385"/>
      <c r="JQG385"/>
      <c r="JQH385"/>
      <c r="JQI385"/>
      <c r="JQJ385"/>
      <c r="JQK385"/>
      <c r="JQL385"/>
      <c r="JQM385"/>
      <c r="JQN385"/>
      <c r="JQO385"/>
      <c r="JQP385"/>
      <c r="JQQ385"/>
      <c r="JQR385"/>
      <c r="JQS385"/>
      <c r="JQT385"/>
      <c r="JQU385"/>
      <c r="JQV385"/>
      <c r="JQW385"/>
      <c r="JQX385"/>
      <c r="JQY385"/>
      <c r="JQZ385"/>
      <c r="JRA385"/>
      <c r="JRB385"/>
      <c r="JRC385"/>
      <c r="JRD385"/>
      <c r="JRE385"/>
      <c r="JRF385"/>
      <c r="JRG385"/>
      <c r="JRH385"/>
      <c r="JRI385"/>
      <c r="JRJ385"/>
      <c r="JRK385"/>
      <c r="JRL385"/>
      <c r="JRM385"/>
      <c r="JRN385"/>
      <c r="JRO385"/>
      <c r="JRP385"/>
      <c r="JRQ385"/>
      <c r="JRR385"/>
      <c r="JRS385"/>
      <c r="JRT385"/>
      <c r="JRU385"/>
      <c r="JRV385"/>
      <c r="JRW385"/>
      <c r="JRX385"/>
      <c r="JRY385"/>
      <c r="JRZ385"/>
      <c r="JSA385"/>
      <c r="JSB385"/>
      <c r="JSC385"/>
      <c r="JSD385"/>
      <c r="JSE385"/>
      <c r="JSF385"/>
      <c r="JSG385"/>
      <c r="JSH385"/>
      <c r="JSI385"/>
      <c r="JSJ385"/>
      <c r="JSK385"/>
      <c r="JSL385"/>
      <c r="JSM385"/>
      <c r="JSN385"/>
      <c r="JSO385"/>
      <c r="JSP385"/>
      <c r="JSQ385"/>
      <c r="JSR385"/>
      <c r="JSS385"/>
      <c r="JST385"/>
      <c r="JSU385"/>
      <c r="JSV385"/>
      <c r="JSW385"/>
      <c r="JSX385"/>
      <c r="JSY385"/>
      <c r="JSZ385"/>
      <c r="JTA385"/>
      <c r="JTB385"/>
      <c r="JTC385"/>
      <c r="JTD385"/>
      <c r="JTE385"/>
      <c r="JTF385"/>
      <c r="JTG385"/>
      <c r="JTH385"/>
      <c r="JTI385"/>
      <c r="JTJ385"/>
      <c r="JTK385"/>
      <c r="JTL385"/>
      <c r="JTM385"/>
      <c r="JTN385"/>
      <c r="JTO385"/>
      <c r="JTP385"/>
      <c r="JTQ385"/>
      <c r="JTR385"/>
      <c r="JTS385"/>
      <c r="JTT385"/>
      <c r="JTU385"/>
      <c r="JTV385"/>
      <c r="JTW385"/>
      <c r="JTX385"/>
      <c r="JTY385"/>
      <c r="JTZ385"/>
      <c r="JUA385"/>
      <c r="JUB385"/>
      <c r="JUC385"/>
      <c r="JUD385"/>
      <c r="JUE385"/>
      <c r="JUF385"/>
      <c r="JUG385"/>
      <c r="JUH385"/>
      <c r="JUI385"/>
      <c r="JUJ385"/>
      <c r="JUK385"/>
      <c r="JUL385"/>
      <c r="JUM385"/>
      <c r="JUN385"/>
      <c r="JUO385"/>
      <c r="JUP385"/>
      <c r="JUQ385"/>
      <c r="JUR385"/>
      <c r="JUS385"/>
      <c r="JUT385"/>
      <c r="JUU385"/>
      <c r="JUV385"/>
      <c r="JUW385"/>
      <c r="JUX385"/>
      <c r="JUY385"/>
      <c r="JUZ385"/>
      <c r="JVA385"/>
      <c r="JVB385"/>
      <c r="JVC385"/>
      <c r="JVD385"/>
      <c r="JVE385"/>
      <c r="JVF385"/>
      <c r="JVG385"/>
      <c r="JVH385"/>
      <c r="JVI385"/>
      <c r="JVJ385"/>
      <c r="JVK385"/>
      <c r="JVL385"/>
      <c r="JVM385"/>
      <c r="JVN385"/>
      <c r="JVO385"/>
      <c r="JVP385"/>
      <c r="JVQ385"/>
      <c r="JVR385"/>
      <c r="JVS385"/>
      <c r="JVT385"/>
      <c r="JVU385"/>
      <c r="JVV385"/>
      <c r="JVW385"/>
      <c r="JVX385"/>
      <c r="JVY385"/>
      <c r="JVZ385"/>
      <c r="JWA385"/>
      <c r="JWB385"/>
      <c r="JWC385"/>
      <c r="JWD385"/>
      <c r="JWE385"/>
      <c r="JWF385"/>
      <c r="JWG385"/>
      <c r="JWH385"/>
      <c r="JWI385"/>
      <c r="JWJ385"/>
      <c r="JWK385"/>
      <c r="JWL385"/>
      <c r="JWM385"/>
      <c r="JWN385"/>
      <c r="JWO385"/>
      <c r="JWP385"/>
      <c r="JWQ385"/>
      <c r="JWR385"/>
      <c r="JWS385"/>
      <c r="JWT385"/>
      <c r="JWU385"/>
      <c r="JWV385"/>
      <c r="JWW385"/>
      <c r="JWX385"/>
      <c r="JWY385"/>
      <c r="JWZ385"/>
      <c r="JXA385"/>
      <c r="JXB385"/>
      <c r="JXC385"/>
      <c r="JXD385"/>
      <c r="JXE385"/>
      <c r="JXF385"/>
      <c r="JXG385"/>
      <c r="JXH385"/>
      <c r="JXI385"/>
      <c r="JXJ385"/>
      <c r="JXK385"/>
      <c r="JXL385"/>
      <c r="JXM385"/>
      <c r="JXN385"/>
      <c r="JXO385"/>
      <c r="JXP385"/>
      <c r="JXQ385"/>
      <c r="JXR385"/>
      <c r="JXS385"/>
      <c r="JXT385"/>
      <c r="JXU385"/>
      <c r="JXV385"/>
      <c r="JXW385"/>
      <c r="JXX385"/>
      <c r="JXY385"/>
      <c r="JXZ385"/>
      <c r="JYA385"/>
      <c r="JYB385"/>
      <c r="JYC385"/>
      <c r="JYD385"/>
      <c r="JYE385"/>
      <c r="JYF385"/>
      <c r="JYG385"/>
      <c r="JYH385"/>
      <c r="JYI385"/>
      <c r="JYJ385"/>
      <c r="JYK385"/>
      <c r="JYL385"/>
      <c r="JYM385"/>
      <c r="JYN385"/>
      <c r="JYO385"/>
      <c r="JYP385"/>
      <c r="JYQ385"/>
      <c r="JYR385"/>
      <c r="JYS385"/>
      <c r="JYT385"/>
      <c r="JYU385"/>
      <c r="JYV385"/>
      <c r="JYW385"/>
      <c r="JYX385"/>
      <c r="JYY385"/>
      <c r="JYZ385"/>
      <c r="JZA385"/>
      <c r="JZB385"/>
      <c r="JZC385"/>
      <c r="JZD385"/>
      <c r="JZE385"/>
      <c r="JZF385"/>
      <c r="JZG385"/>
      <c r="JZH385"/>
      <c r="JZI385"/>
      <c r="JZJ385"/>
      <c r="JZK385"/>
      <c r="JZL385"/>
      <c r="JZM385"/>
      <c r="JZN385"/>
      <c r="JZO385"/>
      <c r="JZP385"/>
      <c r="JZQ385"/>
      <c r="JZR385"/>
      <c r="JZS385"/>
      <c r="JZT385"/>
      <c r="JZU385"/>
      <c r="JZV385"/>
      <c r="JZW385"/>
      <c r="JZX385"/>
      <c r="JZY385"/>
      <c r="JZZ385"/>
      <c r="KAA385"/>
      <c r="KAB385"/>
      <c r="KAC385"/>
      <c r="KAD385"/>
      <c r="KAE385"/>
      <c r="KAF385"/>
      <c r="KAG385"/>
      <c r="KAH385"/>
      <c r="KAI385"/>
      <c r="KAJ385"/>
      <c r="KAK385"/>
      <c r="KAL385"/>
      <c r="KAM385"/>
      <c r="KAN385"/>
      <c r="KAO385"/>
      <c r="KAP385"/>
      <c r="KAQ385"/>
      <c r="KAR385"/>
      <c r="KAS385"/>
      <c r="KAT385"/>
      <c r="KAU385"/>
      <c r="KAV385"/>
      <c r="KAW385"/>
      <c r="KAX385"/>
      <c r="KAY385"/>
      <c r="KAZ385"/>
      <c r="KBA385"/>
      <c r="KBB385"/>
      <c r="KBC385"/>
      <c r="KBD385"/>
      <c r="KBE385"/>
      <c r="KBF385"/>
      <c r="KBG385"/>
      <c r="KBH385"/>
      <c r="KBI385"/>
      <c r="KBJ385"/>
      <c r="KBK385"/>
      <c r="KBL385"/>
      <c r="KBM385"/>
      <c r="KBN385"/>
      <c r="KBO385"/>
      <c r="KBP385"/>
      <c r="KBQ385"/>
      <c r="KBR385"/>
      <c r="KBS385"/>
      <c r="KBT385"/>
      <c r="KBU385"/>
      <c r="KBV385"/>
      <c r="KBW385"/>
      <c r="KBX385"/>
      <c r="KBY385"/>
      <c r="KBZ385"/>
      <c r="KCA385"/>
      <c r="KCB385"/>
      <c r="KCC385"/>
      <c r="KCD385"/>
      <c r="KCE385"/>
      <c r="KCF385"/>
      <c r="KCG385"/>
      <c r="KCH385"/>
      <c r="KCI385"/>
      <c r="KCJ385"/>
      <c r="KCK385"/>
      <c r="KCL385"/>
      <c r="KCM385"/>
      <c r="KCN385"/>
      <c r="KCO385"/>
      <c r="KCP385"/>
      <c r="KCQ385"/>
      <c r="KCR385"/>
      <c r="KCS385"/>
      <c r="KCT385"/>
      <c r="KCU385"/>
      <c r="KCV385"/>
      <c r="KCW385"/>
      <c r="KCX385"/>
      <c r="KCY385"/>
      <c r="KCZ385"/>
      <c r="KDA385"/>
      <c r="KDB385"/>
      <c r="KDC385"/>
      <c r="KDD385"/>
      <c r="KDE385"/>
      <c r="KDF385"/>
      <c r="KDG385"/>
      <c r="KDH385"/>
      <c r="KDI385"/>
      <c r="KDJ385"/>
      <c r="KDK385"/>
      <c r="KDL385"/>
      <c r="KDM385"/>
      <c r="KDN385"/>
      <c r="KDO385"/>
      <c r="KDP385"/>
      <c r="KDQ385"/>
      <c r="KDR385"/>
      <c r="KDS385"/>
      <c r="KDT385"/>
      <c r="KDU385"/>
      <c r="KDV385"/>
      <c r="KDW385"/>
      <c r="KDX385"/>
      <c r="KDY385"/>
      <c r="KDZ385"/>
      <c r="KEA385"/>
      <c r="KEB385"/>
      <c r="KEC385"/>
      <c r="KED385"/>
      <c r="KEE385"/>
      <c r="KEF385"/>
      <c r="KEG385"/>
      <c r="KEH385"/>
      <c r="KEI385"/>
      <c r="KEJ385"/>
      <c r="KEK385"/>
      <c r="KEL385"/>
      <c r="KEM385"/>
      <c r="KEN385"/>
      <c r="KEO385"/>
      <c r="KEP385"/>
      <c r="KEQ385"/>
      <c r="KER385"/>
      <c r="KES385"/>
      <c r="KET385"/>
      <c r="KEU385"/>
      <c r="KEV385"/>
      <c r="KEW385"/>
      <c r="KEX385"/>
      <c r="KEY385"/>
      <c r="KEZ385"/>
      <c r="KFA385"/>
      <c r="KFB385"/>
      <c r="KFC385"/>
      <c r="KFD385"/>
      <c r="KFE385"/>
      <c r="KFF385"/>
      <c r="KFG385"/>
      <c r="KFH385"/>
      <c r="KFI385"/>
      <c r="KFJ385"/>
      <c r="KFK385"/>
      <c r="KFL385"/>
      <c r="KFM385"/>
      <c r="KFN385"/>
      <c r="KFO385"/>
      <c r="KFP385"/>
      <c r="KFQ385"/>
      <c r="KFR385"/>
      <c r="KFS385"/>
      <c r="KFT385"/>
      <c r="KFU385"/>
      <c r="KFV385"/>
      <c r="KFW385"/>
      <c r="KFX385"/>
      <c r="KFY385"/>
      <c r="KFZ385"/>
      <c r="KGA385"/>
      <c r="KGB385"/>
      <c r="KGC385"/>
      <c r="KGD385"/>
      <c r="KGE385"/>
      <c r="KGF385"/>
      <c r="KGG385"/>
      <c r="KGH385"/>
      <c r="KGI385"/>
      <c r="KGJ385"/>
      <c r="KGK385"/>
      <c r="KGL385"/>
      <c r="KGM385"/>
      <c r="KGN385"/>
      <c r="KGO385"/>
      <c r="KGP385"/>
      <c r="KGQ385"/>
      <c r="KGR385"/>
      <c r="KGS385"/>
      <c r="KGT385"/>
      <c r="KGU385"/>
      <c r="KGV385"/>
      <c r="KGW385"/>
      <c r="KGX385"/>
      <c r="KGY385"/>
      <c r="KGZ385"/>
      <c r="KHA385"/>
      <c r="KHB385"/>
      <c r="KHC385"/>
      <c r="KHD385"/>
      <c r="KHE385"/>
      <c r="KHF385"/>
      <c r="KHG385"/>
      <c r="KHH385"/>
      <c r="KHI385"/>
      <c r="KHJ385"/>
      <c r="KHK385"/>
      <c r="KHL385"/>
      <c r="KHM385"/>
      <c r="KHN385"/>
      <c r="KHO385"/>
      <c r="KHP385"/>
      <c r="KHQ385"/>
      <c r="KHR385"/>
      <c r="KHS385"/>
      <c r="KHT385"/>
      <c r="KHU385"/>
      <c r="KHV385"/>
      <c r="KHW385"/>
      <c r="KHX385"/>
      <c r="KHY385"/>
      <c r="KHZ385"/>
      <c r="KIA385"/>
      <c r="KIB385"/>
      <c r="KIC385"/>
      <c r="KID385"/>
      <c r="KIE385"/>
      <c r="KIF385"/>
      <c r="KIG385"/>
      <c r="KIH385"/>
      <c r="KII385"/>
      <c r="KIJ385"/>
      <c r="KIK385"/>
      <c r="KIL385"/>
      <c r="KIM385"/>
      <c r="KIN385"/>
      <c r="KIO385"/>
      <c r="KIP385"/>
      <c r="KIQ385"/>
      <c r="KIR385"/>
      <c r="KIS385"/>
      <c r="KIT385"/>
      <c r="KIU385"/>
      <c r="KIV385"/>
      <c r="KIW385"/>
      <c r="KIX385"/>
      <c r="KIY385"/>
      <c r="KIZ385"/>
      <c r="KJA385"/>
      <c r="KJB385"/>
      <c r="KJC385"/>
      <c r="KJD385"/>
      <c r="KJE385"/>
      <c r="KJF385"/>
      <c r="KJG385"/>
      <c r="KJH385"/>
      <c r="KJI385"/>
      <c r="KJJ385"/>
      <c r="KJK385"/>
      <c r="KJL385"/>
      <c r="KJM385"/>
      <c r="KJN385"/>
      <c r="KJO385"/>
      <c r="KJP385"/>
      <c r="KJQ385"/>
      <c r="KJR385"/>
      <c r="KJS385"/>
      <c r="KJT385"/>
      <c r="KJU385"/>
      <c r="KJV385"/>
      <c r="KJW385"/>
      <c r="KJX385"/>
      <c r="KJY385"/>
      <c r="KJZ385"/>
      <c r="KKA385"/>
      <c r="KKB385"/>
      <c r="KKC385"/>
      <c r="KKD385"/>
      <c r="KKE385"/>
      <c r="KKF385"/>
      <c r="KKG385"/>
      <c r="KKH385"/>
      <c r="KKI385"/>
      <c r="KKJ385"/>
      <c r="KKK385"/>
      <c r="KKL385"/>
      <c r="KKM385"/>
      <c r="KKN385"/>
      <c r="KKO385"/>
      <c r="KKP385"/>
      <c r="KKQ385"/>
      <c r="KKR385"/>
      <c r="KKS385"/>
      <c r="KKT385"/>
      <c r="KKU385"/>
      <c r="KKV385"/>
      <c r="KKW385"/>
      <c r="KKX385"/>
      <c r="KKY385"/>
      <c r="KKZ385"/>
      <c r="KLA385"/>
      <c r="KLB385"/>
      <c r="KLC385"/>
      <c r="KLD385"/>
      <c r="KLE385"/>
      <c r="KLF385"/>
      <c r="KLG385"/>
      <c r="KLH385"/>
      <c r="KLI385"/>
      <c r="KLJ385"/>
      <c r="KLK385"/>
      <c r="KLL385"/>
      <c r="KLM385"/>
      <c r="KLN385"/>
      <c r="KLO385"/>
      <c r="KLP385"/>
      <c r="KLQ385"/>
      <c r="KLR385"/>
      <c r="KLS385"/>
      <c r="KLT385"/>
      <c r="KLU385"/>
      <c r="KLV385"/>
      <c r="KLW385"/>
      <c r="KLX385"/>
      <c r="KLY385"/>
      <c r="KLZ385"/>
      <c r="KMA385"/>
      <c r="KMB385"/>
      <c r="KMC385"/>
      <c r="KMD385"/>
      <c r="KME385"/>
      <c r="KMF385"/>
      <c r="KMG385"/>
      <c r="KMH385"/>
      <c r="KMI385"/>
      <c r="KMJ385"/>
      <c r="KMK385"/>
      <c r="KML385"/>
      <c r="KMM385"/>
      <c r="KMN385"/>
      <c r="KMO385"/>
      <c r="KMP385"/>
      <c r="KMQ385"/>
      <c r="KMR385"/>
      <c r="KMS385"/>
      <c r="KMT385"/>
      <c r="KMU385"/>
      <c r="KMV385"/>
      <c r="KMW385"/>
      <c r="KMX385"/>
      <c r="KMY385"/>
      <c r="KMZ385"/>
      <c r="KNA385"/>
      <c r="KNB385"/>
      <c r="KNC385"/>
      <c r="KND385"/>
      <c r="KNE385"/>
      <c r="KNF385"/>
      <c r="KNG385"/>
      <c r="KNH385"/>
      <c r="KNI385"/>
      <c r="KNJ385"/>
      <c r="KNK385"/>
      <c r="KNL385"/>
      <c r="KNM385"/>
      <c r="KNN385"/>
      <c r="KNO385"/>
      <c r="KNP385"/>
      <c r="KNQ385"/>
      <c r="KNR385"/>
      <c r="KNS385"/>
      <c r="KNT385"/>
      <c r="KNU385"/>
      <c r="KNV385"/>
      <c r="KNW385"/>
      <c r="KNX385"/>
      <c r="KNY385"/>
      <c r="KNZ385"/>
      <c r="KOA385"/>
      <c r="KOB385"/>
      <c r="KOC385"/>
      <c r="KOD385"/>
      <c r="KOE385"/>
      <c r="KOF385"/>
      <c r="KOG385"/>
      <c r="KOH385"/>
      <c r="KOI385"/>
      <c r="KOJ385"/>
      <c r="KOK385"/>
      <c r="KOL385"/>
      <c r="KOM385"/>
      <c r="KON385"/>
      <c r="KOO385"/>
      <c r="KOP385"/>
      <c r="KOQ385"/>
      <c r="KOR385"/>
      <c r="KOS385"/>
      <c r="KOT385"/>
      <c r="KOU385"/>
      <c r="KOV385"/>
      <c r="KOW385"/>
      <c r="KOX385"/>
      <c r="KOY385"/>
      <c r="KOZ385"/>
      <c r="KPA385"/>
      <c r="KPB385"/>
      <c r="KPC385"/>
      <c r="KPD385"/>
      <c r="KPE385"/>
      <c r="KPF385"/>
      <c r="KPG385"/>
      <c r="KPH385"/>
      <c r="KPI385"/>
      <c r="KPJ385"/>
      <c r="KPK385"/>
      <c r="KPL385"/>
      <c r="KPM385"/>
      <c r="KPN385"/>
      <c r="KPO385"/>
      <c r="KPP385"/>
      <c r="KPQ385"/>
      <c r="KPR385"/>
      <c r="KPS385"/>
      <c r="KPT385"/>
      <c r="KPU385"/>
      <c r="KPV385"/>
      <c r="KPW385"/>
      <c r="KPX385"/>
      <c r="KPY385"/>
      <c r="KPZ385"/>
      <c r="KQA385"/>
      <c r="KQB385"/>
      <c r="KQC385"/>
      <c r="KQD385"/>
      <c r="KQE385"/>
      <c r="KQF385"/>
      <c r="KQG385"/>
      <c r="KQH385"/>
      <c r="KQI385"/>
      <c r="KQJ385"/>
      <c r="KQK385"/>
      <c r="KQL385"/>
      <c r="KQM385"/>
      <c r="KQN385"/>
      <c r="KQO385"/>
      <c r="KQP385"/>
      <c r="KQQ385"/>
      <c r="KQR385"/>
      <c r="KQS385"/>
      <c r="KQT385"/>
      <c r="KQU385"/>
      <c r="KQV385"/>
      <c r="KQW385"/>
      <c r="KQX385"/>
      <c r="KQY385"/>
      <c r="KQZ385"/>
      <c r="KRA385"/>
      <c r="KRB385"/>
      <c r="KRC385"/>
      <c r="KRD385"/>
      <c r="KRE385"/>
      <c r="KRF385"/>
      <c r="KRG385"/>
      <c r="KRH385"/>
      <c r="KRI385"/>
      <c r="KRJ385"/>
      <c r="KRK385"/>
      <c r="KRL385"/>
      <c r="KRM385"/>
      <c r="KRN385"/>
      <c r="KRO385"/>
      <c r="KRP385"/>
      <c r="KRQ385"/>
      <c r="KRR385"/>
      <c r="KRS385"/>
      <c r="KRT385"/>
      <c r="KRU385"/>
      <c r="KRV385"/>
      <c r="KRW385"/>
      <c r="KRX385"/>
      <c r="KRY385"/>
      <c r="KRZ385"/>
      <c r="KSA385"/>
      <c r="KSB385"/>
      <c r="KSC385"/>
      <c r="KSD385"/>
      <c r="KSE385"/>
      <c r="KSF385"/>
      <c r="KSG385"/>
      <c r="KSH385"/>
      <c r="KSI385"/>
      <c r="KSJ385"/>
      <c r="KSK385"/>
      <c r="KSL385"/>
      <c r="KSM385"/>
      <c r="KSN385"/>
      <c r="KSO385"/>
      <c r="KSP385"/>
      <c r="KSQ385"/>
      <c r="KSR385"/>
      <c r="KSS385"/>
      <c r="KST385"/>
      <c r="KSU385"/>
      <c r="KSV385"/>
      <c r="KSW385"/>
      <c r="KSX385"/>
      <c r="KSY385"/>
      <c r="KSZ385"/>
      <c r="KTA385"/>
      <c r="KTB385"/>
      <c r="KTC385"/>
      <c r="KTD385"/>
      <c r="KTE385"/>
      <c r="KTF385"/>
      <c r="KTG385"/>
      <c r="KTH385"/>
      <c r="KTI385"/>
      <c r="KTJ385"/>
      <c r="KTK385"/>
      <c r="KTL385"/>
      <c r="KTM385"/>
      <c r="KTN385"/>
      <c r="KTO385"/>
      <c r="KTP385"/>
      <c r="KTQ385"/>
      <c r="KTR385"/>
      <c r="KTS385"/>
      <c r="KTT385"/>
      <c r="KTU385"/>
      <c r="KTV385"/>
      <c r="KTW385"/>
      <c r="KTX385"/>
      <c r="KTY385"/>
      <c r="KTZ385"/>
      <c r="KUA385"/>
      <c r="KUB385"/>
      <c r="KUC385"/>
      <c r="KUD385"/>
      <c r="KUE385"/>
      <c r="KUF385"/>
      <c r="KUG385"/>
      <c r="KUH385"/>
      <c r="KUI385"/>
      <c r="KUJ385"/>
      <c r="KUK385"/>
      <c r="KUL385"/>
      <c r="KUM385"/>
      <c r="KUN385"/>
      <c r="KUO385"/>
      <c r="KUP385"/>
      <c r="KUQ385"/>
      <c r="KUR385"/>
      <c r="KUS385"/>
      <c r="KUT385"/>
      <c r="KUU385"/>
      <c r="KUV385"/>
      <c r="KUW385"/>
      <c r="KUX385"/>
      <c r="KUY385"/>
      <c r="KUZ385"/>
      <c r="KVA385"/>
      <c r="KVB385"/>
      <c r="KVC385"/>
      <c r="KVD385"/>
      <c r="KVE385"/>
      <c r="KVF385"/>
      <c r="KVG385"/>
      <c r="KVH385"/>
      <c r="KVI385"/>
      <c r="KVJ385"/>
      <c r="KVK385"/>
      <c r="KVL385"/>
      <c r="KVM385"/>
      <c r="KVN385"/>
      <c r="KVO385"/>
      <c r="KVP385"/>
      <c r="KVQ385"/>
      <c r="KVR385"/>
      <c r="KVS385"/>
      <c r="KVT385"/>
      <c r="KVU385"/>
      <c r="KVV385"/>
      <c r="KVW385"/>
      <c r="KVX385"/>
      <c r="KVY385"/>
      <c r="KVZ385"/>
      <c r="KWA385"/>
      <c r="KWB385"/>
      <c r="KWC385"/>
      <c r="KWD385"/>
      <c r="KWE385"/>
      <c r="KWF385"/>
      <c r="KWG385"/>
      <c r="KWH385"/>
      <c r="KWI385"/>
      <c r="KWJ385"/>
      <c r="KWK385"/>
      <c r="KWL385"/>
      <c r="KWM385"/>
      <c r="KWN385"/>
      <c r="KWO385"/>
      <c r="KWP385"/>
      <c r="KWQ385"/>
      <c r="KWR385"/>
      <c r="KWS385"/>
      <c r="KWT385"/>
      <c r="KWU385"/>
      <c r="KWV385"/>
      <c r="KWW385"/>
      <c r="KWX385"/>
      <c r="KWY385"/>
      <c r="KWZ385"/>
      <c r="KXA385"/>
      <c r="KXB385"/>
      <c r="KXC385"/>
      <c r="KXD385"/>
      <c r="KXE385"/>
      <c r="KXF385"/>
      <c r="KXG385"/>
      <c r="KXH385"/>
      <c r="KXI385"/>
      <c r="KXJ385"/>
      <c r="KXK385"/>
      <c r="KXL385"/>
      <c r="KXM385"/>
      <c r="KXN385"/>
      <c r="KXO385"/>
      <c r="KXP385"/>
      <c r="KXQ385"/>
      <c r="KXR385"/>
      <c r="KXS385"/>
      <c r="KXT385"/>
      <c r="KXU385"/>
      <c r="KXV385"/>
      <c r="KXW385"/>
      <c r="KXX385"/>
      <c r="KXY385"/>
      <c r="KXZ385"/>
      <c r="KYA385"/>
      <c r="KYB385"/>
      <c r="KYC385"/>
      <c r="KYD385"/>
      <c r="KYE385"/>
      <c r="KYF385"/>
      <c r="KYG385"/>
      <c r="KYH385"/>
      <c r="KYI385"/>
      <c r="KYJ385"/>
      <c r="KYK385"/>
      <c r="KYL385"/>
      <c r="KYM385"/>
      <c r="KYN385"/>
      <c r="KYO385"/>
      <c r="KYP385"/>
      <c r="KYQ385"/>
      <c r="KYR385"/>
      <c r="KYS385"/>
      <c r="KYT385"/>
      <c r="KYU385"/>
      <c r="KYV385"/>
      <c r="KYW385"/>
      <c r="KYX385"/>
      <c r="KYY385"/>
      <c r="KYZ385"/>
      <c r="KZA385"/>
      <c r="KZB385"/>
      <c r="KZC385"/>
      <c r="KZD385"/>
      <c r="KZE385"/>
      <c r="KZF385"/>
      <c r="KZG385"/>
      <c r="KZH385"/>
      <c r="KZI385"/>
      <c r="KZJ385"/>
      <c r="KZK385"/>
      <c r="KZL385"/>
      <c r="KZM385"/>
      <c r="KZN385"/>
      <c r="KZO385"/>
      <c r="KZP385"/>
      <c r="KZQ385"/>
      <c r="KZR385"/>
      <c r="KZS385"/>
      <c r="KZT385"/>
      <c r="KZU385"/>
      <c r="KZV385"/>
      <c r="KZW385"/>
      <c r="KZX385"/>
      <c r="KZY385"/>
      <c r="KZZ385"/>
      <c r="LAA385"/>
      <c r="LAB385"/>
      <c r="LAC385"/>
      <c r="LAD385"/>
      <c r="LAE385"/>
      <c r="LAF385"/>
      <c r="LAG385"/>
      <c r="LAH385"/>
      <c r="LAI385"/>
      <c r="LAJ385"/>
      <c r="LAK385"/>
      <c r="LAL385"/>
      <c r="LAM385"/>
      <c r="LAN385"/>
      <c r="LAO385"/>
      <c r="LAP385"/>
      <c r="LAQ385"/>
      <c r="LAR385"/>
      <c r="LAS385"/>
      <c r="LAT385"/>
      <c r="LAU385"/>
      <c r="LAV385"/>
      <c r="LAW385"/>
      <c r="LAX385"/>
      <c r="LAY385"/>
      <c r="LAZ385"/>
      <c r="LBA385"/>
      <c r="LBB385"/>
      <c r="LBC385"/>
      <c r="LBD385"/>
      <c r="LBE385"/>
      <c r="LBF385"/>
      <c r="LBG385"/>
      <c r="LBH385"/>
      <c r="LBI385"/>
      <c r="LBJ385"/>
      <c r="LBK385"/>
      <c r="LBL385"/>
      <c r="LBM385"/>
      <c r="LBN385"/>
      <c r="LBO385"/>
      <c r="LBP385"/>
      <c r="LBQ385"/>
      <c r="LBR385"/>
      <c r="LBS385"/>
      <c r="LBT385"/>
      <c r="LBU385"/>
      <c r="LBV385"/>
      <c r="LBW385"/>
      <c r="LBX385"/>
      <c r="LBY385"/>
      <c r="LBZ385"/>
      <c r="LCA385"/>
      <c r="LCB385"/>
      <c r="LCC385"/>
      <c r="LCD385"/>
      <c r="LCE385"/>
      <c r="LCF385"/>
      <c r="LCG385"/>
      <c r="LCH385"/>
      <c r="LCI385"/>
      <c r="LCJ385"/>
      <c r="LCK385"/>
      <c r="LCL385"/>
      <c r="LCM385"/>
      <c r="LCN385"/>
      <c r="LCO385"/>
      <c r="LCP385"/>
      <c r="LCQ385"/>
      <c r="LCR385"/>
      <c r="LCS385"/>
      <c r="LCT385"/>
      <c r="LCU385"/>
      <c r="LCV385"/>
      <c r="LCW385"/>
      <c r="LCX385"/>
      <c r="LCY385"/>
      <c r="LCZ385"/>
      <c r="LDA385"/>
      <c r="LDB385"/>
      <c r="LDC385"/>
      <c r="LDD385"/>
      <c r="LDE385"/>
      <c r="LDF385"/>
      <c r="LDG385"/>
      <c r="LDH385"/>
      <c r="LDI385"/>
      <c r="LDJ385"/>
      <c r="LDK385"/>
      <c r="LDL385"/>
      <c r="LDM385"/>
      <c r="LDN385"/>
      <c r="LDO385"/>
      <c r="LDP385"/>
      <c r="LDQ385"/>
      <c r="LDR385"/>
      <c r="LDS385"/>
      <c r="LDT385"/>
      <c r="LDU385"/>
      <c r="LDV385"/>
      <c r="LDW385"/>
      <c r="LDX385"/>
      <c r="LDY385"/>
      <c r="LDZ385"/>
      <c r="LEA385"/>
      <c r="LEB385"/>
      <c r="LEC385"/>
      <c r="LED385"/>
      <c r="LEE385"/>
      <c r="LEF385"/>
      <c r="LEG385"/>
      <c r="LEH385"/>
      <c r="LEI385"/>
      <c r="LEJ385"/>
      <c r="LEK385"/>
      <c r="LEL385"/>
      <c r="LEM385"/>
      <c r="LEN385"/>
      <c r="LEO385"/>
      <c r="LEP385"/>
      <c r="LEQ385"/>
      <c r="LER385"/>
      <c r="LES385"/>
      <c r="LET385"/>
      <c r="LEU385"/>
      <c r="LEV385"/>
      <c r="LEW385"/>
      <c r="LEX385"/>
      <c r="LEY385"/>
      <c r="LEZ385"/>
      <c r="LFA385"/>
      <c r="LFB385"/>
      <c r="LFC385"/>
      <c r="LFD385"/>
      <c r="LFE385"/>
      <c r="LFF385"/>
      <c r="LFG385"/>
      <c r="LFH385"/>
      <c r="LFI385"/>
      <c r="LFJ385"/>
      <c r="LFK385"/>
      <c r="LFL385"/>
      <c r="LFM385"/>
      <c r="LFN385"/>
      <c r="LFO385"/>
      <c r="LFP385"/>
      <c r="LFQ385"/>
      <c r="LFR385"/>
      <c r="LFS385"/>
      <c r="LFT385"/>
      <c r="LFU385"/>
      <c r="LFV385"/>
      <c r="LFW385"/>
      <c r="LFX385"/>
      <c r="LFY385"/>
      <c r="LFZ385"/>
      <c r="LGA385"/>
      <c r="LGB385"/>
      <c r="LGC385"/>
      <c r="LGD385"/>
      <c r="LGE385"/>
      <c r="LGF385"/>
      <c r="LGG385"/>
      <c r="LGH385"/>
      <c r="LGI385"/>
      <c r="LGJ385"/>
      <c r="LGK385"/>
      <c r="LGL385"/>
      <c r="LGM385"/>
      <c r="LGN385"/>
      <c r="LGO385"/>
      <c r="LGP385"/>
      <c r="LGQ385"/>
      <c r="LGR385"/>
      <c r="LGS385"/>
      <c r="LGT385"/>
      <c r="LGU385"/>
      <c r="LGV385"/>
      <c r="LGW385"/>
      <c r="LGX385"/>
      <c r="LGY385"/>
      <c r="LGZ385"/>
      <c r="LHA385"/>
      <c r="LHB385"/>
      <c r="LHC385"/>
      <c r="LHD385"/>
      <c r="LHE385"/>
      <c r="LHF385"/>
      <c r="LHG385"/>
      <c r="LHH385"/>
      <c r="LHI385"/>
      <c r="LHJ385"/>
      <c r="LHK385"/>
      <c r="LHL385"/>
      <c r="LHM385"/>
      <c r="LHN385"/>
      <c r="LHO385"/>
      <c r="LHP385"/>
      <c r="LHQ385"/>
      <c r="LHR385"/>
      <c r="LHS385"/>
      <c r="LHT385"/>
      <c r="LHU385"/>
      <c r="LHV385"/>
      <c r="LHW385"/>
      <c r="LHX385"/>
      <c r="LHY385"/>
      <c r="LHZ385"/>
      <c r="LIA385"/>
      <c r="LIB385"/>
      <c r="LIC385"/>
      <c r="LID385"/>
      <c r="LIE385"/>
      <c r="LIF385"/>
      <c r="LIG385"/>
      <c r="LIH385"/>
      <c r="LII385"/>
      <c r="LIJ385"/>
      <c r="LIK385"/>
      <c r="LIL385"/>
      <c r="LIM385"/>
      <c r="LIN385"/>
      <c r="LIO385"/>
      <c r="LIP385"/>
      <c r="LIQ385"/>
      <c r="LIR385"/>
      <c r="LIS385"/>
      <c r="LIT385"/>
      <c r="LIU385"/>
      <c r="LIV385"/>
      <c r="LIW385"/>
      <c r="LIX385"/>
      <c r="LIY385"/>
      <c r="LIZ385"/>
      <c r="LJA385"/>
      <c r="LJB385"/>
      <c r="LJC385"/>
      <c r="LJD385"/>
      <c r="LJE385"/>
      <c r="LJF385"/>
      <c r="LJG385"/>
      <c r="LJH385"/>
      <c r="LJI385"/>
      <c r="LJJ385"/>
      <c r="LJK385"/>
      <c r="LJL385"/>
      <c r="LJM385"/>
      <c r="LJN385"/>
      <c r="LJO385"/>
      <c r="LJP385"/>
      <c r="LJQ385"/>
      <c r="LJR385"/>
      <c r="LJS385"/>
      <c r="LJT385"/>
      <c r="LJU385"/>
      <c r="LJV385"/>
      <c r="LJW385"/>
      <c r="LJX385"/>
      <c r="LJY385"/>
      <c r="LJZ385"/>
      <c r="LKA385"/>
      <c r="LKB385"/>
      <c r="LKC385"/>
      <c r="LKD385"/>
      <c r="LKE385"/>
      <c r="LKF385"/>
      <c r="LKG385"/>
      <c r="LKH385"/>
      <c r="LKI385"/>
      <c r="LKJ385"/>
      <c r="LKK385"/>
      <c r="LKL385"/>
      <c r="LKM385"/>
      <c r="LKN385"/>
      <c r="LKO385"/>
      <c r="LKP385"/>
      <c r="LKQ385"/>
      <c r="LKR385"/>
      <c r="LKS385"/>
      <c r="LKT385"/>
      <c r="LKU385"/>
      <c r="LKV385"/>
      <c r="LKW385"/>
      <c r="LKX385"/>
      <c r="LKY385"/>
      <c r="LKZ385"/>
      <c r="LLA385"/>
      <c r="LLB385"/>
      <c r="LLC385"/>
      <c r="LLD385"/>
      <c r="LLE385"/>
      <c r="LLF385"/>
      <c r="LLG385"/>
      <c r="LLH385"/>
      <c r="LLI385"/>
      <c r="LLJ385"/>
      <c r="LLK385"/>
      <c r="LLL385"/>
      <c r="LLM385"/>
      <c r="LLN385"/>
      <c r="LLO385"/>
      <c r="LLP385"/>
      <c r="LLQ385"/>
      <c r="LLR385"/>
      <c r="LLS385"/>
      <c r="LLT385"/>
      <c r="LLU385"/>
      <c r="LLV385"/>
      <c r="LLW385"/>
      <c r="LLX385"/>
      <c r="LLY385"/>
      <c r="LLZ385"/>
      <c r="LMA385"/>
      <c r="LMB385"/>
      <c r="LMC385"/>
      <c r="LMD385"/>
      <c r="LME385"/>
      <c r="LMF385"/>
      <c r="LMG385"/>
      <c r="LMH385"/>
      <c r="LMI385"/>
      <c r="LMJ385"/>
      <c r="LMK385"/>
      <c r="LML385"/>
      <c r="LMM385"/>
      <c r="LMN385"/>
      <c r="LMO385"/>
      <c r="LMP385"/>
      <c r="LMQ385"/>
      <c r="LMR385"/>
      <c r="LMS385"/>
      <c r="LMT385"/>
      <c r="LMU385"/>
      <c r="LMV385"/>
      <c r="LMW385"/>
      <c r="LMX385"/>
      <c r="LMY385"/>
      <c r="LMZ385"/>
      <c r="LNA385"/>
      <c r="LNB385"/>
      <c r="LNC385"/>
      <c r="LND385"/>
      <c r="LNE385"/>
      <c r="LNF385"/>
      <c r="LNG385"/>
      <c r="LNH385"/>
      <c r="LNI385"/>
      <c r="LNJ385"/>
      <c r="LNK385"/>
      <c r="LNL385"/>
      <c r="LNM385"/>
      <c r="LNN385"/>
      <c r="LNO385"/>
      <c r="LNP385"/>
      <c r="LNQ385"/>
      <c r="LNR385"/>
      <c r="LNS385"/>
      <c r="LNT385"/>
      <c r="LNU385"/>
      <c r="LNV385"/>
      <c r="LNW385"/>
      <c r="LNX385"/>
      <c r="LNY385"/>
      <c r="LNZ385"/>
      <c r="LOA385"/>
      <c r="LOB385"/>
      <c r="LOC385"/>
      <c r="LOD385"/>
      <c r="LOE385"/>
      <c r="LOF385"/>
      <c r="LOG385"/>
      <c r="LOH385"/>
      <c r="LOI385"/>
      <c r="LOJ385"/>
      <c r="LOK385"/>
      <c r="LOL385"/>
      <c r="LOM385"/>
      <c r="LON385"/>
      <c r="LOO385"/>
      <c r="LOP385"/>
      <c r="LOQ385"/>
      <c r="LOR385"/>
      <c r="LOS385"/>
      <c r="LOT385"/>
      <c r="LOU385"/>
      <c r="LOV385"/>
      <c r="LOW385"/>
      <c r="LOX385"/>
      <c r="LOY385"/>
      <c r="LOZ385"/>
      <c r="LPA385"/>
      <c r="LPB385"/>
      <c r="LPC385"/>
      <c r="LPD385"/>
      <c r="LPE385"/>
      <c r="LPF385"/>
      <c r="LPG385"/>
      <c r="LPH385"/>
      <c r="LPI385"/>
      <c r="LPJ385"/>
      <c r="LPK385"/>
      <c r="LPL385"/>
      <c r="LPM385"/>
      <c r="LPN385"/>
      <c r="LPO385"/>
      <c r="LPP385"/>
      <c r="LPQ385"/>
      <c r="LPR385"/>
      <c r="LPS385"/>
      <c r="LPT385"/>
      <c r="LPU385"/>
      <c r="LPV385"/>
      <c r="LPW385"/>
      <c r="LPX385"/>
      <c r="LPY385"/>
      <c r="LPZ385"/>
      <c r="LQA385"/>
      <c r="LQB385"/>
      <c r="LQC385"/>
      <c r="LQD385"/>
      <c r="LQE385"/>
      <c r="LQF385"/>
      <c r="LQG385"/>
      <c r="LQH385"/>
      <c r="LQI385"/>
      <c r="LQJ385"/>
      <c r="LQK385"/>
      <c r="LQL385"/>
      <c r="LQM385"/>
      <c r="LQN385"/>
      <c r="LQO385"/>
      <c r="LQP385"/>
      <c r="LQQ385"/>
      <c r="LQR385"/>
      <c r="LQS385"/>
      <c r="LQT385"/>
      <c r="LQU385"/>
      <c r="LQV385"/>
      <c r="LQW385"/>
      <c r="LQX385"/>
      <c r="LQY385"/>
      <c r="LQZ385"/>
      <c r="LRA385"/>
      <c r="LRB385"/>
      <c r="LRC385"/>
      <c r="LRD385"/>
      <c r="LRE385"/>
      <c r="LRF385"/>
      <c r="LRG385"/>
      <c r="LRH385"/>
      <c r="LRI385"/>
      <c r="LRJ385"/>
      <c r="LRK385"/>
      <c r="LRL385"/>
      <c r="LRM385"/>
      <c r="LRN385"/>
      <c r="LRO385"/>
      <c r="LRP385"/>
      <c r="LRQ385"/>
      <c r="LRR385"/>
      <c r="LRS385"/>
      <c r="LRT385"/>
      <c r="LRU385"/>
      <c r="LRV385"/>
      <c r="LRW385"/>
      <c r="LRX385"/>
      <c r="LRY385"/>
      <c r="LRZ385"/>
      <c r="LSA385"/>
      <c r="LSB385"/>
      <c r="LSC385"/>
      <c r="LSD385"/>
      <c r="LSE385"/>
      <c r="LSF385"/>
      <c r="LSG385"/>
      <c r="LSH385"/>
      <c r="LSI385"/>
      <c r="LSJ385"/>
      <c r="LSK385"/>
      <c r="LSL385"/>
      <c r="LSM385"/>
      <c r="LSN385"/>
      <c r="LSO385"/>
      <c r="LSP385"/>
      <c r="LSQ385"/>
      <c r="LSR385"/>
      <c r="LSS385"/>
      <c r="LST385"/>
      <c r="LSU385"/>
      <c r="LSV385"/>
      <c r="LSW385"/>
      <c r="LSX385"/>
      <c r="LSY385"/>
      <c r="LSZ385"/>
      <c r="LTA385"/>
      <c r="LTB385"/>
      <c r="LTC385"/>
      <c r="LTD385"/>
      <c r="LTE385"/>
      <c r="LTF385"/>
      <c r="LTG385"/>
      <c r="LTH385"/>
      <c r="LTI385"/>
      <c r="LTJ385"/>
      <c r="LTK385"/>
      <c r="LTL385"/>
      <c r="LTM385"/>
      <c r="LTN385"/>
      <c r="LTO385"/>
      <c r="LTP385"/>
      <c r="LTQ385"/>
      <c r="LTR385"/>
      <c r="LTS385"/>
      <c r="LTT385"/>
      <c r="LTU385"/>
      <c r="LTV385"/>
      <c r="LTW385"/>
      <c r="LTX385"/>
      <c r="LTY385"/>
      <c r="LTZ385"/>
      <c r="LUA385"/>
      <c r="LUB385"/>
      <c r="LUC385"/>
      <c r="LUD385"/>
      <c r="LUE385"/>
      <c r="LUF385"/>
      <c r="LUG385"/>
      <c r="LUH385"/>
      <c r="LUI385"/>
      <c r="LUJ385"/>
      <c r="LUK385"/>
      <c r="LUL385"/>
      <c r="LUM385"/>
      <c r="LUN385"/>
      <c r="LUO385"/>
      <c r="LUP385"/>
      <c r="LUQ385"/>
      <c r="LUR385"/>
      <c r="LUS385"/>
      <c r="LUT385"/>
      <c r="LUU385"/>
      <c r="LUV385"/>
      <c r="LUW385"/>
      <c r="LUX385"/>
      <c r="LUY385"/>
      <c r="LUZ385"/>
      <c r="LVA385"/>
      <c r="LVB385"/>
      <c r="LVC385"/>
      <c r="LVD385"/>
      <c r="LVE385"/>
      <c r="LVF385"/>
      <c r="LVG385"/>
      <c r="LVH385"/>
      <c r="LVI385"/>
      <c r="LVJ385"/>
      <c r="LVK385"/>
      <c r="LVL385"/>
      <c r="LVM385"/>
      <c r="LVN385"/>
      <c r="LVO385"/>
      <c r="LVP385"/>
      <c r="LVQ385"/>
      <c r="LVR385"/>
      <c r="LVS385"/>
      <c r="LVT385"/>
      <c r="LVU385"/>
      <c r="LVV385"/>
      <c r="LVW385"/>
      <c r="LVX385"/>
      <c r="LVY385"/>
      <c r="LVZ385"/>
      <c r="LWA385"/>
      <c r="LWB385"/>
      <c r="LWC385"/>
      <c r="LWD385"/>
      <c r="LWE385"/>
      <c r="LWF385"/>
      <c r="LWG385"/>
      <c r="LWH385"/>
      <c r="LWI385"/>
      <c r="LWJ385"/>
      <c r="LWK385"/>
      <c r="LWL385"/>
      <c r="LWM385"/>
      <c r="LWN385"/>
      <c r="LWO385"/>
      <c r="LWP385"/>
      <c r="LWQ385"/>
      <c r="LWR385"/>
      <c r="LWS385"/>
      <c r="LWT385"/>
      <c r="LWU385"/>
      <c r="LWV385"/>
      <c r="LWW385"/>
      <c r="LWX385"/>
      <c r="LWY385"/>
      <c r="LWZ385"/>
      <c r="LXA385"/>
      <c r="LXB385"/>
      <c r="LXC385"/>
      <c r="LXD385"/>
      <c r="LXE385"/>
      <c r="LXF385"/>
      <c r="LXG385"/>
      <c r="LXH385"/>
      <c r="LXI385"/>
      <c r="LXJ385"/>
      <c r="LXK385"/>
      <c r="LXL385"/>
      <c r="LXM385"/>
      <c r="LXN385"/>
      <c r="LXO385"/>
      <c r="LXP385"/>
      <c r="LXQ385"/>
      <c r="LXR385"/>
      <c r="LXS385"/>
      <c r="LXT385"/>
      <c r="LXU385"/>
      <c r="LXV385"/>
      <c r="LXW385"/>
      <c r="LXX385"/>
      <c r="LXY385"/>
      <c r="LXZ385"/>
      <c r="LYA385"/>
      <c r="LYB385"/>
      <c r="LYC385"/>
      <c r="LYD385"/>
      <c r="LYE385"/>
      <c r="LYF385"/>
      <c r="LYG385"/>
      <c r="LYH385"/>
      <c r="LYI385"/>
      <c r="LYJ385"/>
      <c r="LYK385"/>
      <c r="LYL385"/>
      <c r="LYM385"/>
      <c r="LYN385"/>
      <c r="LYO385"/>
      <c r="LYP385"/>
      <c r="LYQ385"/>
      <c r="LYR385"/>
      <c r="LYS385"/>
      <c r="LYT385"/>
      <c r="LYU385"/>
      <c r="LYV385"/>
      <c r="LYW385"/>
      <c r="LYX385"/>
      <c r="LYY385"/>
      <c r="LYZ385"/>
      <c r="LZA385"/>
      <c r="LZB385"/>
      <c r="LZC385"/>
      <c r="LZD385"/>
      <c r="LZE385"/>
      <c r="LZF385"/>
      <c r="LZG385"/>
      <c r="LZH385"/>
      <c r="LZI385"/>
      <c r="LZJ385"/>
      <c r="LZK385"/>
      <c r="LZL385"/>
      <c r="LZM385"/>
      <c r="LZN385"/>
      <c r="LZO385"/>
      <c r="LZP385"/>
      <c r="LZQ385"/>
      <c r="LZR385"/>
      <c r="LZS385"/>
      <c r="LZT385"/>
      <c r="LZU385"/>
      <c r="LZV385"/>
      <c r="LZW385"/>
      <c r="LZX385"/>
      <c r="LZY385"/>
      <c r="LZZ385"/>
      <c r="MAA385"/>
      <c r="MAB385"/>
      <c r="MAC385"/>
      <c r="MAD385"/>
      <c r="MAE385"/>
      <c r="MAF385"/>
      <c r="MAG385"/>
      <c r="MAH385"/>
      <c r="MAI385"/>
      <c r="MAJ385"/>
      <c r="MAK385"/>
      <c r="MAL385"/>
      <c r="MAM385"/>
      <c r="MAN385"/>
      <c r="MAO385"/>
      <c r="MAP385"/>
      <c r="MAQ385"/>
      <c r="MAR385"/>
      <c r="MAS385"/>
      <c r="MAT385"/>
      <c r="MAU385"/>
      <c r="MAV385"/>
      <c r="MAW385"/>
      <c r="MAX385"/>
      <c r="MAY385"/>
      <c r="MAZ385"/>
      <c r="MBA385"/>
      <c r="MBB385"/>
      <c r="MBC385"/>
      <c r="MBD385"/>
      <c r="MBE385"/>
      <c r="MBF385"/>
      <c r="MBG385"/>
      <c r="MBH385"/>
      <c r="MBI385"/>
      <c r="MBJ385"/>
      <c r="MBK385"/>
      <c r="MBL385"/>
      <c r="MBM385"/>
      <c r="MBN385"/>
      <c r="MBO385"/>
      <c r="MBP385"/>
      <c r="MBQ385"/>
      <c r="MBR385"/>
      <c r="MBS385"/>
      <c r="MBT385"/>
      <c r="MBU385"/>
      <c r="MBV385"/>
      <c r="MBW385"/>
      <c r="MBX385"/>
      <c r="MBY385"/>
      <c r="MBZ385"/>
      <c r="MCA385"/>
      <c r="MCB385"/>
      <c r="MCC385"/>
      <c r="MCD385"/>
      <c r="MCE385"/>
      <c r="MCF385"/>
      <c r="MCG385"/>
      <c r="MCH385"/>
      <c r="MCI385"/>
      <c r="MCJ385"/>
      <c r="MCK385"/>
      <c r="MCL385"/>
      <c r="MCM385"/>
      <c r="MCN385"/>
      <c r="MCO385"/>
      <c r="MCP385"/>
      <c r="MCQ385"/>
      <c r="MCR385"/>
      <c r="MCS385"/>
      <c r="MCT385"/>
      <c r="MCU385"/>
      <c r="MCV385"/>
      <c r="MCW385"/>
      <c r="MCX385"/>
      <c r="MCY385"/>
      <c r="MCZ385"/>
      <c r="MDA385"/>
      <c r="MDB385"/>
      <c r="MDC385"/>
      <c r="MDD385"/>
      <c r="MDE385"/>
      <c r="MDF385"/>
      <c r="MDG385"/>
      <c r="MDH385"/>
      <c r="MDI385"/>
      <c r="MDJ385"/>
      <c r="MDK385"/>
      <c r="MDL385"/>
      <c r="MDM385"/>
      <c r="MDN385"/>
      <c r="MDO385"/>
      <c r="MDP385"/>
      <c r="MDQ385"/>
      <c r="MDR385"/>
      <c r="MDS385"/>
      <c r="MDT385"/>
      <c r="MDU385"/>
      <c r="MDV385"/>
      <c r="MDW385"/>
      <c r="MDX385"/>
      <c r="MDY385"/>
      <c r="MDZ385"/>
      <c r="MEA385"/>
      <c r="MEB385"/>
      <c r="MEC385"/>
      <c r="MED385"/>
      <c r="MEE385"/>
      <c r="MEF385"/>
      <c r="MEG385"/>
      <c r="MEH385"/>
      <c r="MEI385"/>
      <c r="MEJ385"/>
      <c r="MEK385"/>
      <c r="MEL385"/>
      <c r="MEM385"/>
      <c r="MEN385"/>
      <c r="MEO385"/>
      <c r="MEP385"/>
      <c r="MEQ385"/>
      <c r="MER385"/>
      <c r="MES385"/>
      <c r="MET385"/>
      <c r="MEU385"/>
      <c r="MEV385"/>
      <c r="MEW385"/>
      <c r="MEX385"/>
      <c r="MEY385"/>
      <c r="MEZ385"/>
      <c r="MFA385"/>
      <c r="MFB385"/>
      <c r="MFC385"/>
      <c r="MFD385"/>
      <c r="MFE385"/>
      <c r="MFF385"/>
      <c r="MFG385"/>
      <c r="MFH385"/>
      <c r="MFI385"/>
      <c r="MFJ385"/>
      <c r="MFK385"/>
      <c r="MFL385"/>
      <c r="MFM385"/>
      <c r="MFN385"/>
      <c r="MFO385"/>
      <c r="MFP385"/>
      <c r="MFQ385"/>
      <c r="MFR385"/>
      <c r="MFS385"/>
      <c r="MFT385"/>
      <c r="MFU385"/>
      <c r="MFV385"/>
      <c r="MFW385"/>
      <c r="MFX385"/>
      <c r="MFY385"/>
      <c r="MFZ385"/>
      <c r="MGA385"/>
      <c r="MGB385"/>
      <c r="MGC385"/>
      <c r="MGD385"/>
      <c r="MGE385"/>
      <c r="MGF385"/>
      <c r="MGG385"/>
      <c r="MGH385"/>
      <c r="MGI385"/>
      <c r="MGJ385"/>
      <c r="MGK385"/>
      <c r="MGL385"/>
      <c r="MGM385"/>
      <c r="MGN385"/>
      <c r="MGO385"/>
      <c r="MGP385"/>
      <c r="MGQ385"/>
      <c r="MGR385"/>
      <c r="MGS385"/>
      <c r="MGT385"/>
      <c r="MGU385"/>
      <c r="MGV385"/>
      <c r="MGW385"/>
      <c r="MGX385"/>
      <c r="MGY385"/>
      <c r="MGZ385"/>
      <c r="MHA385"/>
      <c r="MHB385"/>
      <c r="MHC385"/>
      <c r="MHD385"/>
      <c r="MHE385"/>
      <c r="MHF385"/>
      <c r="MHG385"/>
      <c r="MHH385"/>
      <c r="MHI385"/>
      <c r="MHJ385"/>
      <c r="MHK385"/>
      <c r="MHL385"/>
      <c r="MHM385"/>
      <c r="MHN385"/>
      <c r="MHO385"/>
      <c r="MHP385"/>
      <c r="MHQ385"/>
      <c r="MHR385"/>
      <c r="MHS385"/>
      <c r="MHT385"/>
      <c r="MHU385"/>
      <c r="MHV385"/>
      <c r="MHW385"/>
      <c r="MHX385"/>
      <c r="MHY385"/>
      <c r="MHZ385"/>
      <c r="MIA385"/>
      <c r="MIB385"/>
      <c r="MIC385"/>
      <c r="MID385"/>
      <c r="MIE385"/>
      <c r="MIF385"/>
      <c r="MIG385"/>
      <c r="MIH385"/>
      <c r="MII385"/>
      <c r="MIJ385"/>
      <c r="MIK385"/>
      <c r="MIL385"/>
      <c r="MIM385"/>
      <c r="MIN385"/>
      <c r="MIO385"/>
      <c r="MIP385"/>
      <c r="MIQ385"/>
      <c r="MIR385"/>
      <c r="MIS385"/>
      <c r="MIT385"/>
      <c r="MIU385"/>
      <c r="MIV385"/>
      <c r="MIW385"/>
      <c r="MIX385"/>
      <c r="MIY385"/>
      <c r="MIZ385"/>
      <c r="MJA385"/>
      <c r="MJB385"/>
      <c r="MJC385"/>
      <c r="MJD385"/>
      <c r="MJE385"/>
      <c r="MJF385"/>
      <c r="MJG385"/>
      <c r="MJH385"/>
      <c r="MJI385"/>
      <c r="MJJ385"/>
      <c r="MJK385"/>
      <c r="MJL385"/>
      <c r="MJM385"/>
      <c r="MJN385"/>
      <c r="MJO385"/>
      <c r="MJP385"/>
      <c r="MJQ385"/>
      <c r="MJR385"/>
      <c r="MJS385"/>
      <c r="MJT385"/>
      <c r="MJU385"/>
      <c r="MJV385"/>
      <c r="MJW385"/>
      <c r="MJX385"/>
      <c r="MJY385"/>
      <c r="MJZ385"/>
      <c r="MKA385"/>
      <c r="MKB385"/>
      <c r="MKC385"/>
      <c r="MKD385"/>
      <c r="MKE385"/>
      <c r="MKF385"/>
      <c r="MKG385"/>
      <c r="MKH385"/>
      <c r="MKI385"/>
      <c r="MKJ385"/>
      <c r="MKK385"/>
      <c r="MKL385"/>
      <c r="MKM385"/>
      <c r="MKN385"/>
      <c r="MKO385"/>
      <c r="MKP385"/>
      <c r="MKQ385"/>
      <c r="MKR385"/>
      <c r="MKS385"/>
      <c r="MKT385"/>
      <c r="MKU385"/>
      <c r="MKV385"/>
      <c r="MKW385"/>
      <c r="MKX385"/>
      <c r="MKY385"/>
      <c r="MKZ385"/>
      <c r="MLA385"/>
      <c r="MLB385"/>
      <c r="MLC385"/>
      <c r="MLD385"/>
      <c r="MLE385"/>
      <c r="MLF385"/>
      <c r="MLG385"/>
      <c r="MLH385"/>
      <c r="MLI385"/>
      <c r="MLJ385"/>
      <c r="MLK385"/>
      <c r="MLL385"/>
      <c r="MLM385"/>
      <c r="MLN385"/>
      <c r="MLO385"/>
      <c r="MLP385"/>
      <c r="MLQ385"/>
      <c r="MLR385"/>
      <c r="MLS385"/>
      <c r="MLT385"/>
      <c r="MLU385"/>
      <c r="MLV385"/>
      <c r="MLW385"/>
      <c r="MLX385"/>
      <c r="MLY385"/>
      <c r="MLZ385"/>
      <c r="MMA385"/>
      <c r="MMB385"/>
      <c r="MMC385"/>
      <c r="MMD385"/>
      <c r="MME385"/>
      <c r="MMF385"/>
      <c r="MMG385"/>
      <c r="MMH385"/>
      <c r="MMI385"/>
      <c r="MMJ385"/>
      <c r="MMK385"/>
      <c r="MML385"/>
      <c r="MMM385"/>
      <c r="MMN385"/>
      <c r="MMO385"/>
      <c r="MMP385"/>
      <c r="MMQ385"/>
      <c r="MMR385"/>
      <c r="MMS385"/>
      <c r="MMT385"/>
      <c r="MMU385"/>
      <c r="MMV385"/>
      <c r="MMW385"/>
      <c r="MMX385"/>
      <c r="MMY385"/>
      <c r="MMZ385"/>
      <c r="MNA385"/>
      <c r="MNB385"/>
      <c r="MNC385"/>
      <c r="MND385"/>
      <c r="MNE385"/>
      <c r="MNF385"/>
      <c r="MNG385"/>
      <c r="MNH385"/>
      <c r="MNI385"/>
      <c r="MNJ385"/>
      <c r="MNK385"/>
      <c r="MNL385"/>
      <c r="MNM385"/>
      <c r="MNN385"/>
      <c r="MNO385"/>
      <c r="MNP385"/>
      <c r="MNQ385"/>
      <c r="MNR385"/>
      <c r="MNS385"/>
      <c r="MNT385"/>
      <c r="MNU385"/>
      <c r="MNV385"/>
      <c r="MNW385"/>
      <c r="MNX385"/>
      <c r="MNY385"/>
      <c r="MNZ385"/>
      <c r="MOA385"/>
      <c r="MOB385"/>
      <c r="MOC385"/>
      <c r="MOD385"/>
      <c r="MOE385"/>
      <c r="MOF385"/>
      <c r="MOG385"/>
      <c r="MOH385"/>
      <c r="MOI385"/>
      <c r="MOJ385"/>
      <c r="MOK385"/>
      <c r="MOL385"/>
      <c r="MOM385"/>
      <c r="MON385"/>
      <c r="MOO385"/>
      <c r="MOP385"/>
      <c r="MOQ385"/>
      <c r="MOR385"/>
      <c r="MOS385"/>
      <c r="MOT385"/>
      <c r="MOU385"/>
      <c r="MOV385"/>
      <c r="MOW385"/>
      <c r="MOX385"/>
      <c r="MOY385"/>
      <c r="MOZ385"/>
      <c r="MPA385"/>
      <c r="MPB385"/>
      <c r="MPC385"/>
      <c r="MPD385"/>
      <c r="MPE385"/>
      <c r="MPF385"/>
      <c r="MPG385"/>
      <c r="MPH385"/>
      <c r="MPI385"/>
      <c r="MPJ385"/>
      <c r="MPK385"/>
      <c r="MPL385"/>
      <c r="MPM385"/>
      <c r="MPN385"/>
      <c r="MPO385"/>
      <c r="MPP385"/>
      <c r="MPQ385"/>
      <c r="MPR385"/>
      <c r="MPS385"/>
      <c r="MPT385"/>
      <c r="MPU385"/>
      <c r="MPV385"/>
      <c r="MPW385"/>
      <c r="MPX385"/>
      <c r="MPY385"/>
      <c r="MPZ385"/>
      <c r="MQA385"/>
      <c r="MQB385"/>
      <c r="MQC385"/>
      <c r="MQD385"/>
      <c r="MQE385"/>
      <c r="MQF385"/>
      <c r="MQG385"/>
      <c r="MQH385"/>
      <c r="MQI385"/>
      <c r="MQJ385"/>
      <c r="MQK385"/>
      <c r="MQL385"/>
      <c r="MQM385"/>
      <c r="MQN385"/>
      <c r="MQO385"/>
      <c r="MQP385"/>
      <c r="MQQ385"/>
      <c r="MQR385"/>
      <c r="MQS385"/>
      <c r="MQT385"/>
      <c r="MQU385"/>
      <c r="MQV385"/>
      <c r="MQW385"/>
      <c r="MQX385"/>
      <c r="MQY385"/>
      <c r="MQZ385"/>
      <c r="MRA385"/>
      <c r="MRB385"/>
      <c r="MRC385"/>
      <c r="MRD385"/>
      <c r="MRE385"/>
      <c r="MRF385"/>
      <c r="MRG385"/>
      <c r="MRH385"/>
      <c r="MRI385"/>
      <c r="MRJ385"/>
      <c r="MRK385"/>
      <c r="MRL385"/>
      <c r="MRM385"/>
      <c r="MRN385"/>
      <c r="MRO385"/>
      <c r="MRP385"/>
      <c r="MRQ385"/>
      <c r="MRR385"/>
      <c r="MRS385"/>
      <c r="MRT385"/>
      <c r="MRU385"/>
      <c r="MRV385"/>
      <c r="MRW385"/>
      <c r="MRX385"/>
      <c r="MRY385"/>
      <c r="MRZ385"/>
      <c r="MSA385"/>
      <c r="MSB385"/>
      <c r="MSC385"/>
      <c r="MSD385"/>
      <c r="MSE385"/>
      <c r="MSF385"/>
      <c r="MSG385"/>
      <c r="MSH385"/>
      <c r="MSI385"/>
      <c r="MSJ385"/>
      <c r="MSK385"/>
      <c r="MSL385"/>
      <c r="MSM385"/>
      <c r="MSN385"/>
      <c r="MSO385"/>
      <c r="MSP385"/>
      <c r="MSQ385"/>
      <c r="MSR385"/>
      <c r="MSS385"/>
      <c r="MST385"/>
      <c r="MSU385"/>
      <c r="MSV385"/>
      <c r="MSW385"/>
      <c r="MSX385"/>
      <c r="MSY385"/>
      <c r="MSZ385"/>
      <c r="MTA385"/>
      <c r="MTB385"/>
      <c r="MTC385"/>
      <c r="MTD385"/>
      <c r="MTE385"/>
      <c r="MTF385"/>
      <c r="MTG385"/>
      <c r="MTH385"/>
      <c r="MTI385"/>
      <c r="MTJ385"/>
      <c r="MTK385"/>
      <c r="MTL385"/>
      <c r="MTM385"/>
      <c r="MTN385"/>
      <c r="MTO385"/>
      <c r="MTP385"/>
      <c r="MTQ385"/>
      <c r="MTR385"/>
      <c r="MTS385"/>
      <c r="MTT385"/>
      <c r="MTU385"/>
      <c r="MTV385"/>
      <c r="MTW385"/>
      <c r="MTX385"/>
      <c r="MTY385"/>
      <c r="MTZ385"/>
      <c r="MUA385"/>
      <c r="MUB385"/>
      <c r="MUC385"/>
      <c r="MUD385"/>
      <c r="MUE385"/>
      <c r="MUF385"/>
      <c r="MUG385"/>
      <c r="MUH385"/>
      <c r="MUI385"/>
      <c r="MUJ385"/>
      <c r="MUK385"/>
      <c r="MUL385"/>
      <c r="MUM385"/>
      <c r="MUN385"/>
      <c r="MUO385"/>
      <c r="MUP385"/>
      <c r="MUQ385"/>
      <c r="MUR385"/>
      <c r="MUS385"/>
      <c r="MUT385"/>
      <c r="MUU385"/>
      <c r="MUV385"/>
      <c r="MUW385"/>
      <c r="MUX385"/>
      <c r="MUY385"/>
      <c r="MUZ385"/>
      <c r="MVA385"/>
      <c r="MVB385"/>
      <c r="MVC385"/>
      <c r="MVD385"/>
      <c r="MVE385"/>
      <c r="MVF385"/>
      <c r="MVG385"/>
      <c r="MVH385"/>
      <c r="MVI385"/>
      <c r="MVJ385"/>
      <c r="MVK385"/>
      <c r="MVL385"/>
      <c r="MVM385"/>
      <c r="MVN385"/>
      <c r="MVO385"/>
      <c r="MVP385"/>
      <c r="MVQ385"/>
      <c r="MVR385"/>
      <c r="MVS385"/>
      <c r="MVT385"/>
      <c r="MVU385"/>
      <c r="MVV385"/>
      <c r="MVW385"/>
      <c r="MVX385"/>
      <c r="MVY385"/>
      <c r="MVZ385"/>
      <c r="MWA385"/>
      <c r="MWB385"/>
      <c r="MWC385"/>
      <c r="MWD385"/>
      <c r="MWE385"/>
      <c r="MWF385"/>
      <c r="MWG385"/>
      <c r="MWH385"/>
      <c r="MWI385"/>
      <c r="MWJ385"/>
      <c r="MWK385"/>
      <c r="MWL385"/>
      <c r="MWM385"/>
      <c r="MWN385"/>
      <c r="MWO385"/>
      <c r="MWP385"/>
      <c r="MWQ385"/>
      <c r="MWR385"/>
      <c r="MWS385"/>
      <c r="MWT385"/>
      <c r="MWU385"/>
      <c r="MWV385"/>
      <c r="MWW385"/>
      <c r="MWX385"/>
      <c r="MWY385"/>
      <c r="MWZ385"/>
      <c r="MXA385"/>
      <c r="MXB385"/>
      <c r="MXC385"/>
      <c r="MXD385"/>
      <c r="MXE385"/>
      <c r="MXF385"/>
      <c r="MXG385"/>
      <c r="MXH385"/>
      <c r="MXI385"/>
      <c r="MXJ385"/>
      <c r="MXK385"/>
      <c r="MXL385"/>
      <c r="MXM385"/>
      <c r="MXN385"/>
      <c r="MXO385"/>
      <c r="MXP385"/>
      <c r="MXQ385"/>
      <c r="MXR385"/>
      <c r="MXS385"/>
      <c r="MXT385"/>
      <c r="MXU385"/>
      <c r="MXV385"/>
      <c r="MXW385"/>
      <c r="MXX385"/>
      <c r="MXY385"/>
      <c r="MXZ385"/>
      <c r="MYA385"/>
      <c r="MYB385"/>
      <c r="MYC385"/>
      <c r="MYD385"/>
      <c r="MYE385"/>
      <c r="MYF385"/>
      <c r="MYG385"/>
      <c r="MYH385"/>
      <c r="MYI385"/>
      <c r="MYJ385"/>
      <c r="MYK385"/>
      <c r="MYL385"/>
      <c r="MYM385"/>
      <c r="MYN385"/>
      <c r="MYO385"/>
      <c r="MYP385"/>
      <c r="MYQ385"/>
      <c r="MYR385"/>
      <c r="MYS385"/>
      <c r="MYT385"/>
      <c r="MYU385"/>
      <c r="MYV385"/>
      <c r="MYW385"/>
      <c r="MYX385"/>
      <c r="MYY385"/>
      <c r="MYZ385"/>
      <c r="MZA385"/>
      <c r="MZB385"/>
      <c r="MZC385"/>
      <c r="MZD385"/>
      <c r="MZE385"/>
      <c r="MZF385"/>
      <c r="MZG385"/>
      <c r="MZH385"/>
      <c r="MZI385"/>
      <c r="MZJ385"/>
      <c r="MZK385"/>
      <c r="MZL385"/>
      <c r="MZM385"/>
      <c r="MZN385"/>
      <c r="MZO385"/>
      <c r="MZP385"/>
      <c r="MZQ385"/>
      <c r="MZR385"/>
      <c r="MZS385"/>
      <c r="MZT385"/>
      <c r="MZU385"/>
      <c r="MZV385"/>
      <c r="MZW385"/>
      <c r="MZX385"/>
      <c r="MZY385"/>
      <c r="MZZ385"/>
      <c r="NAA385"/>
      <c r="NAB385"/>
      <c r="NAC385"/>
      <c r="NAD385"/>
      <c r="NAE385"/>
      <c r="NAF385"/>
      <c r="NAG385"/>
      <c r="NAH385"/>
      <c r="NAI385"/>
      <c r="NAJ385"/>
      <c r="NAK385"/>
      <c r="NAL385"/>
      <c r="NAM385"/>
      <c r="NAN385"/>
      <c r="NAO385"/>
      <c r="NAP385"/>
      <c r="NAQ385"/>
      <c r="NAR385"/>
      <c r="NAS385"/>
      <c r="NAT385"/>
      <c r="NAU385"/>
      <c r="NAV385"/>
      <c r="NAW385"/>
      <c r="NAX385"/>
      <c r="NAY385"/>
      <c r="NAZ385"/>
      <c r="NBA385"/>
      <c r="NBB385"/>
      <c r="NBC385"/>
      <c r="NBD385"/>
      <c r="NBE385"/>
      <c r="NBF385"/>
      <c r="NBG385"/>
      <c r="NBH385"/>
      <c r="NBI385"/>
      <c r="NBJ385"/>
      <c r="NBK385"/>
      <c r="NBL385"/>
      <c r="NBM385"/>
      <c r="NBN385"/>
      <c r="NBO385"/>
      <c r="NBP385"/>
      <c r="NBQ385"/>
      <c r="NBR385"/>
      <c r="NBS385"/>
      <c r="NBT385"/>
      <c r="NBU385"/>
      <c r="NBV385"/>
      <c r="NBW385"/>
      <c r="NBX385"/>
      <c r="NBY385"/>
      <c r="NBZ385"/>
      <c r="NCA385"/>
      <c r="NCB385"/>
      <c r="NCC385"/>
      <c r="NCD385"/>
      <c r="NCE385"/>
      <c r="NCF385"/>
      <c r="NCG385"/>
      <c r="NCH385"/>
      <c r="NCI385"/>
      <c r="NCJ385"/>
      <c r="NCK385"/>
      <c r="NCL385"/>
      <c r="NCM385"/>
      <c r="NCN385"/>
      <c r="NCO385"/>
      <c r="NCP385"/>
      <c r="NCQ385"/>
      <c r="NCR385"/>
      <c r="NCS385"/>
      <c r="NCT385"/>
      <c r="NCU385"/>
      <c r="NCV385"/>
      <c r="NCW385"/>
      <c r="NCX385"/>
      <c r="NCY385"/>
      <c r="NCZ385"/>
      <c r="NDA385"/>
      <c r="NDB385"/>
      <c r="NDC385"/>
      <c r="NDD385"/>
      <c r="NDE385"/>
      <c r="NDF385"/>
      <c r="NDG385"/>
      <c r="NDH385"/>
      <c r="NDI385"/>
      <c r="NDJ385"/>
      <c r="NDK385"/>
      <c r="NDL385"/>
      <c r="NDM385"/>
      <c r="NDN385"/>
      <c r="NDO385"/>
      <c r="NDP385"/>
      <c r="NDQ385"/>
      <c r="NDR385"/>
      <c r="NDS385"/>
      <c r="NDT385"/>
      <c r="NDU385"/>
      <c r="NDV385"/>
      <c r="NDW385"/>
      <c r="NDX385"/>
      <c r="NDY385"/>
      <c r="NDZ385"/>
      <c r="NEA385"/>
      <c r="NEB385"/>
      <c r="NEC385"/>
      <c r="NED385"/>
      <c r="NEE385"/>
      <c r="NEF385"/>
      <c r="NEG385"/>
      <c r="NEH385"/>
      <c r="NEI385"/>
      <c r="NEJ385"/>
      <c r="NEK385"/>
      <c r="NEL385"/>
      <c r="NEM385"/>
      <c r="NEN385"/>
      <c r="NEO385"/>
      <c r="NEP385"/>
      <c r="NEQ385"/>
      <c r="NER385"/>
      <c r="NES385"/>
      <c r="NET385"/>
      <c r="NEU385"/>
      <c r="NEV385"/>
      <c r="NEW385"/>
      <c r="NEX385"/>
      <c r="NEY385"/>
      <c r="NEZ385"/>
      <c r="NFA385"/>
      <c r="NFB385"/>
      <c r="NFC385"/>
      <c r="NFD385"/>
      <c r="NFE385"/>
      <c r="NFF385"/>
      <c r="NFG385"/>
      <c r="NFH385"/>
      <c r="NFI385"/>
      <c r="NFJ385"/>
      <c r="NFK385"/>
      <c r="NFL385"/>
      <c r="NFM385"/>
      <c r="NFN385"/>
      <c r="NFO385"/>
      <c r="NFP385"/>
      <c r="NFQ385"/>
      <c r="NFR385"/>
      <c r="NFS385"/>
      <c r="NFT385"/>
      <c r="NFU385"/>
      <c r="NFV385"/>
      <c r="NFW385"/>
      <c r="NFX385"/>
      <c r="NFY385"/>
      <c r="NFZ385"/>
      <c r="NGA385"/>
      <c r="NGB385"/>
      <c r="NGC385"/>
      <c r="NGD385"/>
      <c r="NGE385"/>
      <c r="NGF385"/>
      <c r="NGG385"/>
      <c r="NGH385"/>
      <c r="NGI385"/>
      <c r="NGJ385"/>
      <c r="NGK385"/>
      <c r="NGL385"/>
      <c r="NGM385"/>
      <c r="NGN385"/>
      <c r="NGO385"/>
      <c r="NGP385"/>
      <c r="NGQ385"/>
      <c r="NGR385"/>
      <c r="NGS385"/>
      <c r="NGT385"/>
      <c r="NGU385"/>
      <c r="NGV385"/>
      <c r="NGW385"/>
      <c r="NGX385"/>
      <c r="NGY385"/>
      <c r="NGZ385"/>
      <c r="NHA385"/>
      <c r="NHB385"/>
      <c r="NHC385"/>
      <c r="NHD385"/>
      <c r="NHE385"/>
      <c r="NHF385"/>
      <c r="NHG385"/>
      <c r="NHH385"/>
      <c r="NHI385"/>
      <c r="NHJ385"/>
      <c r="NHK385"/>
      <c r="NHL385"/>
      <c r="NHM385"/>
      <c r="NHN385"/>
      <c r="NHO385"/>
      <c r="NHP385"/>
      <c r="NHQ385"/>
      <c r="NHR385"/>
      <c r="NHS385"/>
      <c r="NHT385"/>
      <c r="NHU385"/>
      <c r="NHV385"/>
      <c r="NHW385"/>
      <c r="NHX385"/>
      <c r="NHY385"/>
      <c r="NHZ385"/>
      <c r="NIA385"/>
      <c r="NIB385"/>
      <c r="NIC385"/>
      <c r="NID385"/>
      <c r="NIE385"/>
      <c r="NIF385"/>
      <c r="NIG385"/>
      <c r="NIH385"/>
      <c r="NII385"/>
      <c r="NIJ385"/>
      <c r="NIK385"/>
      <c r="NIL385"/>
      <c r="NIM385"/>
      <c r="NIN385"/>
      <c r="NIO385"/>
      <c r="NIP385"/>
      <c r="NIQ385"/>
      <c r="NIR385"/>
      <c r="NIS385"/>
      <c r="NIT385"/>
      <c r="NIU385"/>
      <c r="NIV385"/>
      <c r="NIW385"/>
      <c r="NIX385"/>
      <c r="NIY385"/>
      <c r="NIZ385"/>
      <c r="NJA385"/>
      <c r="NJB385"/>
      <c r="NJC385"/>
      <c r="NJD385"/>
      <c r="NJE385"/>
      <c r="NJF385"/>
      <c r="NJG385"/>
      <c r="NJH385"/>
      <c r="NJI385"/>
      <c r="NJJ385"/>
      <c r="NJK385"/>
      <c r="NJL385"/>
      <c r="NJM385"/>
      <c r="NJN385"/>
      <c r="NJO385"/>
      <c r="NJP385"/>
      <c r="NJQ385"/>
      <c r="NJR385"/>
      <c r="NJS385"/>
      <c r="NJT385"/>
      <c r="NJU385"/>
      <c r="NJV385"/>
      <c r="NJW385"/>
      <c r="NJX385"/>
      <c r="NJY385"/>
      <c r="NJZ385"/>
      <c r="NKA385"/>
      <c r="NKB385"/>
      <c r="NKC385"/>
      <c r="NKD385"/>
      <c r="NKE385"/>
      <c r="NKF385"/>
      <c r="NKG385"/>
      <c r="NKH385"/>
      <c r="NKI385"/>
      <c r="NKJ385"/>
      <c r="NKK385"/>
      <c r="NKL385"/>
      <c r="NKM385"/>
      <c r="NKN385"/>
      <c r="NKO385"/>
      <c r="NKP385"/>
      <c r="NKQ385"/>
      <c r="NKR385"/>
      <c r="NKS385"/>
      <c r="NKT385"/>
      <c r="NKU385"/>
      <c r="NKV385"/>
      <c r="NKW385"/>
      <c r="NKX385"/>
      <c r="NKY385"/>
      <c r="NKZ385"/>
      <c r="NLA385"/>
      <c r="NLB385"/>
      <c r="NLC385"/>
      <c r="NLD385"/>
      <c r="NLE385"/>
      <c r="NLF385"/>
      <c r="NLG385"/>
      <c r="NLH385"/>
      <c r="NLI385"/>
      <c r="NLJ385"/>
      <c r="NLK385"/>
      <c r="NLL385"/>
      <c r="NLM385"/>
      <c r="NLN385"/>
      <c r="NLO385"/>
      <c r="NLP385"/>
      <c r="NLQ385"/>
      <c r="NLR385"/>
      <c r="NLS385"/>
      <c r="NLT385"/>
      <c r="NLU385"/>
      <c r="NLV385"/>
      <c r="NLW385"/>
      <c r="NLX385"/>
      <c r="NLY385"/>
      <c r="NLZ385"/>
      <c r="NMA385"/>
      <c r="NMB385"/>
      <c r="NMC385"/>
      <c r="NMD385"/>
      <c r="NME385"/>
      <c r="NMF385"/>
      <c r="NMG385"/>
      <c r="NMH385"/>
      <c r="NMI385"/>
      <c r="NMJ385"/>
      <c r="NMK385"/>
      <c r="NML385"/>
      <c r="NMM385"/>
      <c r="NMN385"/>
      <c r="NMO385"/>
      <c r="NMP385"/>
      <c r="NMQ385"/>
      <c r="NMR385"/>
      <c r="NMS385"/>
      <c r="NMT385"/>
      <c r="NMU385"/>
      <c r="NMV385"/>
      <c r="NMW385"/>
      <c r="NMX385"/>
      <c r="NMY385"/>
      <c r="NMZ385"/>
      <c r="NNA385"/>
      <c r="NNB385"/>
      <c r="NNC385"/>
      <c r="NND385"/>
      <c r="NNE385"/>
      <c r="NNF385"/>
      <c r="NNG385"/>
      <c r="NNH385"/>
      <c r="NNI385"/>
      <c r="NNJ385"/>
      <c r="NNK385"/>
      <c r="NNL385"/>
      <c r="NNM385"/>
      <c r="NNN385"/>
      <c r="NNO385"/>
      <c r="NNP385"/>
      <c r="NNQ385"/>
      <c r="NNR385"/>
      <c r="NNS385"/>
      <c r="NNT385"/>
      <c r="NNU385"/>
      <c r="NNV385"/>
      <c r="NNW385"/>
      <c r="NNX385"/>
      <c r="NNY385"/>
      <c r="NNZ385"/>
      <c r="NOA385"/>
      <c r="NOB385"/>
      <c r="NOC385"/>
      <c r="NOD385"/>
      <c r="NOE385"/>
      <c r="NOF385"/>
      <c r="NOG385"/>
      <c r="NOH385"/>
      <c r="NOI385"/>
      <c r="NOJ385"/>
      <c r="NOK385"/>
      <c r="NOL385"/>
      <c r="NOM385"/>
      <c r="NON385"/>
      <c r="NOO385"/>
      <c r="NOP385"/>
      <c r="NOQ385"/>
      <c r="NOR385"/>
      <c r="NOS385"/>
      <c r="NOT385"/>
      <c r="NOU385"/>
      <c r="NOV385"/>
      <c r="NOW385"/>
      <c r="NOX385"/>
      <c r="NOY385"/>
      <c r="NOZ385"/>
      <c r="NPA385"/>
      <c r="NPB385"/>
      <c r="NPC385"/>
      <c r="NPD385"/>
      <c r="NPE385"/>
      <c r="NPF385"/>
      <c r="NPG385"/>
      <c r="NPH385"/>
      <c r="NPI385"/>
      <c r="NPJ385"/>
      <c r="NPK385"/>
      <c r="NPL385"/>
      <c r="NPM385"/>
      <c r="NPN385"/>
      <c r="NPO385"/>
      <c r="NPP385"/>
      <c r="NPQ385"/>
      <c r="NPR385"/>
      <c r="NPS385"/>
      <c r="NPT385"/>
      <c r="NPU385"/>
      <c r="NPV385"/>
      <c r="NPW385"/>
      <c r="NPX385"/>
      <c r="NPY385"/>
      <c r="NPZ385"/>
      <c r="NQA385"/>
      <c r="NQB385"/>
      <c r="NQC385"/>
      <c r="NQD385"/>
      <c r="NQE385"/>
      <c r="NQF385"/>
      <c r="NQG385"/>
      <c r="NQH385"/>
      <c r="NQI385"/>
      <c r="NQJ385"/>
      <c r="NQK385"/>
      <c r="NQL385"/>
      <c r="NQM385"/>
      <c r="NQN385"/>
      <c r="NQO385"/>
      <c r="NQP385"/>
      <c r="NQQ385"/>
      <c r="NQR385"/>
      <c r="NQS385"/>
      <c r="NQT385"/>
      <c r="NQU385"/>
      <c r="NQV385"/>
      <c r="NQW385"/>
      <c r="NQX385"/>
      <c r="NQY385"/>
      <c r="NQZ385"/>
      <c r="NRA385"/>
      <c r="NRB385"/>
      <c r="NRC385"/>
      <c r="NRD385"/>
      <c r="NRE385"/>
      <c r="NRF385"/>
      <c r="NRG385"/>
      <c r="NRH385"/>
      <c r="NRI385"/>
      <c r="NRJ385"/>
      <c r="NRK385"/>
      <c r="NRL385"/>
      <c r="NRM385"/>
      <c r="NRN385"/>
      <c r="NRO385"/>
      <c r="NRP385"/>
      <c r="NRQ385"/>
      <c r="NRR385"/>
      <c r="NRS385"/>
      <c r="NRT385"/>
      <c r="NRU385"/>
      <c r="NRV385"/>
      <c r="NRW385"/>
      <c r="NRX385"/>
      <c r="NRY385"/>
      <c r="NRZ385"/>
      <c r="NSA385"/>
      <c r="NSB385"/>
      <c r="NSC385"/>
      <c r="NSD385"/>
      <c r="NSE385"/>
      <c r="NSF385"/>
      <c r="NSG385"/>
      <c r="NSH385"/>
      <c r="NSI385"/>
      <c r="NSJ385"/>
      <c r="NSK385"/>
      <c r="NSL385"/>
      <c r="NSM385"/>
      <c r="NSN385"/>
      <c r="NSO385"/>
      <c r="NSP385"/>
      <c r="NSQ385"/>
      <c r="NSR385"/>
      <c r="NSS385"/>
      <c r="NST385"/>
      <c r="NSU385"/>
      <c r="NSV385"/>
      <c r="NSW385"/>
      <c r="NSX385"/>
      <c r="NSY385"/>
      <c r="NSZ385"/>
      <c r="NTA385"/>
      <c r="NTB385"/>
      <c r="NTC385"/>
      <c r="NTD385"/>
      <c r="NTE385"/>
      <c r="NTF385"/>
      <c r="NTG385"/>
      <c r="NTH385"/>
      <c r="NTI385"/>
      <c r="NTJ385"/>
      <c r="NTK385"/>
      <c r="NTL385"/>
      <c r="NTM385"/>
      <c r="NTN385"/>
      <c r="NTO385"/>
      <c r="NTP385"/>
      <c r="NTQ385"/>
      <c r="NTR385"/>
      <c r="NTS385"/>
      <c r="NTT385"/>
      <c r="NTU385"/>
      <c r="NTV385"/>
      <c r="NTW385"/>
      <c r="NTX385"/>
      <c r="NTY385"/>
      <c r="NTZ385"/>
      <c r="NUA385"/>
      <c r="NUB385"/>
      <c r="NUC385"/>
      <c r="NUD385"/>
      <c r="NUE385"/>
      <c r="NUF385"/>
      <c r="NUG385"/>
      <c r="NUH385"/>
      <c r="NUI385"/>
      <c r="NUJ385"/>
      <c r="NUK385"/>
      <c r="NUL385"/>
      <c r="NUM385"/>
      <c r="NUN385"/>
      <c r="NUO385"/>
      <c r="NUP385"/>
      <c r="NUQ385"/>
      <c r="NUR385"/>
      <c r="NUS385"/>
      <c r="NUT385"/>
      <c r="NUU385"/>
      <c r="NUV385"/>
      <c r="NUW385"/>
      <c r="NUX385"/>
      <c r="NUY385"/>
      <c r="NUZ385"/>
      <c r="NVA385"/>
      <c r="NVB385"/>
      <c r="NVC385"/>
      <c r="NVD385"/>
      <c r="NVE385"/>
      <c r="NVF385"/>
      <c r="NVG385"/>
      <c r="NVH385"/>
      <c r="NVI385"/>
      <c r="NVJ385"/>
      <c r="NVK385"/>
      <c r="NVL385"/>
      <c r="NVM385"/>
      <c r="NVN385"/>
      <c r="NVO385"/>
      <c r="NVP385"/>
      <c r="NVQ385"/>
      <c r="NVR385"/>
      <c r="NVS385"/>
      <c r="NVT385"/>
      <c r="NVU385"/>
      <c r="NVV385"/>
      <c r="NVW385"/>
      <c r="NVX385"/>
      <c r="NVY385"/>
      <c r="NVZ385"/>
      <c r="NWA385"/>
      <c r="NWB385"/>
      <c r="NWC385"/>
      <c r="NWD385"/>
      <c r="NWE385"/>
      <c r="NWF385"/>
      <c r="NWG385"/>
      <c r="NWH385"/>
      <c r="NWI385"/>
      <c r="NWJ385"/>
      <c r="NWK385"/>
      <c r="NWL385"/>
      <c r="NWM385"/>
      <c r="NWN385"/>
      <c r="NWO385"/>
      <c r="NWP385"/>
      <c r="NWQ385"/>
      <c r="NWR385"/>
      <c r="NWS385"/>
      <c r="NWT385"/>
      <c r="NWU385"/>
      <c r="NWV385"/>
      <c r="NWW385"/>
      <c r="NWX385"/>
      <c r="NWY385"/>
      <c r="NWZ385"/>
      <c r="NXA385"/>
      <c r="NXB385"/>
      <c r="NXC385"/>
      <c r="NXD385"/>
      <c r="NXE385"/>
      <c r="NXF385"/>
      <c r="NXG385"/>
      <c r="NXH385"/>
      <c r="NXI385"/>
      <c r="NXJ385"/>
      <c r="NXK385"/>
      <c r="NXL385"/>
      <c r="NXM385"/>
      <c r="NXN385"/>
      <c r="NXO385"/>
      <c r="NXP385"/>
      <c r="NXQ385"/>
      <c r="NXR385"/>
      <c r="NXS385"/>
      <c r="NXT385"/>
      <c r="NXU385"/>
      <c r="NXV385"/>
      <c r="NXW385"/>
      <c r="NXX385"/>
      <c r="NXY385"/>
      <c r="NXZ385"/>
      <c r="NYA385"/>
      <c r="NYB385"/>
      <c r="NYC385"/>
      <c r="NYD385"/>
      <c r="NYE385"/>
      <c r="NYF385"/>
      <c r="NYG385"/>
      <c r="NYH385"/>
      <c r="NYI385"/>
      <c r="NYJ385"/>
      <c r="NYK385"/>
      <c r="NYL385"/>
      <c r="NYM385"/>
      <c r="NYN385"/>
      <c r="NYO385"/>
      <c r="NYP385"/>
      <c r="NYQ385"/>
      <c r="NYR385"/>
      <c r="NYS385"/>
      <c r="NYT385"/>
      <c r="NYU385"/>
      <c r="NYV385"/>
      <c r="NYW385"/>
      <c r="NYX385"/>
      <c r="NYY385"/>
      <c r="NYZ385"/>
      <c r="NZA385"/>
      <c r="NZB385"/>
      <c r="NZC385"/>
      <c r="NZD385"/>
      <c r="NZE385"/>
      <c r="NZF385"/>
      <c r="NZG385"/>
      <c r="NZH385"/>
      <c r="NZI385"/>
      <c r="NZJ385"/>
      <c r="NZK385"/>
      <c r="NZL385"/>
      <c r="NZM385"/>
      <c r="NZN385"/>
      <c r="NZO385"/>
      <c r="NZP385"/>
      <c r="NZQ385"/>
      <c r="NZR385"/>
      <c r="NZS385"/>
      <c r="NZT385"/>
      <c r="NZU385"/>
      <c r="NZV385"/>
      <c r="NZW385"/>
      <c r="NZX385"/>
      <c r="NZY385"/>
      <c r="NZZ385"/>
      <c r="OAA385"/>
      <c r="OAB385"/>
      <c r="OAC385"/>
      <c r="OAD385"/>
      <c r="OAE385"/>
      <c r="OAF385"/>
      <c r="OAG385"/>
      <c r="OAH385"/>
      <c r="OAI385"/>
      <c r="OAJ385"/>
      <c r="OAK385"/>
      <c r="OAL385"/>
      <c r="OAM385"/>
      <c r="OAN385"/>
      <c r="OAO385"/>
      <c r="OAP385"/>
      <c r="OAQ385"/>
      <c r="OAR385"/>
      <c r="OAS385"/>
      <c r="OAT385"/>
      <c r="OAU385"/>
      <c r="OAV385"/>
      <c r="OAW385"/>
      <c r="OAX385"/>
      <c r="OAY385"/>
      <c r="OAZ385"/>
      <c r="OBA385"/>
      <c r="OBB385"/>
      <c r="OBC385"/>
      <c r="OBD385"/>
      <c r="OBE385"/>
      <c r="OBF385"/>
      <c r="OBG385"/>
      <c r="OBH385"/>
      <c r="OBI385"/>
      <c r="OBJ385"/>
      <c r="OBK385"/>
      <c r="OBL385"/>
      <c r="OBM385"/>
      <c r="OBN385"/>
      <c r="OBO385"/>
      <c r="OBP385"/>
      <c r="OBQ385"/>
      <c r="OBR385"/>
      <c r="OBS385"/>
      <c r="OBT385"/>
      <c r="OBU385"/>
      <c r="OBV385"/>
      <c r="OBW385"/>
      <c r="OBX385"/>
      <c r="OBY385"/>
      <c r="OBZ385"/>
      <c r="OCA385"/>
      <c r="OCB385"/>
      <c r="OCC385"/>
      <c r="OCD385"/>
      <c r="OCE385"/>
      <c r="OCF385"/>
      <c r="OCG385"/>
      <c r="OCH385"/>
      <c r="OCI385"/>
      <c r="OCJ385"/>
      <c r="OCK385"/>
      <c r="OCL385"/>
      <c r="OCM385"/>
      <c r="OCN385"/>
      <c r="OCO385"/>
      <c r="OCP385"/>
      <c r="OCQ385"/>
      <c r="OCR385"/>
      <c r="OCS385"/>
      <c r="OCT385"/>
      <c r="OCU385"/>
      <c r="OCV385"/>
      <c r="OCW385"/>
      <c r="OCX385"/>
      <c r="OCY385"/>
      <c r="OCZ385"/>
      <c r="ODA385"/>
      <c r="ODB385"/>
      <c r="ODC385"/>
      <c r="ODD385"/>
      <c r="ODE385"/>
      <c r="ODF385"/>
      <c r="ODG385"/>
      <c r="ODH385"/>
      <c r="ODI385"/>
      <c r="ODJ385"/>
      <c r="ODK385"/>
      <c r="ODL385"/>
      <c r="ODM385"/>
      <c r="ODN385"/>
      <c r="ODO385"/>
      <c r="ODP385"/>
      <c r="ODQ385"/>
      <c r="ODR385"/>
      <c r="ODS385"/>
      <c r="ODT385"/>
      <c r="ODU385"/>
      <c r="ODV385"/>
      <c r="ODW385"/>
      <c r="ODX385"/>
      <c r="ODY385"/>
      <c r="ODZ385"/>
      <c r="OEA385"/>
      <c r="OEB385"/>
      <c r="OEC385"/>
      <c r="OED385"/>
      <c r="OEE385"/>
      <c r="OEF385"/>
      <c r="OEG385"/>
      <c r="OEH385"/>
      <c r="OEI385"/>
      <c r="OEJ385"/>
      <c r="OEK385"/>
      <c r="OEL385"/>
      <c r="OEM385"/>
      <c r="OEN385"/>
      <c r="OEO385"/>
      <c r="OEP385"/>
      <c r="OEQ385"/>
      <c r="OER385"/>
      <c r="OES385"/>
      <c r="OET385"/>
      <c r="OEU385"/>
      <c r="OEV385"/>
      <c r="OEW385"/>
      <c r="OEX385"/>
      <c r="OEY385"/>
      <c r="OEZ385"/>
      <c r="OFA385"/>
      <c r="OFB385"/>
      <c r="OFC385"/>
      <c r="OFD385"/>
      <c r="OFE385"/>
      <c r="OFF385"/>
      <c r="OFG385"/>
      <c r="OFH385"/>
      <c r="OFI385"/>
      <c r="OFJ385"/>
      <c r="OFK385"/>
      <c r="OFL385"/>
      <c r="OFM385"/>
      <c r="OFN385"/>
      <c r="OFO385"/>
      <c r="OFP385"/>
      <c r="OFQ385"/>
      <c r="OFR385"/>
      <c r="OFS385"/>
      <c r="OFT385"/>
      <c r="OFU385"/>
      <c r="OFV385"/>
      <c r="OFW385"/>
      <c r="OFX385"/>
      <c r="OFY385"/>
      <c r="OFZ385"/>
      <c r="OGA385"/>
      <c r="OGB385"/>
      <c r="OGC385"/>
      <c r="OGD385"/>
      <c r="OGE385"/>
      <c r="OGF385"/>
      <c r="OGG385"/>
      <c r="OGH385"/>
      <c r="OGI385"/>
      <c r="OGJ385"/>
      <c r="OGK385"/>
      <c r="OGL385"/>
      <c r="OGM385"/>
      <c r="OGN385"/>
      <c r="OGO385"/>
      <c r="OGP385"/>
      <c r="OGQ385"/>
      <c r="OGR385"/>
      <c r="OGS385"/>
      <c r="OGT385"/>
      <c r="OGU385"/>
      <c r="OGV385"/>
      <c r="OGW385"/>
      <c r="OGX385"/>
      <c r="OGY385"/>
      <c r="OGZ385"/>
      <c r="OHA385"/>
      <c r="OHB385"/>
      <c r="OHC385"/>
      <c r="OHD385"/>
      <c r="OHE385"/>
      <c r="OHF385"/>
      <c r="OHG385"/>
      <c r="OHH385"/>
      <c r="OHI385"/>
      <c r="OHJ385"/>
      <c r="OHK385"/>
      <c r="OHL385"/>
      <c r="OHM385"/>
      <c r="OHN385"/>
      <c r="OHO385"/>
      <c r="OHP385"/>
      <c r="OHQ385"/>
      <c r="OHR385"/>
      <c r="OHS385"/>
      <c r="OHT385"/>
      <c r="OHU385"/>
      <c r="OHV385"/>
      <c r="OHW385"/>
      <c r="OHX385"/>
      <c r="OHY385"/>
      <c r="OHZ385"/>
      <c r="OIA385"/>
      <c r="OIB385"/>
      <c r="OIC385"/>
      <c r="OID385"/>
      <c r="OIE385"/>
      <c r="OIF385"/>
      <c r="OIG385"/>
      <c r="OIH385"/>
      <c r="OII385"/>
      <c r="OIJ385"/>
      <c r="OIK385"/>
      <c r="OIL385"/>
      <c r="OIM385"/>
      <c r="OIN385"/>
      <c r="OIO385"/>
      <c r="OIP385"/>
      <c r="OIQ385"/>
      <c r="OIR385"/>
      <c r="OIS385"/>
      <c r="OIT385"/>
      <c r="OIU385"/>
      <c r="OIV385"/>
      <c r="OIW385"/>
      <c r="OIX385"/>
      <c r="OIY385"/>
      <c r="OIZ385"/>
      <c r="OJA385"/>
      <c r="OJB385"/>
      <c r="OJC385"/>
      <c r="OJD385"/>
      <c r="OJE385"/>
      <c r="OJF385"/>
      <c r="OJG385"/>
      <c r="OJH385"/>
      <c r="OJI385"/>
      <c r="OJJ385"/>
      <c r="OJK385"/>
      <c r="OJL385"/>
      <c r="OJM385"/>
      <c r="OJN385"/>
      <c r="OJO385"/>
      <c r="OJP385"/>
      <c r="OJQ385"/>
      <c r="OJR385"/>
      <c r="OJS385"/>
      <c r="OJT385"/>
      <c r="OJU385"/>
      <c r="OJV385"/>
      <c r="OJW385"/>
      <c r="OJX385"/>
      <c r="OJY385"/>
      <c r="OJZ385"/>
      <c r="OKA385"/>
      <c r="OKB385"/>
      <c r="OKC385"/>
      <c r="OKD385"/>
      <c r="OKE385"/>
      <c r="OKF385"/>
      <c r="OKG385"/>
      <c r="OKH385"/>
      <c r="OKI385"/>
      <c r="OKJ385"/>
      <c r="OKK385"/>
      <c r="OKL385"/>
      <c r="OKM385"/>
      <c r="OKN385"/>
      <c r="OKO385"/>
      <c r="OKP385"/>
      <c r="OKQ385"/>
      <c r="OKR385"/>
      <c r="OKS385"/>
      <c r="OKT385"/>
      <c r="OKU385"/>
      <c r="OKV385"/>
      <c r="OKW385"/>
      <c r="OKX385"/>
      <c r="OKY385"/>
      <c r="OKZ385"/>
      <c r="OLA385"/>
      <c r="OLB385"/>
      <c r="OLC385"/>
      <c r="OLD385"/>
      <c r="OLE385"/>
      <c r="OLF385"/>
      <c r="OLG385"/>
      <c r="OLH385"/>
      <c r="OLI385"/>
      <c r="OLJ385"/>
      <c r="OLK385"/>
      <c r="OLL385"/>
      <c r="OLM385"/>
      <c r="OLN385"/>
      <c r="OLO385"/>
      <c r="OLP385"/>
      <c r="OLQ385"/>
      <c r="OLR385"/>
      <c r="OLS385"/>
      <c r="OLT385"/>
      <c r="OLU385"/>
      <c r="OLV385"/>
      <c r="OLW385"/>
      <c r="OLX385"/>
      <c r="OLY385"/>
      <c r="OLZ385"/>
      <c r="OMA385"/>
      <c r="OMB385"/>
      <c r="OMC385"/>
      <c r="OMD385"/>
      <c r="OME385"/>
      <c r="OMF385"/>
      <c r="OMG385"/>
      <c r="OMH385"/>
      <c r="OMI385"/>
      <c r="OMJ385"/>
      <c r="OMK385"/>
      <c r="OML385"/>
      <c r="OMM385"/>
      <c r="OMN385"/>
      <c r="OMO385"/>
      <c r="OMP385"/>
      <c r="OMQ385"/>
      <c r="OMR385"/>
      <c r="OMS385"/>
      <c r="OMT385"/>
      <c r="OMU385"/>
      <c r="OMV385"/>
      <c r="OMW385"/>
      <c r="OMX385"/>
      <c r="OMY385"/>
      <c r="OMZ385"/>
      <c r="ONA385"/>
      <c r="ONB385"/>
      <c r="ONC385"/>
      <c r="OND385"/>
      <c r="ONE385"/>
      <c r="ONF385"/>
      <c r="ONG385"/>
      <c r="ONH385"/>
      <c r="ONI385"/>
      <c r="ONJ385"/>
      <c r="ONK385"/>
      <c r="ONL385"/>
      <c r="ONM385"/>
      <c r="ONN385"/>
      <c r="ONO385"/>
      <c r="ONP385"/>
      <c r="ONQ385"/>
      <c r="ONR385"/>
      <c r="ONS385"/>
      <c r="ONT385"/>
      <c r="ONU385"/>
      <c r="ONV385"/>
      <c r="ONW385"/>
      <c r="ONX385"/>
      <c r="ONY385"/>
      <c r="ONZ385"/>
      <c r="OOA385"/>
      <c r="OOB385"/>
      <c r="OOC385"/>
      <c r="OOD385"/>
      <c r="OOE385"/>
      <c r="OOF385"/>
      <c r="OOG385"/>
      <c r="OOH385"/>
      <c r="OOI385"/>
      <c r="OOJ385"/>
      <c r="OOK385"/>
      <c r="OOL385"/>
      <c r="OOM385"/>
      <c r="OON385"/>
      <c r="OOO385"/>
      <c r="OOP385"/>
      <c r="OOQ385"/>
      <c r="OOR385"/>
      <c r="OOS385"/>
      <c r="OOT385"/>
      <c r="OOU385"/>
      <c r="OOV385"/>
      <c r="OOW385"/>
      <c r="OOX385"/>
      <c r="OOY385"/>
      <c r="OOZ385"/>
      <c r="OPA385"/>
      <c r="OPB385"/>
      <c r="OPC385"/>
      <c r="OPD385"/>
      <c r="OPE385"/>
      <c r="OPF385"/>
      <c r="OPG385"/>
      <c r="OPH385"/>
      <c r="OPI385"/>
      <c r="OPJ385"/>
      <c r="OPK385"/>
      <c r="OPL385"/>
      <c r="OPM385"/>
      <c r="OPN385"/>
      <c r="OPO385"/>
      <c r="OPP385"/>
      <c r="OPQ385"/>
      <c r="OPR385"/>
      <c r="OPS385"/>
      <c r="OPT385"/>
      <c r="OPU385"/>
      <c r="OPV385"/>
      <c r="OPW385"/>
      <c r="OPX385"/>
      <c r="OPY385"/>
      <c r="OPZ385"/>
      <c r="OQA385"/>
      <c r="OQB385"/>
      <c r="OQC385"/>
      <c r="OQD385"/>
      <c r="OQE385"/>
      <c r="OQF385"/>
      <c r="OQG385"/>
      <c r="OQH385"/>
      <c r="OQI385"/>
      <c r="OQJ385"/>
      <c r="OQK385"/>
      <c r="OQL385"/>
      <c r="OQM385"/>
      <c r="OQN385"/>
      <c r="OQO385"/>
      <c r="OQP385"/>
      <c r="OQQ385"/>
      <c r="OQR385"/>
      <c r="OQS385"/>
      <c r="OQT385"/>
      <c r="OQU385"/>
      <c r="OQV385"/>
      <c r="OQW385"/>
      <c r="OQX385"/>
      <c r="OQY385"/>
      <c r="OQZ385"/>
      <c r="ORA385"/>
      <c r="ORB385"/>
      <c r="ORC385"/>
      <c r="ORD385"/>
      <c r="ORE385"/>
      <c r="ORF385"/>
      <c r="ORG385"/>
      <c r="ORH385"/>
      <c r="ORI385"/>
      <c r="ORJ385"/>
      <c r="ORK385"/>
      <c r="ORL385"/>
      <c r="ORM385"/>
      <c r="ORN385"/>
      <c r="ORO385"/>
      <c r="ORP385"/>
      <c r="ORQ385"/>
      <c r="ORR385"/>
      <c r="ORS385"/>
      <c r="ORT385"/>
      <c r="ORU385"/>
      <c r="ORV385"/>
      <c r="ORW385"/>
      <c r="ORX385"/>
      <c r="ORY385"/>
      <c r="ORZ385"/>
      <c r="OSA385"/>
      <c r="OSB385"/>
      <c r="OSC385"/>
      <c r="OSD385"/>
      <c r="OSE385"/>
      <c r="OSF385"/>
      <c r="OSG385"/>
      <c r="OSH385"/>
      <c r="OSI385"/>
      <c r="OSJ385"/>
      <c r="OSK385"/>
      <c r="OSL385"/>
      <c r="OSM385"/>
      <c r="OSN385"/>
      <c r="OSO385"/>
      <c r="OSP385"/>
      <c r="OSQ385"/>
      <c r="OSR385"/>
      <c r="OSS385"/>
      <c r="OST385"/>
      <c r="OSU385"/>
      <c r="OSV385"/>
      <c r="OSW385"/>
      <c r="OSX385"/>
      <c r="OSY385"/>
      <c r="OSZ385"/>
      <c r="OTA385"/>
      <c r="OTB385"/>
      <c r="OTC385"/>
      <c r="OTD385"/>
      <c r="OTE385"/>
      <c r="OTF385"/>
      <c r="OTG385"/>
      <c r="OTH385"/>
      <c r="OTI385"/>
      <c r="OTJ385"/>
      <c r="OTK385"/>
      <c r="OTL385"/>
      <c r="OTM385"/>
      <c r="OTN385"/>
      <c r="OTO385"/>
      <c r="OTP385"/>
      <c r="OTQ385"/>
      <c r="OTR385"/>
      <c r="OTS385"/>
      <c r="OTT385"/>
      <c r="OTU385"/>
      <c r="OTV385"/>
      <c r="OTW385"/>
      <c r="OTX385"/>
      <c r="OTY385"/>
      <c r="OTZ385"/>
      <c r="OUA385"/>
      <c r="OUB385"/>
      <c r="OUC385"/>
      <c r="OUD385"/>
      <c r="OUE385"/>
      <c r="OUF385"/>
      <c r="OUG385"/>
      <c r="OUH385"/>
      <c r="OUI385"/>
      <c r="OUJ385"/>
      <c r="OUK385"/>
      <c r="OUL385"/>
      <c r="OUM385"/>
      <c r="OUN385"/>
      <c r="OUO385"/>
      <c r="OUP385"/>
      <c r="OUQ385"/>
      <c r="OUR385"/>
      <c r="OUS385"/>
      <c r="OUT385"/>
      <c r="OUU385"/>
      <c r="OUV385"/>
      <c r="OUW385"/>
      <c r="OUX385"/>
      <c r="OUY385"/>
      <c r="OUZ385"/>
      <c r="OVA385"/>
      <c r="OVB385"/>
      <c r="OVC385"/>
      <c r="OVD385"/>
      <c r="OVE385"/>
      <c r="OVF385"/>
      <c r="OVG385"/>
      <c r="OVH385"/>
      <c r="OVI385"/>
      <c r="OVJ385"/>
      <c r="OVK385"/>
      <c r="OVL385"/>
      <c r="OVM385"/>
      <c r="OVN385"/>
      <c r="OVO385"/>
      <c r="OVP385"/>
      <c r="OVQ385"/>
      <c r="OVR385"/>
      <c r="OVS385"/>
      <c r="OVT385"/>
      <c r="OVU385"/>
      <c r="OVV385"/>
      <c r="OVW385"/>
      <c r="OVX385"/>
      <c r="OVY385"/>
      <c r="OVZ385"/>
      <c r="OWA385"/>
      <c r="OWB385"/>
      <c r="OWC385"/>
      <c r="OWD385"/>
      <c r="OWE385"/>
      <c r="OWF385"/>
      <c r="OWG385"/>
      <c r="OWH385"/>
      <c r="OWI385"/>
      <c r="OWJ385"/>
      <c r="OWK385"/>
      <c r="OWL385"/>
      <c r="OWM385"/>
      <c r="OWN385"/>
      <c r="OWO385"/>
      <c r="OWP385"/>
      <c r="OWQ385"/>
      <c r="OWR385"/>
      <c r="OWS385"/>
      <c r="OWT385"/>
      <c r="OWU385"/>
      <c r="OWV385"/>
      <c r="OWW385"/>
      <c r="OWX385"/>
      <c r="OWY385"/>
      <c r="OWZ385"/>
      <c r="OXA385"/>
      <c r="OXB385"/>
      <c r="OXC385"/>
      <c r="OXD385"/>
      <c r="OXE385"/>
      <c r="OXF385"/>
      <c r="OXG385"/>
      <c r="OXH385"/>
      <c r="OXI385"/>
      <c r="OXJ385"/>
      <c r="OXK385"/>
      <c r="OXL385"/>
      <c r="OXM385"/>
      <c r="OXN385"/>
      <c r="OXO385"/>
      <c r="OXP385"/>
      <c r="OXQ385"/>
      <c r="OXR385"/>
      <c r="OXS385"/>
      <c r="OXT385"/>
      <c r="OXU385"/>
      <c r="OXV385"/>
      <c r="OXW385"/>
      <c r="OXX385"/>
      <c r="OXY385"/>
      <c r="OXZ385"/>
      <c r="OYA385"/>
      <c r="OYB385"/>
      <c r="OYC385"/>
      <c r="OYD385"/>
      <c r="OYE385"/>
      <c r="OYF385"/>
      <c r="OYG385"/>
      <c r="OYH385"/>
      <c r="OYI385"/>
      <c r="OYJ385"/>
      <c r="OYK385"/>
      <c r="OYL385"/>
      <c r="OYM385"/>
      <c r="OYN385"/>
      <c r="OYO385"/>
      <c r="OYP385"/>
      <c r="OYQ385"/>
      <c r="OYR385"/>
      <c r="OYS385"/>
      <c r="OYT385"/>
      <c r="OYU385"/>
      <c r="OYV385"/>
      <c r="OYW385"/>
      <c r="OYX385"/>
      <c r="OYY385"/>
      <c r="OYZ385"/>
      <c r="OZA385"/>
      <c r="OZB385"/>
      <c r="OZC385"/>
      <c r="OZD385"/>
      <c r="OZE385"/>
      <c r="OZF385"/>
      <c r="OZG385"/>
      <c r="OZH385"/>
      <c r="OZI385"/>
      <c r="OZJ385"/>
      <c r="OZK385"/>
      <c r="OZL385"/>
      <c r="OZM385"/>
      <c r="OZN385"/>
      <c r="OZO385"/>
      <c r="OZP385"/>
      <c r="OZQ385"/>
      <c r="OZR385"/>
      <c r="OZS385"/>
      <c r="OZT385"/>
      <c r="OZU385"/>
      <c r="OZV385"/>
      <c r="OZW385"/>
      <c r="OZX385"/>
      <c r="OZY385"/>
      <c r="OZZ385"/>
      <c r="PAA385"/>
      <c r="PAB385"/>
      <c r="PAC385"/>
      <c r="PAD385"/>
      <c r="PAE385"/>
      <c r="PAF385"/>
      <c r="PAG385"/>
      <c r="PAH385"/>
      <c r="PAI385"/>
      <c r="PAJ385"/>
      <c r="PAK385"/>
      <c r="PAL385"/>
      <c r="PAM385"/>
      <c r="PAN385"/>
      <c r="PAO385"/>
      <c r="PAP385"/>
      <c r="PAQ385"/>
      <c r="PAR385"/>
      <c r="PAS385"/>
      <c r="PAT385"/>
      <c r="PAU385"/>
      <c r="PAV385"/>
      <c r="PAW385"/>
      <c r="PAX385"/>
      <c r="PAY385"/>
      <c r="PAZ385"/>
      <c r="PBA385"/>
      <c r="PBB385"/>
      <c r="PBC385"/>
      <c r="PBD385"/>
      <c r="PBE385"/>
      <c r="PBF385"/>
      <c r="PBG385"/>
      <c r="PBH385"/>
      <c r="PBI385"/>
      <c r="PBJ385"/>
      <c r="PBK385"/>
      <c r="PBL385"/>
      <c r="PBM385"/>
      <c r="PBN385"/>
      <c r="PBO385"/>
      <c r="PBP385"/>
      <c r="PBQ385"/>
      <c r="PBR385"/>
      <c r="PBS385"/>
      <c r="PBT385"/>
      <c r="PBU385"/>
      <c r="PBV385"/>
      <c r="PBW385"/>
      <c r="PBX385"/>
      <c r="PBY385"/>
      <c r="PBZ385"/>
      <c r="PCA385"/>
      <c r="PCB385"/>
      <c r="PCC385"/>
      <c r="PCD385"/>
      <c r="PCE385"/>
      <c r="PCF385"/>
      <c r="PCG385"/>
      <c r="PCH385"/>
      <c r="PCI385"/>
      <c r="PCJ385"/>
      <c r="PCK385"/>
      <c r="PCL385"/>
      <c r="PCM385"/>
      <c r="PCN385"/>
      <c r="PCO385"/>
      <c r="PCP385"/>
      <c r="PCQ385"/>
      <c r="PCR385"/>
      <c r="PCS385"/>
      <c r="PCT385"/>
      <c r="PCU385"/>
      <c r="PCV385"/>
      <c r="PCW385"/>
      <c r="PCX385"/>
      <c r="PCY385"/>
      <c r="PCZ385"/>
      <c r="PDA385"/>
      <c r="PDB385"/>
      <c r="PDC385"/>
      <c r="PDD385"/>
      <c r="PDE385"/>
      <c r="PDF385"/>
      <c r="PDG385"/>
      <c r="PDH385"/>
      <c r="PDI385"/>
      <c r="PDJ385"/>
      <c r="PDK385"/>
      <c r="PDL385"/>
      <c r="PDM385"/>
      <c r="PDN385"/>
      <c r="PDO385"/>
      <c r="PDP385"/>
      <c r="PDQ385"/>
      <c r="PDR385"/>
      <c r="PDS385"/>
      <c r="PDT385"/>
      <c r="PDU385"/>
      <c r="PDV385"/>
      <c r="PDW385"/>
      <c r="PDX385"/>
      <c r="PDY385"/>
      <c r="PDZ385"/>
      <c r="PEA385"/>
      <c r="PEB385"/>
      <c r="PEC385"/>
      <c r="PED385"/>
      <c r="PEE385"/>
      <c r="PEF385"/>
      <c r="PEG385"/>
      <c r="PEH385"/>
      <c r="PEI385"/>
      <c r="PEJ385"/>
      <c r="PEK385"/>
      <c r="PEL385"/>
      <c r="PEM385"/>
      <c r="PEN385"/>
      <c r="PEO385"/>
      <c r="PEP385"/>
      <c r="PEQ385"/>
      <c r="PER385"/>
      <c r="PES385"/>
      <c r="PET385"/>
      <c r="PEU385"/>
      <c r="PEV385"/>
      <c r="PEW385"/>
      <c r="PEX385"/>
      <c r="PEY385"/>
      <c r="PEZ385"/>
      <c r="PFA385"/>
      <c r="PFB385"/>
      <c r="PFC385"/>
      <c r="PFD385"/>
      <c r="PFE385"/>
      <c r="PFF385"/>
      <c r="PFG385"/>
      <c r="PFH385"/>
      <c r="PFI385"/>
      <c r="PFJ385"/>
      <c r="PFK385"/>
      <c r="PFL385"/>
      <c r="PFM385"/>
      <c r="PFN385"/>
      <c r="PFO385"/>
      <c r="PFP385"/>
      <c r="PFQ385"/>
      <c r="PFR385"/>
      <c r="PFS385"/>
      <c r="PFT385"/>
      <c r="PFU385"/>
      <c r="PFV385"/>
      <c r="PFW385"/>
      <c r="PFX385"/>
      <c r="PFY385"/>
      <c r="PFZ385"/>
      <c r="PGA385"/>
      <c r="PGB385"/>
      <c r="PGC385"/>
      <c r="PGD385"/>
      <c r="PGE385"/>
      <c r="PGF385"/>
      <c r="PGG385"/>
      <c r="PGH385"/>
      <c r="PGI385"/>
      <c r="PGJ385"/>
      <c r="PGK385"/>
      <c r="PGL385"/>
      <c r="PGM385"/>
      <c r="PGN385"/>
      <c r="PGO385"/>
      <c r="PGP385"/>
      <c r="PGQ385"/>
      <c r="PGR385"/>
      <c r="PGS385"/>
      <c r="PGT385"/>
      <c r="PGU385"/>
      <c r="PGV385"/>
      <c r="PGW385"/>
      <c r="PGX385"/>
      <c r="PGY385"/>
      <c r="PGZ385"/>
      <c r="PHA385"/>
      <c r="PHB385"/>
      <c r="PHC385"/>
      <c r="PHD385"/>
      <c r="PHE385"/>
      <c r="PHF385"/>
      <c r="PHG385"/>
      <c r="PHH385"/>
      <c r="PHI385"/>
      <c r="PHJ385"/>
      <c r="PHK385"/>
      <c r="PHL385"/>
      <c r="PHM385"/>
      <c r="PHN385"/>
      <c r="PHO385"/>
      <c r="PHP385"/>
      <c r="PHQ385"/>
      <c r="PHR385"/>
      <c r="PHS385"/>
      <c r="PHT385"/>
      <c r="PHU385"/>
      <c r="PHV385"/>
      <c r="PHW385"/>
      <c r="PHX385"/>
      <c r="PHY385"/>
      <c r="PHZ385"/>
      <c r="PIA385"/>
      <c r="PIB385"/>
      <c r="PIC385"/>
      <c r="PID385"/>
      <c r="PIE385"/>
      <c r="PIF385"/>
      <c r="PIG385"/>
      <c r="PIH385"/>
      <c r="PII385"/>
      <c r="PIJ385"/>
      <c r="PIK385"/>
      <c r="PIL385"/>
      <c r="PIM385"/>
      <c r="PIN385"/>
      <c r="PIO385"/>
      <c r="PIP385"/>
      <c r="PIQ385"/>
      <c r="PIR385"/>
      <c r="PIS385"/>
      <c r="PIT385"/>
      <c r="PIU385"/>
      <c r="PIV385"/>
      <c r="PIW385"/>
      <c r="PIX385"/>
      <c r="PIY385"/>
      <c r="PIZ385"/>
      <c r="PJA385"/>
      <c r="PJB385"/>
      <c r="PJC385"/>
      <c r="PJD385"/>
      <c r="PJE385"/>
      <c r="PJF385"/>
      <c r="PJG385"/>
      <c r="PJH385"/>
      <c r="PJI385"/>
      <c r="PJJ385"/>
      <c r="PJK385"/>
      <c r="PJL385"/>
      <c r="PJM385"/>
      <c r="PJN385"/>
      <c r="PJO385"/>
      <c r="PJP385"/>
      <c r="PJQ385"/>
      <c r="PJR385"/>
      <c r="PJS385"/>
      <c r="PJT385"/>
      <c r="PJU385"/>
      <c r="PJV385"/>
      <c r="PJW385"/>
      <c r="PJX385"/>
      <c r="PJY385"/>
      <c r="PJZ385"/>
      <c r="PKA385"/>
      <c r="PKB385"/>
      <c r="PKC385"/>
      <c r="PKD385"/>
      <c r="PKE385"/>
      <c r="PKF385"/>
      <c r="PKG385"/>
      <c r="PKH385"/>
      <c r="PKI385"/>
      <c r="PKJ385"/>
      <c r="PKK385"/>
      <c r="PKL385"/>
      <c r="PKM385"/>
      <c r="PKN385"/>
      <c r="PKO385"/>
      <c r="PKP385"/>
      <c r="PKQ385"/>
      <c r="PKR385"/>
      <c r="PKS385"/>
      <c r="PKT385"/>
      <c r="PKU385"/>
      <c r="PKV385"/>
      <c r="PKW385"/>
      <c r="PKX385"/>
      <c r="PKY385"/>
      <c r="PKZ385"/>
      <c r="PLA385"/>
      <c r="PLB385"/>
      <c r="PLC385"/>
      <c r="PLD385"/>
      <c r="PLE385"/>
      <c r="PLF385"/>
      <c r="PLG385"/>
      <c r="PLH385"/>
      <c r="PLI385"/>
      <c r="PLJ385"/>
      <c r="PLK385"/>
      <c r="PLL385"/>
      <c r="PLM385"/>
      <c r="PLN385"/>
      <c r="PLO385"/>
      <c r="PLP385"/>
      <c r="PLQ385"/>
      <c r="PLR385"/>
      <c r="PLS385"/>
      <c r="PLT385"/>
      <c r="PLU385"/>
      <c r="PLV385"/>
      <c r="PLW385"/>
      <c r="PLX385"/>
      <c r="PLY385"/>
      <c r="PLZ385"/>
      <c r="PMA385"/>
      <c r="PMB385"/>
      <c r="PMC385"/>
      <c r="PMD385"/>
      <c r="PME385"/>
      <c r="PMF385"/>
      <c r="PMG385"/>
      <c r="PMH385"/>
      <c r="PMI385"/>
      <c r="PMJ385"/>
      <c r="PMK385"/>
      <c r="PML385"/>
      <c r="PMM385"/>
      <c r="PMN385"/>
      <c r="PMO385"/>
      <c r="PMP385"/>
      <c r="PMQ385"/>
      <c r="PMR385"/>
      <c r="PMS385"/>
      <c r="PMT385"/>
      <c r="PMU385"/>
      <c r="PMV385"/>
      <c r="PMW385"/>
      <c r="PMX385"/>
      <c r="PMY385"/>
      <c r="PMZ385"/>
      <c r="PNA385"/>
      <c r="PNB385"/>
      <c r="PNC385"/>
      <c r="PND385"/>
      <c r="PNE385"/>
      <c r="PNF385"/>
      <c r="PNG385"/>
      <c r="PNH385"/>
      <c r="PNI385"/>
      <c r="PNJ385"/>
      <c r="PNK385"/>
      <c r="PNL385"/>
      <c r="PNM385"/>
      <c r="PNN385"/>
      <c r="PNO385"/>
      <c r="PNP385"/>
      <c r="PNQ385"/>
      <c r="PNR385"/>
      <c r="PNS385"/>
      <c r="PNT385"/>
      <c r="PNU385"/>
      <c r="PNV385"/>
      <c r="PNW385"/>
      <c r="PNX385"/>
      <c r="PNY385"/>
      <c r="PNZ385"/>
      <c r="POA385"/>
      <c r="POB385"/>
      <c r="POC385"/>
      <c r="POD385"/>
      <c r="POE385"/>
      <c r="POF385"/>
      <c r="POG385"/>
      <c r="POH385"/>
      <c r="POI385"/>
      <c r="POJ385"/>
      <c r="POK385"/>
      <c r="POL385"/>
      <c r="POM385"/>
      <c r="PON385"/>
      <c r="POO385"/>
      <c r="POP385"/>
      <c r="POQ385"/>
      <c r="POR385"/>
      <c r="POS385"/>
      <c r="POT385"/>
      <c r="POU385"/>
      <c r="POV385"/>
      <c r="POW385"/>
      <c r="POX385"/>
      <c r="POY385"/>
      <c r="POZ385"/>
      <c r="PPA385"/>
      <c r="PPB385"/>
      <c r="PPC385"/>
      <c r="PPD385"/>
      <c r="PPE385"/>
      <c r="PPF385"/>
      <c r="PPG385"/>
      <c r="PPH385"/>
      <c r="PPI385"/>
      <c r="PPJ385"/>
      <c r="PPK385"/>
      <c r="PPL385"/>
      <c r="PPM385"/>
      <c r="PPN385"/>
      <c r="PPO385"/>
      <c r="PPP385"/>
      <c r="PPQ385"/>
      <c r="PPR385"/>
      <c r="PPS385"/>
      <c r="PPT385"/>
      <c r="PPU385"/>
      <c r="PPV385"/>
      <c r="PPW385"/>
      <c r="PPX385"/>
      <c r="PPY385"/>
      <c r="PPZ385"/>
      <c r="PQA385"/>
      <c r="PQB385"/>
      <c r="PQC385"/>
      <c r="PQD385"/>
      <c r="PQE385"/>
      <c r="PQF385"/>
      <c r="PQG385"/>
      <c r="PQH385"/>
      <c r="PQI385"/>
      <c r="PQJ385"/>
      <c r="PQK385"/>
      <c r="PQL385"/>
      <c r="PQM385"/>
      <c r="PQN385"/>
      <c r="PQO385"/>
      <c r="PQP385"/>
      <c r="PQQ385"/>
      <c r="PQR385"/>
      <c r="PQS385"/>
      <c r="PQT385"/>
      <c r="PQU385"/>
      <c r="PQV385"/>
      <c r="PQW385"/>
      <c r="PQX385"/>
      <c r="PQY385"/>
      <c r="PQZ385"/>
      <c r="PRA385"/>
      <c r="PRB385"/>
      <c r="PRC385"/>
      <c r="PRD385"/>
      <c r="PRE385"/>
      <c r="PRF385"/>
      <c r="PRG385"/>
      <c r="PRH385"/>
      <c r="PRI385"/>
      <c r="PRJ385"/>
      <c r="PRK385"/>
      <c r="PRL385"/>
      <c r="PRM385"/>
      <c r="PRN385"/>
      <c r="PRO385"/>
      <c r="PRP385"/>
      <c r="PRQ385"/>
      <c r="PRR385"/>
      <c r="PRS385"/>
      <c r="PRT385"/>
      <c r="PRU385"/>
      <c r="PRV385"/>
      <c r="PRW385"/>
      <c r="PRX385"/>
      <c r="PRY385"/>
      <c r="PRZ385"/>
      <c r="PSA385"/>
      <c r="PSB385"/>
      <c r="PSC385"/>
      <c r="PSD385"/>
      <c r="PSE385"/>
      <c r="PSF385"/>
      <c r="PSG385"/>
      <c r="PSH385"/>
      <c r="PSI385"/>
      <c r="PSJ385"/>
      <c r="PSK385"/>
      <c r="PSL385"/>
      <c r="PSM385"/>
      <c r="PSN385"/>
      <c r="PSO385"/>
      <c r="PSP385"/>
      <c r="PSQ385"/>
      <c r="PSR385"/>
      <c r="PSS385"/>
      <c r="PST385"/>
      <c r="PSU385"/>
      <c r="PSV385"/>
      <c r="PSW385"/>
      <c r="PSX385"/>
      <c r="PSY385"/>
      <c r="PSZ385"/>
      <c r="PTA385"/>
      <c r="PTB385"/>
      <c r="PTC385"/>
      <c r="PTD385"/>
      <c r="PTE385"/>
      <c r="PTF385"/>
      <c r="PTG385"/>
      <c r="PTH385"/>
      <c r="PTI385"/>
      <c r="PTJ385"/>
      <c r="PTK385"/>
      <c r="PTL385"/>
      <c r="PTM385"/>
      <c r="PTN385"/>
      <c r="PTO385"/>
      <c r="PTP385"/>
      <c r="PTQ385"/>
      <c r="PTR385"/>
      <c r="PTS385"/>
      <c r="PTT385"/>
      <c r="PTU385"/>
      <c r="PTV385"/>
      <c r="PTW385"/>
      <c r="PTX385"/>
      <c r="PTY385"/>
      <c r="PTZ385"/>
      <c r="PUA385"/>
      <c r="PUB385"/>
      <c r="PUC385"/>
      <c r="PUD385"/>
      <c r="PUE385"/>
      <c r="PUF385"/>
      <c r="PUG385"/>
      <c r="PUH385"/>
      <c r="PUI385"/>
      <c r="PUJ385"/>
      <c r="PUK385"/>
      <c r="PUL385"/>
      <c r="PUM385"/>
      <c r="PUN385"/>
      <c r="PUO385"/>
      <c r="PUP385"/>
      <c r="PUQ385"/>
      <c r="PUR385"/>
      <c r="PUS385"/>
      <c r="PUT385"/>
      <c r="PUU385"/>
      <c r="PUV385"/>
      <c r="PUW385"/>
      <c r="PUX385"/>
      <c r="PUY385"/>
      <c r="PUZ385"/>
      <c r="PVA385"/>
      <c r="PVB385"/>
      <c r="PVC385"/>
      <c r="PVD385"/>
      <c r="PVE385"/>
      <c r="PVF385"/>
      <c r="PVG385"/>
      <c r="PVH385"/>
      <c r="PVI385"/>
      <c r="PVJ385"/>
      <c r="PVK385"/>
      <c r="PVL385"/>
      <c r="PVM385"/>
      <c r="PVN385"/>
      <c r="PVO385"/>
      <c r="PVP385"/>
      <c r="PVQ385"/>
      <c r="PVR385"/>
      <c r="PVS385"/>
      <c r="PVT385"/>
      <c r="PVU385"/>
      <c r="PVV385"/>
      <c r="PVW385"/>
      <c r="PVX385"/>
      <c r="PVY385"/>
      <c r="PVZ385"/>
      <c r="PWA385"/>
      <c r="PWB385"/>
      <c r="PWC385"/>
      <c r="PWD385"/>
      <c r="PWE385"/>
      <c r="PWF385"/>
      <c r="PWG385"/>
      <c r="PWH385"/>
      <c r="PWI385"/>
      <c r="PWJ385"/>
      <c r="PWK385"/>
      <c r="PWL385"/>
      <c r="PWM385"/>
      <c r="PWN385"/>
      <c r="PWO385"/>
      <c r="PWP385"/>
      <c r="PWQ385"/>
      <c r="PWR385"/>
      <c r="PWS385"/>
      <c r="PWT385"/>
      <c r="PWU385"/>
      <c r="PWV385"/>
      <c r="PWW385"/>
      <c r="PWX385"/>
      <c r="PWY385"/>
      <c r="PWZ385"/>
      <c r="PXA385"/>
      <c r="PXB385"/>
      <c r="PXC385"/>
      <c r="PXD385"/>
      <c r="PXE385"/>
      <c r="PXF385"/>
      <c r="PXG385"/>
      <c r="PXH385"/>
      <c r="PXI385"/>
      <c r="PXJ385"/>
      <c r="PXK385"/>
      <c r="PXL385"/>
      <c r="PXM385"/>
      <c r="PXN385"/>
      <c r="PXO385"/>
      <c r="PXP385"/>
      <c r="PXQ385"/>
      <c r="PXR385"/>
      <c r="PXS385"/>
      <c r="PXT385"/>
      <c r="PXU385"/>
      <c r="PXV385"/>
      <c r="PXW385"/>
      <c r="PXX385"/>
      <c r="PXY385"/>
      <c r="PXZ385"/>
      <c r="PYA385"/>
      <c r="PYB385"/>
      <c r="PYC385"/>
      <c r="PYD385"/>
      <c r="PYE385"/>
      <c r="PYF385"/>
      <c r="PYG385"/>
      <c r="PYH385"/>
      <c r="PYI385"/>
      <c r="PYJ385"/>
      <c r="PYK385"/>
      <c r="PYL385"/>
      <c r="PYM385"/>
      <c r="PYN385"/>
      <c r="PYO385"/>
      <c r="PYP385"/>
      <c r="PYQ385"/>
      <c r="PYR385"/>
      <c r="PYS385"/>
      <c r="PYT385"/>
      <c r="PYU385"/>
      <c r="PYV385"/>
      <c r="PYW385"/>
      <c r="PYX385"/>
      <c r="PYY385"/>
      <c r="PYZ385"/>
      <c r="PZA385"/>
      <c r="PZB385"/>
      <c r="PZC385"/>
      <c r="PZD385"/>
      <c r="PZE385"/>
      <c r="PZF385"/>
      <c r="PZG385"/>
      <c r="PZH385"/>
      <c r="PZI385"/>
      <c r="PZJ385"/>
      <c r="PZK385"/>
      <c r="PZL385"/>
      <c r="PZM385"/>
      <c r="PZN385"/>
      <c r="PZO385"/>
      <c r="PZP385"/>
      <c r="PZQ385"/>
      <c r="PZR385"/>
      <c r="PZS385"/>
      <c r="PZT385"/>
      <c r="PZU385"/>
      <c r="PZV385"/>
      <c r="PZW385"/>
      <c r="PZX385"/>
      <c r="PZY385"/>
      <c r="PZZ385"/>
      <c r="QAA385"/>
      <c r="QAB385"/>
      <c r="QAC385"/>
      <c r="QAD385"/>
      <c r="QAE385"/>
      <c r="QAF385"/>
      <c r="QAG385"/>
      <c r="QAH385"/>
      <c r="QAI385"/>
      <c r="QAJ385"/>
      <c r="QAK385"/>
      <c r="QAL385"/>
      <c r="QAM385"/>
      <c r="QAN385"/>
      <c r="QAO385"/>
      <c r="QAP385"/>
      <c r="QAQ385"/>
      <c r="QAR385"/>
      <c r="QAS385"/>
      <c r="QAT385"/>
      <c r="QAU385"/>
      <c r="QAV385"/>
      <c r="QAW385"/>
      <c r="QAX385"/>
      <c r="QAY385"/>
      <c r="QAZ385"/>
      <c r="QBA385"/>
      <c r="QBB385"/>
      <c r="QBC385"/>
      <c r="QBD385"/>
      <c r="QBE385"/>
      <c r="QBF385"/>
      <c r="QBG385"/>
      <c r="QBH385"/>
      <c r="QBI385"/>
      <c r="QBJ385"/>
      <c r="QBK385"/>
      <c r="QBL385"/>
      <c r="QBM385"/>
      <c r="QBN385"/>
      <c r="QBO385"/>
      <c r="QBP385"/>
      <c r="QBQ385"/>
      <c r="QBR385"/>
      <c r="QBS385"/>
      <c r="QBT385"/>
      <c r="QBU385"/>
      <c r="QBV385"/>
      <c r="QBW385"/>
      <c r="QBX385"/>
      <c r="QBY385"/>
      <c r="QBZ385"/>
      <c r="QCA385"/>
      <c r="QCB385"/>
      <c r="QCC385"/>
      <c r="QCD385"/>
      <c r="QCE385"/>
      <c r="QCF385"/>
      <c r="QCG385"/>
      <c r="QCH385"/>
      <c r="QCI385"/>
      <c r="QCJ385"/>
      <c r="QCK385"/>
      <c r="QCL385"/>
      <c r="QCM385"/>
      <c r="QCN385"/>
      <c r="QCO385"/>
      <c r="QCP385"/>
      <c r="QCQ385"/>
      <c r="QCR385"/>
      <c r="QCS385"/>
      <c r="QCT385"/>
      <c r="QCU385"/>
      <c r="QCV385"/>
      <c r="QCW385"/>
      <c r="QCX385"/>
      <c r="QCY385"/>
      <c r="QCZ385"/>
      <c r="QDA385"/>
      <c r="QDB385"/>
      <c r="QDC385"/>
      <c r="QDD385"/>
      <c r="QDE385"/>
      <c r="QDF385"/>
      <c r="QDG385"/>
      <c r="QDH385"/>
      <c r="QDI385"/>
      <c r="QDJ385"/>
      <c r="QDK385"/>
      <c r="QDL385"/>
      <c r="QDM385"/>
      <c r="QDN385"/>
      <c r="QDO385"/>
      <c r="QDP385"/>
      <c r="QDQ385"/>
      <c r="QDR385"/>
      <c r="QDS385"/>
      <c r="QDT385"/>
      <c r="QDU385"/>
      <c r="QDV385"/>
      <c r="QDW385"/>
      <c r="QDX385"/>
      <c r="QDY385"/>
      <c r="QDZ385"/>
      <c r="QEA385"/>
      <c r="QEB385"/>
      <c r="QEC385"/>
      <c r="QED385"/>
      <c r="QEE385"/>
      <c r="QEF385"/>
      <c r="QEG385"/>
      <c r="QEH385"/>
      <c r="QEI385"/>
      <c r="QEJ385"/>
      <c r="QEK385"/>
      <c r="QEL385"/>
      <c r="QEM385"/>
      <c r="QEN385"/>
      <c r="QEO385"/>
      <c r="QEP385"/>
      <c r="QEQ385"/>
      <c r="QER385"/>
      <c r="QES385"/>
      <c r="QET385"/>
      <c r="QEU385"/>
      <c r="QEV385"/>
      <c r="QEW385"/>
      <c r="QEX385"/>
      <c r="QEY385"/>
      <c r="QEZ385"/>
      <c r="QFA385"/>
      <c r="QFB385"/>
      <c r="QFC385"/>
      <c r="QFD385"/>
      <c r="QFE385"/>
      <c r="QFF385"/>
      <c r="QFG385"/>
      <c r="QFH385"/>
      <c r="QFI385"/>
      <c r="QFJ385"/>
      <c r="QFK385"/>
      <c r="QFL385"/>
      <c r="QFM385"/>
      <c r="QFN385"/>
      <c r="QFO385"/>
      <c r="QFP385"/>
      <c r="QFQ385"/>
      <c r="QFR385"/>
      <c r="QFS385"/>
      <c r="QFT385"/>
      <c r="QFU385"/>
      <c r="QFV385"/>
      <c r="QFW385"/>
      <c r="QFX385"/>
      <c r="QFY385"/>
      <c r="QFZ385"/>
      <c r="QGA385"/>
      <c r="QGB385"/>
      <c r="QGC385"/>
      <c r="QGD385"/>
      <c r="QGE385"/>
      <c r="QGF385"/>
      <c r="QGG385"/>
      <c r="QGH385"/>
      <c r="QGI385"/>
      <c r="QGJ385"/>
      <c r="QGK385"/>
      <c r="QGL385"/>
      <c r="QGM385"/>
      <c r="QGN385"/>
      <c r="QGO385"/>
      <c r="QGP385"/>
      <c r="QGQ385"/>
      <c r="QGR385"/>
      <c r="QGS385"/>
      <c r="QGT385"/>
      <c r="QGU385"/>
      <c r="QGV385"/>
      <c r="QGW385"/>
      <c r="QGX385"/>
      <c r="QGY385"/>
      <c r="QGZ385"/>
      <c r="QHA385"/>
      <c r="QHB385"/>
      <c r="QHC385"/>
      <c r="QHD385"/>
      <c r="QHE385"/>
      <c r="QHF385"/>
      <c r="QHG385"/>
      <c r="QHH385"/>
      <c r="QHI385"/>
      <c r="QHJ385"/>
      <c r="QHK385"/>
      <c r="QHL385"/>
      <c r="QHM385"/>
      <c r="QHN385"/>
      <c r="QHO385"/>
      <c r="QHP385"/>
      <c r="QHQ385"/>
      <c r="QHR385"/>
      <c r="QHS385"/>
      <c r="QHT385"/>
      <c r="QHU385"/>
      <c r="QHV385"/>
      <c r="QHW385"/>
      <c r="QHX385"/>
      <c r="QHY385"/>
      <c r="QHZ385"/>
      <c r="QIA385"/>
      <c r="QIB385"/>
      <c r="QIC385"/>
      <c r="QID385"/>
      <c r="QIE385"/>
      <c r="QIF385"/>
      <c r="QIG385"/>
      <c r="QIH385"/>
      <c r="QII385"/>
      <c r="QIJ385"/>
      <c r="QIK385"/>
      <c r="QIL385"/>
      <c r="QIM385"/>
      <c r="QIN385"/>
      <c r="QIO385"/>
      <c r="QIP385"/>
      <c r="QIQ385"/>
      <c r="QIR385"/>
      <c r="QIS385"/>
      <c r="QIT385"/>
      <c r="QIU385"/>
      <c r="QIV385"/>
      <c r="QIW385"/>
      <c r="QIX385"/>
      <c r="QIY385"/>
      <c r="QIZ385"/>
      <c r="QJA385"/>
      <c r="QJB385"/>
      <c r="QJC385"/>
      <c r="QJD385"/>
      <c r="QJE385"/>
      <c r="QJF385"/>
      <c r="QJG385"/>
      <c r="QJH385"/>
      <c r="QJI385"/>
      <c r="QJJ385"/>
      <c r="QJK385"/>
      <c r="QJL385"/>
      <c r="QJM385"/>
      <c r="QJN385"/>
      <c r="QJO385"/>
      <c r="QJP385"/>
      <c r="QJQ385"/>
      <c r="QJR385"/>
      <c r="QJS385"/>
      <c r="QJT385"/>
      <c r="QJU385"/>
      <c r="QJV385"/>
      <c r="QJW385"/>
      <c r="QJX385"/>
      <c r="QJY385"/>
      <c r="QJZ385"/>
      <c r="QKA385"/>
      <c r="QKB385"/>
      <c r="QKC385"/>
      <c r="QKD385"/>
      <c r="QKE385"/>
      <c r="QKF385"/>
      <c r="QKG385"/>
      <c r="QKH385"/>
      <c r="QKI385"/>
      <c r="QKJ385"/>
      <c r="QKK385"/>
      <c r="QKL385"/>
      <c r="QKM385"/>
      <c r="QKN385"/>
      <c r="QKO385"/>
      <c r="QKP385"/>
      <c r="QKQ385"/>
      <c r="QKR385"/>
      <c r="QKS385"/>
      <c r="QKT385"/>
      <c r="QKU385"/>
      <c r="QKV385"/>
      <c r="QKW385"/>
      <c r="QKX385"/>
      <c r="QKY385"/>
      <c r="QKZ385"/>
      <c r="QLA385"/>
      <c r="QLB385"/>
      <c r="QLC385"/>
      <c r="QLD385"/>
      <c r="QLE385"/>
      <c r="QLF385"/>
      <c r="QLG385"/>
      <c r="QLH385"/>
      <c r="QLI385"/>
      <c r="QLJ385"/>
      <c r="QLK385"/>
      <c r="QLL385"/>
      <c r="QLM385"/>
      <c r="QLN385"/>
      <c r="QLO385"/>
      <c r="QLP385"/>
      <c r="QLQ385"/>
      <c r="QLR385"/>
      <c r="QLS385"/>
      <c r="QLT385"/>
      <c r="QLU385"/>
      <c r="QLV385"/>
      <c r="QLW385"/>
      <c r="QLX385"/>
      <c r="QLY385"/>
      <c r="QLZ385"/>
      <c r="QMA385"/>
      <c r="QMB385"/>
      <c r="QMC385"/>
      <c r="QMD385"/>
      <c r="QME385"/>
      <c r="QMF385"/>
      <c r="QMG385"/>
      <c r="QMH385"/>
      <c r="QMI385"/>
      <c r="QMJ385"/>
      <c r="QMK385"/>
      <c r="QML385"/>
      <c r="QMM385"/>
      <c r="QMN385"/>
      <c r="QMO385"/>
      <c r="QMP385"/>
      <c r="QMQ385"/>
      <c r="QMR385"/>
      <c r="QMS385"/>
      <c r="QMT385"/>
      <c r="QMU385"/>
      <c r="QMV385"/>
      <c r="QMW385"/>
      <c r="QMX385"/>
      <c r="QMY385"/>
      <c r="QMZ385"/>
      <c r="QNA385"/>
      <c r="QNB385"/>
      <c r="QNC385"/>
      <c r="QND385"/>
      <c r="QNE385"/>
      <c r="QNF385"/>
      <c r="QNG385"/>
      <c r="QNH385"/>
      <c r="QNI385"/>
      <c r="QNJ385"/>
      <c r="QNK385"/>
      <c r="QNL385"/>
      <c r="QNM385"/>
      <c r="QNN385"/>
      <c r="QNO385"/>
      <c r="QNP385"/>
      <c r="QNQ385"/>
      <c r="QNR385"/>
      <c r="QNS385"/>
      <c r="QNT385"/>
      <c r="QNU385"/>
      <c r="QNV385"/>
      <c r="QNW385"/>
      <c r="QNX385"/>
      <c r="QNY385"/>
      <c r="QNZ385"/>
      <c r="QOA385"/>
      <c r="QOB385"/>
      <c r="QOC385"/>
      <c r="QOD385"/>
      <c r="QOE385"/>
      <c r="QOF385"/>
      <c r="QOG385"/>
      <c r="QOH385"/>
      <c r="QOI385"/>
      <c r="QOJ385"/>
      <c r="QOK385"/>
      <c r="QOL385"/>
      <c r="QOM385"/>
      <c r="QON385"/>
      <c r="QOO385"/>
      <c r="QOP385"/>
      <c r="QOQ385"/>
      <c r="QOR385"/>
      <c r="QOS385"/>
      <c r="QOT385"/>
      <c r="QOU385"/>
      <c r="QOV385"/>
      <c r="QOW385"/>
      <c r="QOX385"/>
      <c r="QOY385"/>
      <c r="QOZ385"/>
      <c r="QPA385"/>
      <c r="QPB385"/>
      <c r="QPC385"/>
      <c r="QPD385"/>
      <c r="QPE385"/>
      <c r="QPF385"/>
      <c r="QPG385"/>
      <c r="QPH385"/>
      <c r="QPI385"/>
      <c r="QPJ385"/>
      <c r="QPK385"/>
      <c r="QPL385"/>
      <c r="QPM385"/>
      <c r="QPN385"/>
      <c r="QPO385"/>
      <c r="QPP385"/>
      <c r="QPQ385"/>
      <c r="QPR385"/>
      <c r="QPS385"/>
      <c r="QPT385"/>
      <c r="QPU385"/>
      <c r="QPV385"/>
      <c r="QPW385"/>
      <c r="QPX385"/>
      <c r="QPY385"/>
      <c r="QPZ385"/>
      <c r="QQA385"/>
      <c r="QQB385"/>
      <c r="QQC385"/>
      <c r="QQD385"/>
      <c r="QQE385"/>
      <c r="QQF385"/>
      <c r="QQG385"/>
      <c r="QQH385"/>
      <c r="QQI385"/>
      <c r="QQJ385"/>
      <c r="QQK385"/>
      <c r="QQL385"/>
      <c r="QQM385"/>
      <c r="QQN385"/>
      <c r="QQO385"/>
      <c r="QQP385"/>
      <c r="QQQ385"/>
      <c r="QQR385"/>
      <c r="QQS385"/>
      <c r="QQT385"/>
      <c r="QQU385"/>
      <c r="QQV385"/>
      <c r="QQW385"/>
      <c r="QQX385"/>
      <c r="QQY385"/>
      <c r="QQZ385"/>
      <c r="QRA385"/>
      <c r="QRB385"/>
      <c r="QRC385"/>
      <c r="QRD385"/>
      <c r="QRE385"/>
      <c r="QRF385"/>
      <c r="QRG385"/>
      <c r="QRH385"/>
      <c r="QRI385"/>
      <c r="QRJ385"/>
      <c r="QRK385"/>
      <c r="QRL385"/>
      <c r="QRM385"/>
      <c r="QRN385"/>
      <c r="QRO385"/>
      <c r="QRP385"/>
      <c r="QRQ385"/>
      <c r="QRR385"/>
      <c r="QRS385"/>
      <c r="QRT385"/>
      <c r="QRU385"/>
      <c r="QRV385"/>
      <c r="QRW385"/>
      <c r="QRX385"/>
      <c r="QRY385"/>
      <c r="QRZ385"/>
      <c r="QSA385"/>
      <c r="QSB385"/>
      <c r="QSC385"/>
      <c r="QSD385"/>
      <c r="QSE385"/>
      <c r="QSF385"/>
      <c r="QSG385"/>
      <c r="QSH385"/>
      <c r="QSI385"/>
      <c r="QSJ385"/>
      <c r="QSK385"/>
      <c r="QSL385"/>
      <c r="QSM385"/>
      <c r="QSN385"/>
      <c r="QSO385"/>
      <c r="QSP385"/>
      <c r="QSQ385"/>
      <c r="QSR385"/>
      <c r="QSS385"/>
      <c r="QST385"/>
      <c r="QSU385"/>
      <c r="QSV385"/>
      <c r="QSW385"/>
      <c r="QSX385"/>
      <c r="QSY385"/>
      <c r="QSZ385"/>
      <c r="QTA385"/>
      <c r="QTB385"/>
      <c r="QTC385"/>
      <c r="QTD385"/>
      <c r="QTE385"/>
      <c r="QTF385"/>
      <c r="QTG385"/>
      <c r="QTH385"/>
      <c r="QTI385"/>
      <c r="QTJ385"/>
      <c r="QTK385"/>
      <c r="QTL385"/>
      <c r="QTM385"/>
      <c r="QTN385"/>
      <c r="QTO385"/>
      <c r="QTP385"/>
      <c r="QTQ385"/>
      <c r="QTR385"/>
      <c r="QTS385"/>
      <c r="QTT385"/>
      <c r="QTU385"/>
      <c r="QTV385"/>
      <c r="QTW385"/>
      <c r="QTX385"/>
      <c r="QTY385"/>
      <c r="QTZ385"/>
      <c r="QUA385"/>
      <c r="QUB385"/>
      <c r="QUC385"/>
      <c r="QUD385"/>
      <c r="QUE385"/>
      <c r="QUF385"/>
      <c r="QUG385"/>
      <c r="QUH385"/>
      <c r="QUI385"/>
      <c r="QUJ385"/>
      <c r="QUK385"/>
      <c r="QUL385"/>
      <c r="QUM385"/>
      <c r="QUN385"/>
      <c r="QUO385"/>
      <c r="QUP385"/>
      <c r="QUQ385"/>
      <c r="QUR385"/>
      <c r="QUS385"/>
      <c r="QUT385"/>
      <c r="QUU385"/>
      <c r="QUV385"/>
      <c r="QUW385"/>
      <c r="QUX385"/>
      <c r="QUY385"/>
      <c r="QUZ385"/>
      <c r="QVA385"/>
      <c r="QVB385"/>
      <c r="QVC385"/>
      <c r="QVD385"/>
      <c r="QVE385"/>
      <c r="QVF385"/>
      <c r="QVG385"/>
      <c r="QVH385"/>
      <c r="QVI385"/>
      <c r="QVJ385"/>
      <c r="QVK385"/>
      <c r="QVL385"/>
      <c r="QVM385"/>
      <c r="QVN385"/>
      <c r="QVO385"/>
      <c r="QVP385"/>
      <c r="QVQ385"/>
      <c r="QVR385"/>
      <c r="QVS385"/>
      <c r="QVT385"/>
      <c r="QVU385"/>
      <c r="QVV385"/>
      <c r="QVW385"/>
      <c r="QVX385"/>
      <c r="QVY385"/>
      <c r="QVZ385"/>
      <c r="QWA385"/>
      <c r="QWB385"/>
      <c r="QWC385"/>
      <c r="QWD385"/>
      <c r="QWE385"/>
      <c r="QWF385"/>
      <c r="QWG385"/>
      <c r="QWH385"/>
      <c r="QWI385"/>
      <c r="QWJ385"/>
      <c r="QWK385"/>
      <c r="QWL385"/>
      <c r="QWM385"/>
      <c r="QWN385"/>
      <c r="QWO385"/>
      <c r="QWP385"/>
      <c r="QWQ385"/>
      <c r="QWR385"/>
      <c r="QWS385"/>
      <c r="QWT385"/>
      <c r="QWU385"/>
      <c r="QWV385"/>
      <c r="QWW385"/>
      <c r="QWX385"/>
      <c r="QWY385"/>
      <c r="QWZ385"/>
      <c r="QXA385"/>
      <c r="QXB385"/>
      <c r="QXC385"/>
      <c r="QXD385"/>
      <c r="QXE385"/>
      <c r="QXF385"/>
      <c r="QXG385"/>
      <c r="QXH385"/>
      <c r="QXI385"/>
      <c r="QXJ385"/>
      <c r="QXK385"/>
      <c r="QXL385"/>
      <c r="QXM385"/>
      <c r="QXN385"/>
      <c r="QXO385"/>
      <c r="QXP385"/>
      <c r="QXQ385"/>
      <c r="QXR385"/>
      <c r="QXS385"/>
      <c r="QXT385"/>
      <c r="QXU385"/>
      <c r="QXV385"/>
      <c r="QXW385"/>
      <c r="QXX385"/>
      <c r="QXY385"/>
      <c r="QXZ385"/>
      <c r="QYA385"/>
      <c r="QYB385"/>
      <c r="QYC385"/>
      <c r="QYD385"/>
      <c r="QYE385"/>
      <c r="QYF385"/>
      <c r="QYG385"/>
      <c r="QYH385"/>
      <c r="QYI385"/>
      <c r="QYJ385"/>
      <c r="QYK385"/>
      <c r="QYL385"/>
      <c r="QYM385"/>
      <c r="QYN385"/>
      <c r="QYO385"/>
      <c r="QYP385"/>
      <c r="QYQ385"/>
      <c r="QYR385"/>
      <c r="QYS385"/>
      <c r="QYT385"/>
      <c r="QYU385"/>
      <c r="QYV385"/>
      <c r="QYW385"/>
      <c r="QYX385"/>
      <c r="QYY385"/>
      <c r="QYZ385"/>
      <c r="QZA385"/>
      <c r="QZB385"/>
      <c r="QZC385"/>
      <c r="QZD385"/>
      <c r="QZE385"/>
      <c r="QZF385"/>
      <c r="QZG385"/>
      <c r="QZH385"/>
      <c r="QZI385"/>
      <c r="QZJ385"/>
      <c r="QZK385"/>
      <c r="QZL385"/>
      <c r="QZM385"/>
      <c r="QZN385"/>
      <c r="QZO385"/>
      <c r="QZP385"/>
      <c r="QZQ385"/>
      <c r="QZR385"/>
      <c r="QZS385"/>
      <c r="QZT385"/>
      <c r="QZU385"/>
      <c r="QZV385"/>
      <c r="QZW385"/>
      <c r="QZX385"/>
      <c r="QZY385"/>
      <c r="QZZ385"/>
      <c r="RAA385"/>
      <c r="RAB385"/>
      <c r="RAC385"/>
      <c r="RAD385"/>
      <c r="RAE385"/>
      <c r="RAF385"/>
      <c r="RAG385"/>
      <c r="RAH385"/>
      <c r="RAI385"/>
      <c r="RAJ385"/>
      <c r="RAK385"/>
      <c r="RAL385"/>
      <c r="RAM385"/>
      <c r="RAN385"/>
      <c r="RAO385"/>
      <c r="RAP385"/>
      <c r="RAQ385"/>
      <c r="RAR385"/>
      <c r="RAS385"/>
      <c r="RAT385"/>
      <c r="RAU385"/>
      <c r="RAV385"/>
      <c r="RAW385"/>
      <c r="RAX385"/>
      <c r="RAY385"/>
      <c r="RAZ385"/>
      <c r="RBA385"/>
      <c r="RBB385"/>
      <c r="RBC385"/>
      <c r="RBD385"/>
      <c r="RBE385"/>
      <c r="RBF385"/>
      <c r="RBG385"/>
      <c r="RBH385"/>
      <c r="RBI385"/>
      <c r="RBJ385"/>
      <c r="RBK385"/>
      <c r="RBL385"/>
      <c r="RBM385"/>
      <c r="RBN385"/>
      <c r="RBO385"/>
      <c r="RBP385"/>
      <c r="RBQ385"/>
      <c r="RBR385"/>
      <c r="RBS385"/>
      <c r="RBT385"/>
      <c r="RBU385"/>
      <c r="RBV385"/>
      <c r="RBW385"/>
      <c r="RBX385"/>
      <c r="RBY385"/>
      <c r="RBZ385"/>
      <c r="RCA385"/>
      <c r="RCB385"/>
      <c r="RCC385"/>
      <c r="RCD385"/>
      <c r="RCE385"/>
      <c r="RCF385"/>
      <c r="RCG385"/>
      <c r="RCH385"/>
      <c r="RCI385"/>
      <c r="RCJ385"/>
      <c r="RCK385"/>
      <c r="RCL385"/>
      <c r="RCM385"/>
      <c r="RCN385"/>
      <c r="RCO385"/>
      <c r="RCP385"/>
      <c r="RCQ385"/>
      <c r="RCR385"/>
      <c r="RCS385"/>
      <c r="RCT385"/>
      <c r="RCU385"/>
      <c r="RCV385"/>
      <c r="RCW385"/>
      <c r="RCX385"/>
      <c r="RCY385"/>
      <c r="RCZ385"/>
      <c r="RDA385"/>
      <c r="RDB385"/>
      <c r="RDC385"/>
      <c r="RDD385"/>
      <c r="RDE385"/>
      <c r="RDF385"/>
      <c r="RDG385"/>
      <c r="RDH385"/>
      <c r="RDI385"/>
      <c r="RDJ385"/>
      <c r="RDK385"/>
      <c r="RDL385"/>
      <c r="RDM385"/>
      <c r="RDN385"/>
      <c r="RDO385"/>
      <c r="RDP385"/>
      <c r="RDQ385"/>
      <c r="RDR385"/>
      <c r="RDS385"/>
      <c r="RDT385"/>
      <c r="RDU385"/>
      <c r="RDV385"/>
      <c r="RDW385"/>
      <c r="RDX385"/>
      <c r="RDY385"/>
      <c r="RDZ385"/>
      <c r="REA385"/>
      <c r="REB385"/>
      <c r="REC385"/>
      <c r="RED385"/>
      <c r="REE385"/>
      <c r="REF385"/>
      <c r="REG385"/>
      <c r="REH385"/>
      <c r="REI385"/>
      <c r="REJ385"/>
      <c r="REK385"/>
      <c r="REL385"/>
      <c r="REM385"/>
      <c r="REN385"/>
      <c r="REO385"/>
      <c r="REP385"/>
      <c r="REQ385"/>
      <c r="RER385"/>
      <c r="RES385"/>
      <c r="RET385"/>
      <c r="REU385"/>
      <c r="REV385"/>
      <c r="REW385"/>
      <c r="REX385"/>
      <c r="REY385"/>
      <c r="REZ385"/>
      <c r="RFA385"/>
      <c r="RFB385"/>
      <c r="RFC385"/>
      <c r="RFD385"/>
      <c r="RFE385"/>
      <c r="RFF385"/>
      <c r="RFG385"/>
      <c r="RFH385"/>
      <c r="RFI385"/>
      <c r="RFJ385"/>
      <c r="RFK385"/>
      <c r="RFL385"/>
      <c r="RFM385"/>
      <c r="RFN385"/>
      <c r="RFO385"/>
      <c r="RFP385"/>
      <c r="RFQ385"/>
      <c r="RFR385"/>
      <c r="RFS385"/>
      <c r="RFT385"/>
      <c r="RFU385"/>
      <c r="RFV385"/>
      <c r="RFW385"/>
      <c r="RFX385"/>
      <c r="RFY385"/>
      <c r="RFZ385"/>
      <c r="RGA385"/>
      <c r="RGB385"/>
      <c r="RGC385"/>
      <c r="RGD385"/>
      <c r="RGE385"/>
      <c r="RGF385"/>
      <c r="RGG385"/>
      <c r="RGH385"/>
      <c r="RGI385"/>
      <c r="RGJ385"/>
      <c r="RGK385"/>
      <c r="RGL385"/>
      <c r="RGM385"/>
      <c r="RGN385"/>
      <c r="RGO385"/>
      <c r="RGP385"/>
      <c r="RGQ385"/>
      <c r="RGR385"/>
      <c r="RGS385"/>
      <c r="RGT385"/>
      <c r="RGU385"/>
      <c r="RGV385"/>
      <c r="RGW385"/>
      <c r="RGX385"/>
      <c r="RGY385"/>
      <c r="RGZ385"/>
      <c r="RHA385"/>
      <c r="RHB385"/>
      <c r="RHC385"/>
      <c r="RHD385"/>
      <c r="RHE385"/>
      <c r="RHF385"/>
      <c r="RHG385"/>
      <c r="RHH385"/>
      <c r="RHI385"/>
      <c r="RHJ385"/>
      <c r="RHK385"/>
      <c r="RHL385"/>
      <c r="RHM385"/>
      <c r="RHN385"/>
      <c r="RHO385"/>
      <c r="RHP385"/>
      <c r="RHQ385"/>
      <c r="RHR385"/>
      <c r="RHS385"/>
      <c r="RHT385"/>
      <c r="RHU385"/>
      <c r="RHV385"/>
      <c r="RHW385"/>
      <c r="RHX385"/>
      <c r="RHY385"/>
      <c r="RHZ385"/>
      <c r="RIA385"/>
      <c r="RIB385"/>
      <c r="RIC385"/>
      <c r="RID385"/>
      <c r="RIE385"/>
      <c r="RIF385"/>
      <c r="RIG385"/>
      <c r="RIH385"/>
      <c r="RII385"/>
      <c r="RIJ385"/>
      <c r="RIK385"/>
      <c r="RIL385"/>
      <c r="RIM385"/>
      <c r="RIN385"/>
      <c r="RIO385"/>
      <c r="RIP385"/>
      <c r="RIQ385"/>
      <c r="RIR385"/>
      <c r="RIS385"/>
      <c r="RIT385"/>
      <c r="RIU385"/>
      <c r="RIV385"/>
      <c r="RIW385"/>
      <c r="RIX385"/>
      <c r="RIY385"/>
      <c r="RIZ385"/>
      <c r="RJA385"/>
      <c r="RJB385"/>
      <c r="RJC385"/>
      <c r="RJD385"/>
      <c r="RJE385"/>
      <c r="RJF385"/>
      <c r="RJG385"/>
      <c r="RJH385"/>
      <c r="RJI385"/>
      <c r="RJJ385"/>
      <c r="RJK385"/>
      <c r="RJL385"/>
      <c r="RJM385"/>
      <c r="RJN385"/>
      <c r="RJO385"/>
      <c r="RJP385"/>
      <c r="RJQ385"/>
      <c r="RJR385"/>
      <c r="RJS385"/>
      <c r="RJT385"/>
      <c r="RJU385"/>
      <c r="RJV385"/>
      <c r="RJW385"/>
      <c r="RJX385"/>
      <c r="RJY385"/>
      <c r="RJZ385"/>
      <c r="RKA385"/>
      <c r="RKB385"/>
      <c r="RKC385"/>
      <c r="RKD385"/>
      <c r="RKE385"/>
      <c r="RKF385"/>
      <c r="RKG385"/>
      <c r="RKH385"/>
      <c r="RKI385"/>
      <c r="RKJ385"/>
      <c r="RKK385"/>
      <c r="RKL385"/>
      <c r="RKM385"/>
      <c r="RKN385"/>
      <c r="RKO385"/>
      <c r="RKP385"/>
      <c r="RKQ385"/>
      <c r="RKR385"/>
      <c r="RKS385"/>
      <c r="RKT385"/>
      <c r="RKU385"/>
      <c r="RKV385"/>
      <c r="RKW385"/>
      <c r="RKX385"/>
      <c r="RKY385"/>
      <c r="RKZ385"/>
      <c r="RLA385"/>
      <c r="RLB385"/>
      <c r="RLC385"/>
      <c r="RLD385"/>
      <c r="RLE385"/>
      <c r="RLF385"/>
      <c r="RLG385"/>
      <c r="RLH385"/>
      <c r="RLI385"/>
      <c r="RLJ385"/>
      <c r="RLK385"/>
      <c r="RLL385"/>
      <c r="RLM385"/>
      <c r="RLN385"/>
      <c r="RLO385"/>
      <c r="RLP385"/>
      <c r="RLQ385"/>
      <c r="RLR385"/>
      <c r="RLS385"/>
      <c r="RLT385"/>
      <c r="RLU385"/>
      <c r="RLV385"/>
      <c r="RLW385"/>
      <c r="RLX385"/>
      <c r="RLY385"/>
      <c r="RLZ385"/>
      <c r="RMA385"/>
      <c r="RMB385"/>
      <c r="RMC385"/>
      <c r="RMD385"/>
      <c r="RME385"/>
      <c r="RMF385"/>
      <c r="RMG385"/>
      <c r="RMH385"/>
      <c r="RMI385"/>
      <c r="RMJ385"/>
      <c r="RMK385"/>
      <c r="RML385"/>
      <c r="RMM385"/>
      <c r="RMN385"/>
      <c r="RMO385"/>
      <c r="RMP385"/>
      <c r="RMQ385"/>
      <c r="RMR385"/>
      <c r="RMS385"/>
      <c r="RMT385"/>
      <c r="RMU385"/>
      <c r="RMV385"/>
      <c r="RMW385"/>
      <c r="RMX385"/>
      <c r="RMY385"/>
      <c r="RMZ385"/>
      <c r="RNA385"/>
      <c r="RNB385"/>
      <c r="RNC385"/>
      <c r="RND385"/>
      <c r="RNE385"/>
      <c r="RNF385"/>
      <c r="RNG385"/>
      <c r="RNH385"/>
      <c r="RNI385"/>
      <c r="RNJ385"/>
      <c r="RNK385"/>
      <c r="RNL385"/>
      <c r="RNM385"/>
      <c r="RNN385"/>
      <c r="RNO385"/>
      <c r="RNP385"/>
      <c r="RNQ385"/>
      <c r="RNR385"/>
      <c r="RNS385"/>
      <c r="RNT385"/>
      <c r="RNU385"/>
      <c r="RNV385"/>
      <c r="RNW385"/>
      <c r="RNX385"/>
      <c r="RNY385"/>
      <c r="RNZ385"/>
      <c r="ROA385"/>
      <c r="ROB385"/>
      <c r="ROC385"/>
      <c r="ROD385"/>
      <c r="ROE385"/>
      <c r="ROF385"/>
      <c r="ROG385"/>
      <c r="ROH385"/>
      <c r="ROI385"/>
      <c r="ROJ385"/>
      <c r="ROK385"/>
      <c r="ROL385"/>
      <c r="ROM385"/>
      <c r="RON385"/>
      <c r="ROO385"/>
      <c r="ROP385"/>
      <c r="ROQ385"/>
      <c r="ROR385"/>
      <c r="ROS385"/>
      <c r="ROT385"/>
      <c r="ROU385"/>
      <c r="ROV385"/>
      <c r="ROW385"/>
      <c r="ROX385"/>
      <c r="ROY385"/>
      <c r="ROZ385"/>
      <c r="RPA385"/>
      <c r="RPB385"/>
      <c r="RPC385"/>
      <c r="RPD385"/>
      <c r="RPE385"/>
      <c r="RPF385"/>
      <c r="RPG385"/>
      <c r="RPH385"/>
      <c r="RPI385"/>
      <c r="RPJ385"/>
      <c r="RPK385"/>
      <c r="RPL385"/>
      <c r="RPM385"/>
      <c r="RPN385"/>
      <c r="RPO385"/>
      <c r="RPP385"/>
      <c r="RPQ385"/>
      <c r="RPR385"/>
      <c r="RPS385"/>
      <c r="RPT385"/>
      <c r="RPU385"/>
      <c r="RPV385"/>
      <c r="RPW385"/>
      <c r="RPX385"/>
      <c r="RPY385"/>
      <c r="RPZ385"/>
      <c r="RQA385"/>
      <c r="RQB385"/>
      <c r="RQC385"/>
      <c r="RQD385"/>
      <c r="RQE385"/>
      <c r="RQF385"/>
      <c r="RQG385"/>
      <c r="RQH385"/>
      <c r="RQI385"/>
      <c r="RQJ385"/>
      <c r="RQK385"/>
      <c r="RQL385"/>
      <c r="RQM385"/>
      <c r="RQN385"/>
      <c r="RQO385"/>
      <c r="RQP385"/>
      <c r="RQQ385"/>
      <c r="RQR385"/>
      <c r="RQS385"/>
      <c r="RQT385"/>
      <c r="RQU385"/>
      <c r="RQV385"/>
      <c r="RQW385"/>
      <c r="RQX385"/>
      <c r="RQY385"/>
      <c r="RQZ385"/>
      <c r="RRA385"/>
      <c r="RRB385"/>
      <c r="RRC385"/>
      <c r="RRD385"/>
      <c r="RRE385"/>
      <c r="RRF385"/>
      <c r="RRG385"/>
      <c r="RRH385"/>
      <c r="RRI385"/>
      <c r="RRJ385"/>
      <c r="RRK385"/>
      <c r="RRL385"/>
      <c r="RRM385"/>
      <c r="RRN385"/>
      <c r="RRO385"/>
      <c r="RRP385"/>
      <c r="RRQ385"/>
      <c r="RRR385"/>
      <c r="RRS385"/>
      <c r="RRT385"/>
      <c r="RRU385"/>
      <c r="RRV385"/>
      <c r="RRW385"/>
      <c r="RRX385"/>
      <c r="RRY385"/>
      <c r="RRZ385"/>
      <c r="RSA385"/>
      <c r="RSB385"/>
      <c r="RSC385"/>
      <c r="RSD385"/>
      <c r="RSE385"/>
      <c r="RSF385"/>
      <c r="RSG385"/>
      <c r="RSH385"/>
      <c r="RSI385"/>
      <c r="RSJ385"/>
      <c r="RSK385"/>
      <c r="RSL385"/>
      <c r="RSM385"/>
      <c r="RSN385"/>
      <c r="RSO385"/>
      <c r="RSP385"/>
      <c r="RSQ385"/>
      <c r="RSR385"/>
      <c r="RSS385"/>
      <c r="RST385"/>
      <c r="RSU385"/>
      <c r="RSV385"/>
      <c r="RSW385"/>
      <c r="RSX385"/>
      <c r="RSY385"/>
      <c r="RSZ385"/>
      <c r="RTA385"/>
      <c r="RTB385"/>
      <c r="RTC385"/>
      <c r="RTD385"/>
      <c r="RTE385"/>
      <c r="RTF385"/>
      <c r="RTG385"/>
      <c r="RTH385"/>
      <c r="RTI385"/>
      <c r="RTJ385"/>
      <c r="RTK385"/>
      <c r="RTL385"/>
      <c r="RTM385"/>
      <c r="RTN385"/>
      <c r="RTO385"/>
      <c r="RTP385"/>
      <c r="RTQ385"/>
      <c r="RTR385"/>
      <c r="RTS385"/>
      <c r="RTT385"/>
      <c r="RTU385"/>
      <c r="RTV385"/>
      <c r="RTW385"/>
      <c r="RTX385"/>
      <c r="RTY385"/>
      <c r="RTZ385"/>
      <c r="RUA385"/>
      <c r="RUB385"/>
      <c r="RUC385"/>
      <c r="RUD385"/>
      <c r="RUE385"/>
      <c r="RUF385"/>
      <c r="RUG385"/>
      <c r="RUH385"/>
      <c r="RUI385"/>
      <c r="RUJ385"/>
      <c r="RUK385"/>
      <c r="RUL385"/>
      <c r="RUM385"/>
      <c r="RUN385"/>
      <c r="RUO385"/>
      <c r="RUP385"/>
      <c r="RUQ385"/>
      <c r="RUR385"/>
      <c r="RUS385"/>
      <c r="RUT385"/>
      <c r="RUU385"/>
      <c r="RUV385"/>
      <c r="RUW385"/>
      <c r="RUX385"/>
      <c r="RUY385"/>
      <c r="RUZ385"/>
      <c r="RVA385"/>
      <c r="RVB385"/>
      <c r="RVC385"/>
      <c r="RVD385"/>
      <c r="RVE385"/>
      <c r="RVF385"/>
      <c r="RVG385"/>
      <c r="RVH385"/>
      <c r="RVI385"/>
      <c r="RVJ385"/>
      <c r="RVK385"/>
      <c r="RVL385"/>
      <c r="RVM385"/>
      <c r="RVN385"/>
      <c r="RVO385"/>
      <c r="RVP385"/>
      <c r="RVQ385"/>
      <c r="RVR385"/>
      <c r="RVS385"/>
      <c r="RVT385"/>
      <c r="RVU385"/>
      <c r="RVV385"/>
      <c r="RVW385"/>
      <c r="RVX385"/>
      <c r="RVY385"/>
      <c r="RVZ385"/>
      <c r="RWA385"/>
      <c r="RWB385"/>
      <c r="RWC385"/>
      <c r="RWD385"/>
      <c r="RWE385"/>
      <c r="RWF385"/>
      <c r="RWG385"/>
      <c r="RWH385"/>
      <c r="RWI385"/>
      <c r="RWJ385"/>
      <c r="RWK385"/>
      <c r="RWL385"/>
      <c r="RWM385"/>
      <c r="RWN385"/>
      <c r="RWO385"/>
      <c r="RWP385"/>
      <c r="RWQ385"/>
      <c r="RWR385"/>
      <c r="RWS385"/>
      <c r="RWT385"/>
      <c r="RWU385"/>
      <c r="RWV385"/>
      <c r="RWW385"/>
      <c r="RWX385"/>
      <c r="RWY385"/>
      <c r="RWZ385"/>
      <c r="RXA385"/>
      <c r="RXB385"/>
      <c r="RXC385"/>
      <c r="RXD385"/>
      <c r="RXE385"/>
      <c r="RXF385"/>
      <c r="RXG385"/>
      <c r="RXH385"/>
      <c r="RXI385"/>
      <c r="RXJ385"/>
      <c r="RXK385"/>
      <c r="RXL385"/>
      <c r="RXM385"/>
      <c r="RXN385"/>
      <c r="RXO385"/>
      <c r="RXP385"/>
      <c r="RXQ385"/>
      <c r="RXR385"/>
      <c r="RXS385"/>
      <c r="RXT385"/>
      <c r="RXU385"/>
      <c r="RXV385"/>
      <c r="RXW385"/>
      <c r="RXX385"/>
      <c r="RXY385"/>
      <c r="RXZ385"/>
      <c r="RYA385"/>
      <c r="RYB385"/>
      <c r="RYC385"/>
      <c r="RYD385"/>
      <c r="RYE385"/>
      <c r="RYF385"/>
      <c r="RYG385"/>
      <c r="RYH385"/>
      <c r="RYI385"/>
      <c r="RYJ385"/>
      <c r="RYK385"/>
      <c r="RYL385"/>
      <c r="RYM385"/>
      <c r="RYN385"/>
      <c r="RYO385"/>
      <c r="RYP385"/>
      <c r="RYQ385"/>
      <c r="RYR385"/>
      <c r="RYS385"/>
      <c r="RYT385"/>
      <c r="RYU385"/>
      <c r="RYV385"/>
      <c r="RYW385"/>
      <c r="RYX385"/>
      <c r="RYY385"/>
      <c r="RYZ385"/>
      <c r="RZA385"/>
      <c r="RZB385"/>
      <c r="RZC385"/>
      <c r="RZD385"/>
      <c r="RZE385"/>
      <c r="RZF385"/>
      <c r="RZG385"/>
      <c r="RZH385"/>
      <c r="RZI385"/>
      <c r="RZJ385"/>
      <c r="RZK385"/>
      <c r="RZL385"/>
      <c r="RZM385"/>
      <c r="RZN385"/>
      <c r="RZO385"/>
      <c r="RZP385"/>
      <c r="RZQ385"/>
      <c r="RZR385"/>
      <c r="RZS385"/>
      <c r="RZT385"/>
      <c r="RZU385"/>
      <c r="RZV385"/>
      <c r="RZW385"/>
      <c r="RZX385"/>
      <c r="RZY385"/>
      <c r="RZZ385"/>
      <c r="SAA385"/>
      <c r="SAB385"/>
      <c r="SAC385"/>
      <c r="SAD385"/>
      <c r="SAE385"/>
      <c r="SAF385"/>
      <c r="SAG385"/>
      <c r="SAH385"/>
      <c r="SAI385"/>
      <c r="SAJ385"/>
      <c r="SAK385"/>
      <c r="SAL385"/>
      <c r="SAM385"/>
      <c r="SAN385"/>
      <c r="SAO385"/>
      <c r="SAP385"/>
      <c r="SAQ385"/>
      <c r="SAR385"/>
      <c r="SAS385"/>
      <c r="SAT385"/>
      <c r="SAU385"/>
      <c r="SAV385"/>
      <c r="SAW385"/>
      <c r="SAX385"/>
      <c r="SAY385"/>
      <c r="SAZ385"/>
      <c r="SBA385"/>
      <c r="SBB385"/>
      <c r="SBC385"/>
      <c r="SBD385"/>
      <c r="SBE385"/>
      <c r="SBF385"/>
      <c r="SBG385"/>
      <c r="SBH385"/>
      <c r="SBI385"/>
      <c r="SBJ385"/>
      <c r="SBK385"/>
      <c r="SBL385"/>
      <c r="SBM385"/>
      <c r="SBN385"/>
      <c r="SBO385"/>
      <c r="SBP385"/>
      <c r="SBQ385"/>
      <c r="SBR385"/>
      <c r="SBS385"/>
      <c r="SBT385"/>
      <c r="SBU385"/>
      <c r="SBV385"/>
      <c r="SBW385"/>
      <c r="SBX385"/>
      <c r="SBY385"/>
      <c r="SBZ385"/>
      <c r="SCA385"/>
      <c r="SCB385"/>
      <c r="SCC385"/>
      <c r="SCD385"/>
      <c r="SCE385"/>
      <c r="SCF385"/>
      <c r="SCG385"/>
      <c r="SCH385"/>
      <c r="SCI385"/>
      <c r="SCJ385"/>
      <c r="SCK385"/>
      <c r="SCL385"/>
      <c r="SCM385"/>
      <c r="SCN385"/>
      <c r="SCO385"/>
      <c r="SCP385"/>
      <c r="SCQ385"/>
      <c r="SCR385"/>
      <c r="SCS385"/>
      <c r="SCT385"/>
      <c r="SCU385"/>
      <c r="SCV385"/>
      <c r="SCW385"/>
      <c r="SCX385"/>
      <c r="SCY385"/>
      <c r="SCZ385"/>
      <c r="SDA385"/>
      <c r="SDB385"/>
      <c r="SDC385"/>
      <c r="SDD385"/>
      <c r="SDE385"/>
      <c r="SDF385"/>
      <c r="SDG385"/>
      <c r="SDH385"/>
      <c r="SDI385"/>
      <c r="SDJ385"/>
      <c r="SDK385"/>
      <c r="SDL385"/>
      <c r="SDM385"/>
      <c r="SDN385"/>
      <c r="SDO385"/>
      <c r="SDP385"/>
      <c r="SDQ385"/>
      <c r="SDR385"/>
      <c r="SDS385"/>
      <c r="SDT385"/>
      <c r="SDU385"/>
      <c r="SDV385"/>
      <c r="SDW385"/>
      <c r="SDX385"/>
      <c r="SDY385"/>
      <c r="SDZ385"/>
      <c r="SEA385"/>
      <c r="SEB385"/>
      <c r="SEC385"/>
      <c r="SED385"/>
      <c r="SEE385"/>
      <c r="SEF385"/>
      <c r="SEG385"/>
      <c r="SEH385"/>
      <c r="SEI385"/>
      <c r="SEJ385"/>
      <c r="SEK385"/>
      <c r="SEL385"/>
      <c r="SEM385"/>
      <c r="SEN385"/>
      <c r="SEO385"/>
      <c r="SEP385"/>
      <c r="SEQ385"/>
      <c r="SER385"/>
      <c r="SES385"/>
      <c r="SET385"/>
      <c r="SEU385"/>
      <c r="SEV385"/>
      <c r="SEW385"/>
      <c r="SEX385"/>
      <c r="SEY385"/>
      <c r="SEZ385"/>
      <c r="SFA385"/>
      <c r="SFB385"/>
      <c r="SFC385"/>
      <c r="SFD385"/>
      <c r="SFE385"/>
      <c r="SFF385"/>
      <c r="SFG385"/>
      <c r="SFH385"/>
      <c r="SFI385"/>
      <c r="SFJ385"/>
      <c r="SFK385"/>
      <c r="SFL385"/>
      <c r="SFM385"/>
      <c r="SFN385"/>
      <c r="SFO385"/>
      <c r="SFP385"/>
      <c r="SFQ385"/>
      <c r="SFR385"/>
      <c r="SFS385"/>
      <c r="SFT385"/>
      <c r="SFU385"/>
      <c r="SFV385"/>
      <c r="SFW385"/>
      <c r="SFX385"/>
      <c r="SFY385"/>
      <c r="SFZ385"/>
      <c r="SGA385"/>
      <c r="SGB385"/>
      <c r="SGC385"/>
      <c r="SGD385"/>
      <c r="SGE385"/>
      <c r="SGF385"/>
      <c r="SGG385"/>
      <c r="SGH385"/>
      <c r="SGI385"/>
      <c r="SGJ385"/>
      <c r="SGK385"/>
      <c r="SGL385"/>
      <c r="SGM385"/>
      <c r="SGN385"/>
      <c r="SGO385"/>
      <c r="SGP385"/>
      <c r="SGQ385"/>
      <c r="SGR385"/>
      <c r="SGS385"/>
      <c r="SGT385"/>
      <c r="SGU385"/>
      <c r="SGV385"/>
      <c r="SGW385"/>
      <c r="SGX385"/>
      <c r="SGY385"/>
      <c r="SGZ385"/>
      <c r="SHA385"/>
      <c r="SHB385"/>
      <c r="SHC385"/>
      <c r="SHD385"/>
      <c r="SHE385"/>
      <c r="SHF385"/>
      <c r="SHG385"/>
      <c r="SHH385"/>
      <c r="SHI385"/>
      <c r="SHJ385"/>
      <c r="SHK385"/>
      <c r="SHL385"/>
      <c r="SHM385"/>
      <c r="SHN385"/>
      <c r="SHO385"/>
      <c r="SHP385"/>
      <c r="SHQ385"/>
      <c r="SHR385"/>
      <c r="SHS385"/>
      <c r="SHT385"/>
      <c r="SHU385"/>
      <c r="SHV385"/>
      <c r="SHW385"/>
      <c r="SHX385"/>
      <c r="SHY385"/>
      <c r="SHZ385"/>
      <c r="SIA385"/>
      <c r="SIB385"/>
      <c r="SIC385"/>
      <c r="SID385"/>
      <c r="SIE385"/>
      <c r="SIF385"/>
      <c r="SIG385"/>
      <c r="SIH385"/>
      <c r="SII385"/>
      <c r="SIJ385"/>
      <c r="SIK385"/>
      <c r="SIL385"/>
      <c r="SIM385"/>
      <c r="SIN385"/>
      <c r="SIO385"/>
      <c r="SIP385"/>
      <c r="SIQ385"/>
      <c r="SIR385"/>
      <c r="SIS385"/>
      <c r="SIT385"/>
      <c r="SIU385"/>
      <c r="SIV385"/>
      <c r="SIW385"/>
      <c r="SIX385"/>
      <c r="SIY385"/>
      <c r="SIZ385"/>
      <c r="SJA385"/>
      <c r="SJB385"/>
      <c r="SJC385"/>
      <c r="SJD385"/>
      <c r="SJE385"/>
      <c r="SJF385"/>
      <c r="SJG385"/>
      <c r="SJH385"/>
      <c r="SJI385"/>
      <c r="SJJ385"/>
      <c r="SJK385"/>
      <c r="SJL385"/>
      <c r="SJM385"/>
      <c r="SJN385"/>
      <c r="SJO385"/>
      <c r="SJP385"/>
      <c r="SJQ385"/>
      <c r="SJR385"/>
      <c r="SJS385"/>
      <c r="SJT385"/>
      <c r="SJU385"/>
      <c r="SJV385"/>
      <c r="SJW385"/>
      <c r="SJX385"/>
      <c r="SJY385"/>
      <c r="SJZ385"/>
      <c r="SKA385"/>
      <c r="SKB385"/>
      <c r="SKC385"/>
      <c r="SKD385"/>
      <c r="SKE385"/>
      <c r="SKF385"/>
      <c r="SKG385"/>
      <c r="SKH385"/>
      <c r="SKI385"/>
      <c r="SKJ385"/>
      <c r="SKK385"/>
      <c r="SKL385"/>
      <c r="SKM385"/>
      <c r="SKN385"/>
      <c r="SKO385"/>
      <c r="SKP385"/>
      <c r="SKQ385"/>
      <c r="SKR385"/>
      <c r="SKS385"/>
      <c r="SKT385"/>
      <c r="SKU385"/>
      <c r="SKV385"/>
      <c r="SKW385"/>
      <c r="SKX385"/>
      <c r="SKY385"/>
      <c r="SKZ385"/>
      <c r="SLA385"/>
      <c r="SLB385"/>
      <c r="SLC385"/>
      <c r="SLD385"/>
      <c r="SLE385"/>
      <c r="SLF385"/>
      <c r="SLG385"/>
      <c r="SLH385"/>
      <c r="SLI385"/>
      <c r="SLJ385"/>
      <c r="SLK385"/>
      <c r="SLL385"/>
      <c r="SLM385"/>
      <c r="SLN385"/>
      <c r="SLO385"/>
      <c r="SLP385"/>
      <c r="SLQ385"/>
      <c r="SLR385"/>
      <c r="SLS385"/>
      <c r="SLT385"/>
      <c r="SLU385"/>
      <c r="SLV385"/>
      <c r="SLW385"/>
      <c r="SLX385"/>
      <c r="SLY385"/>
      <c r="SLZ385"/>
      <c r="SMA385"/>
      <c r="SMB385"/>
      <c r="SMC385"/>
      <c r="SMD385"/>
      <c r="SME385"/>
      <c r="SMF385"/>
      <c r="SMG385"/>
      <c r="SMH385"/>
      <c r="SMI385"/>
      <c r="SMJ385"/>
      <c r="SMK385"/>
      <c r="SML385"/>
      <c r="SMM385"/>
      <c r="SMN385"/>
      <c r="SMO385"/>
      <c r="SMP385"/>
      <c r="SMQ385"/>
      <c r="SMR385"/>
      <c r="SMS385"/>
      <c r="SMT385"/>
      <c r="SMU385"/>
      <c r="SMV385"/>
      <c r="SMW385"/>
      <c r="SMX385"/>
      <c r="SMY385"/>
      <c r="SMZ385"/>
      <c r="SNA385"/>
      <c r="SNB385"/>
      <c r="SNC385"/>
      <c r="SND385"/>
      <c r="SNE385"/>
      <c r="SNF385"/>
      <c r="SNG385"/>
      <c r="SNH385"/>
      <c r="SNI385"/>
      <c r="SNJ385"/>
      <c r="SNK385"/>
      <c r="SNL385"/>
      <c r="SNM385"/>
      <c r="SNN385"/>
      <c r="SNO385"/>
      <c r="SNP385"/>
      <c r="SNQ385"/>
      <c r="SNR385"/>
      <c r="SNS385"/>
      <c r="SNT385"/>
      <c r="SNU385"/>
      <c r="SNV385"/>
      <c r="SNW385"/>
      <c r="SNX385"/>
      <c r="SNY385"/>
      <c r="SNZ385"/>
      <c r="SOA385"/>
      <c r="SOB385"/>
      <c r="SOC385"/>
      <c r="SOD385"/>
      <c r="SOE385"/>
      <c r="SOF385"/>
      <c r="SOG385"/>
      <c r="SOH385"/>
      <c r="SOI385"/>
      <c r="SOJ385"/>
      <c r="SOK385"/>
      <c r="SOL385"/>
      <c r="SOM385"/>
      <c r="SON385"/>
      <c r="SOO385"/>
      <c r="SOP385"/>
      <c r="SOQ385"/>
      <c r="SOR385"/>
      <c r="SOS385"/>
      <c r="SOT385"/>
      <c r="SOU385"/>
      <c r="SOV385"/>
      <c r="SOW385"/>
      <c r="SOX385"/>
      <c r="SOY385"/>
      <c r="SOZ385"/>
      <c r="SPA385"/>
      <c r="SPB385"/>
      <c r="SPC385"/>
      <c r="SPD385"/>
      <c r="SPE385"/>
      <c r="SPF385"/>
      <c r="SPG385"/>
      <c r="SPH385"/>
      <c r="SPI385"/>
      <c r="SPJ385"/>
      <c r="SPK385"/>
      <c r="SPL385"/>
      <c r="SPM385"/>
      <c r="SPN385"/>
      <c r="SPO385"/>
      <c r="SPP385"/>
      <c r="SPQ385"/>
      <c r="SPR385"/>
      <c r="SPS385"/>
      <c r="SPT385"/>
      <c r="SPU385"/>
      <c r="SPV385"/>
      <c r="SPW385"/>
      <c r="SPX385"/>
      <c r="SPY385"/>
      <c r="SPZ385"/>
      <c r="SQA385"/>
      <c r="SQB385"/>
      <c r="SQC385"/>
      <c r="SQD385"/>
      <c r="SQE385"/>
      <c r="SQF385"/>
      <c r="SQG385"/>
      <c r="SQH385"/>
      <c r="SQI385"/>
      <c r="SQJ385"/>
      <c r="SQK385"/>
      <c r="SQL385"/>
      <c r="SQM385"/>
      <c r="SQN385"/>
      <c r="SQO385"/>
      <c r="SQP385"/>
      <c r="SQQ385"/>
      <c r="SQR385"/>
      <c r="SQS385"/>
      <c r="SQT385"/>
      <c r="SQU385"/>
      <c r="SQV385"/>
      <c r="SQW385"/>
      <c r="SQX385"/>
      <c r="SQY385"/>
      <c r="SQZ385"/>
      <c r="SRA385"/>
      <c r="SRB385"/>
      <c r="SRC385"/>
      <c r="SRD385"/>
      <c r="SRE385"/>
      <c r="SRF385"/>
      <c r="SRG385"/>
      <c r="SRH385"/>
      <c r="SRI385"/>
      <c r="SRJ385"/>
      <c r="SRK385"/>
      <c r="SRL385"/>
      <c r="SRM385"/>
      <c r="SRN385"/>
      <c r="SRO385"/>
      <c r="SRP385"/>
      <c r="SRQ385"/>
      <c r="SRR385"/>
      <c r="SRS385"/>
      <c r="SRT385"/>
      <c r="SRU385"/>
      <c r="SRV385"/>
      <c r="SRW385"/>
      <c r="SRX385"/>
      <c r="SRY385"/>
      <c r="SRZ385"/>
      <c r="SSA385"/>
      <c r="SSB385"/>
      <c r="SSC385"/>
      <c r="SSD385"/>
      <c r="SSE385"/>
      <c r="SSF385"/>
      <c r="SSG385"/>
      <c r="SSH385"/>
      <c r="SSI385"/>
      <c r="SSJ385"/>
      <c r="SSK385"/>
      <c r="SSL385"/>
      <c r="SSM385"/>
      <c r="SSN385"/>
      <c r="SSO385"/>
      <c r="SSP385"/>
      <c r="SSQ385"/>
      <c r="SSR385"/>
      <c r="SSS385"/>
      <c r="SST385"/>
      <c r="SSU385"/>
      <c r="SSV385"/>
      <c r="SSW385"/>
      <c r="SSX385"/>
      <c r="SSY385"/>
      <c r="SSZ385"/>
      <c r="STA385"/>
      <c r="STB385"/>
      <c r="STC385"/>
      <c r="STD385"/>
      <c r="STE385"/>
      <c r="STF385"/>
      <c r="STG385"/>
      <c r="STH385"/>
      <c r="STI385"/>
      <c r="STJ385"/>
      <c r="STK385"/>
      <c r="STL385"/>
      <c r="STM385"/>
      <c r="STN385"/>
      <c r="STO385"/>
      <c r="STP385"/>
      <c r="STQ385"/>
      <c r="STR385"/>
      <c r="STS385"/>
      <c r="STT385"/>
      <c r="STU385"/>
      <c r="STV385"/>
      <c r="STW385"/>
      <c r="STX385"/>
      <c r="STY385"/>
      <c r="STZ385"/>
      <c r="SUA385"/>
      <c r="SUB385"/>
      <c r="SUC385"/>
      <c r="SUD385"/>
      <c r="SUE385"/>
      <c r="SUF385"/>
      <c r="SUG385"/>
      <c r="SUH385"/>
      <c r="SUI385"/>
      <c r="SUJ385"/>
      <c r="SUK385"/>
      <c r="SUL385"/>
      <c r="SUM385"/>
      <c r="SUN385"/>
      <c r="SUO385"/>
      <c r="SUP385"/>
      <c r="SUQ385"/>
      <c r="SUR385"/>
      <c r="SUS385"/>
      <c r="SUT385"/>
      <c r="SUU385"/>
      <c r="SUV385"/>
      <c r="SUW385"/>
      <c r="SUX385"/>
      <c r="SUY385"/>
      <c r="SUZ385"/>
      <c r="SVA385"/>
      <c r="SVB385"/>
      <c r="SVC385"/>
      <c r="SVD385"/>
      <c r="SVE385"/>
      <c r="SVF385"/>
      <c r="SVG385"/>
      <c r="SVH385"/>
      <c r="SVI385"/>
      <c r="SVJ385"/>
      <c r="SVK385"/>
      <c r="SVL385"/>
      <c r="SVM385"/>
      <c r="SVN385"/>
      <c r="SVO385"/>
      <c r="SVP385"/>
      <c r="SVQ385"/>
      <c r="SVR385"/>
      <c r="SVS385"/>
      <c r="SVT385"/>
      <c r="SVU385"/>
      <c r="SVV385"/>
      <c r="SVW385"/>
      <c r="SVX385"/>
      <c r="SVY385"/>
      <c r="SVZ385"/>
      <c r="SWA385"/>
      <c r="SWB385"/>
      <c r="SWC385"/>
      <c r="SWD385"/>
      <c r="SWE385"/>
      <c r="SWF385"/>
      <c r="SWG385"/>
      <c r="SWH385"/>
      <c r="SWI385"/>
      <c r="SWJ385"/>
      <c r="SWK385"/>
      <c r="SWL385"/>
      <c r="SWM385"/>
      <c r="SWN385"/>
      <c r="SWO385"/>
      <c r="SWP385"/>
      <c r="SWQ385"/>
      <c r="SWR385"/>
      <c r="SWS385"/>
      <c r="SWT385"/>
      <c r="SWU385"/>
      <c r="SWV385"/>
      <c r="SWW385"/>
      <c r="SWX385"/>
      <c r="SWY385"/>
      <c r="SWZ385"/>
      <c r="SXA385"/>
      <c r="SXB385"/>
      <c r="SXC385"/>
      <c r="SXD385"/>
      <c r="SXE385"/>
      <c r="SXF385"/>
      <c r="SXG385"/>
      <c r="SXH385"/>
      <c r="SXI385"/>
      <c r="SXJ385"/>
      <c r="SXK385"/>
      <c r="SXL385"/>
      <c r="SXM385"/>
      <c r="SXN385"/>
      <c r="SXO385"/>
      <c r="SXP385"/>
      <c r="SXQ385"/>
      <c r="SXR385"/>
      <c r="SXS385"/>
      <c r="SXT385"/>
      <c r="SXU385"/>
      <c r="SXV385"/>
      <c r="SXW385"/>
      <c r="SXX385"/>
      <c r="SXY385"/>
      <c r="SXZ385"/>
      <c r="SYA385"/>
      <c r="SYB385"/>
      <c r="SYC385"/>
      <c r="SYD385"/>
      <c r="SYE385"/>
      <c r="SYF385"/>
      <c r="SYG385"/>
      <c r="SYH385"/>
      <c r="SYI385"/>
      <c r="SYJ385"/>
      <c r="SYK385"/>
      <c r="SYL385"/>
      <c r="SYM385"/>
      <c r="SYN385"/>
      <c r="SYO385"/>
      <c r="SYP385"/>
      <c r="SYQ385"/>
      <c r="SYR385"/>
      <c r="SYS385"/>
      <c r="SYT385"/>
      <c r="SYU385"/>
      <c r="SYV385"/>
      <c r="SYW385"/>
      <c r="SYX385"/>
      <c r="SYY385"/>
      <c r="SYZ385"/>
      <c r="SZA385"/>
      <c r="SZB385"/>
      <c r="SZC385"/>
      <c r="SZD385"/>
      <c r="SZE385"/>
      <c r="SZF385"/>
      <c r="SZG385"/>
      <c r="SZH385"/>
      <c r="SZI385"/>
      <c r="SZJ385"/>
      <c r="SZK385"/>
      <c r="SZL385"/>
      <c r="SZM385"/>
      <c r="SZN385"/>
      <c r="SZO385"/>
      <c r="SZP385"/>
      <c r="SZQ385"/>
      <c r="SZR385"/>
      <c r="SZS385"/>
      <c r="SZT385"/>
      <c r="SZU385"/>
      <c r="SZV385"/>
      <c r="SZW385"/>
      <c r="SZX385"/>
      <c r="SZY385"/>
      <c r="SZZ385"/>
      <c r="TAA385"/>
      <c r="TAB385"/>
      <c r="TAC385"/>
      <c r="TAD385"/>
      <c r="TAE385"/>
      <c r="TAF385"/>
      <c r="TAG385"/>
      <c r="TAH385"/>
      <c r="TAI385"/>
      <c r="TAJ385"/>
      <c r="TAK385"/>
      <c r="TAL385"/>
      <c r="TAM385"/>
      <c r="TAN385"/>
      <c r="TAO385"/>
      <c r="TAP385"/>
      <c r="TAQ385"/>
      <c r="TAR385"/>
      <c r="TAS385"/>
      <c r="TAT385"/>
      <c r="TAU385"/>
      <c r="TAV385"/>
      <c r="TAW385"/>
      <c r="TAX385"/>
      <c r="TAY385"/>
      <c r="TAZ385"/>
      <c r="TBA385"/>
      <c r="TBB385"/>
      <c r="TBC385"/>
      <c r="TBD385"/>
      <c r="TBE385"/>
      <c r="TBF385"/>
      <c r="TBG385"/>
      <c r="TBH385"/>
      <c r="TBI385"/>
      <c r="TBJ385"/>
      <c r="TBK385"/>
      <c r="TBL385"/>
      <c r="TBM385"/>
      <c r="TBN385"/>
      <c r="TBO385"/>
      <c r="TBP385"/>
      <c r="TBQ385"/>
      <c r="TBR385"/>
      <c r="TBS385"/>
      <c r="TBT385"/>
      <c r="TBU385"/>
      <c r="TBV385"/>
      <c r="TBW385"/>
      <c r="TBX385"/>
      <c r="TBY385"/>
      <c r="TBZ385"/>
      <c r="TCA385"/>
      <c r="TCB385"/>
      <c r="TCC385"/>
      <c r="TCD385"/>
      <c r="TCE385"/>
      <c r="TCF385"/>
      <c r="TCG385"/>
      <c r="TCH385"/>
      <c r="TCI385"/>
      <c r="TCJ385"/>
      <c r="TCK385"/>
      <c r="TCL385"/>
      <c r="TCM385"/>
      <c r="TCN385"/>
      <c r="TCO385"/>
      <c r="TCP385"/>
      <c r="TCQ385"/>
      <c r="TCR385"/>
      <c r="TCS385"/>
      <c r="TCT385"/>
      <c r="TCU385"/>
      <c r="TCV385"/>
      <c r="TCW385"/>
      <c r="TCX385"/>
      <c r="TCY385"/>
      <c r="TCZ385"/>
      <c r="TDA385"/>
      <c r="TDB385"/>
      <c r="TDC385"/>
      <c r="TDD385"/>
      <c r="TDE385"/>
      <c r="TDF385"/>
      <c r="TDG385"/>
      <c r="TDH385"/>
      <c r="TDI385"/>
      <c r="TDJ385"/>
      <c r="TDK385"/>
      <c r="TDL385"/>
      <c r="TDM385"/>
      <c r="TDN385"/>
      <c r="TDO385"/>
      <c r="TDP385"/>
      <c r="TDQ385"/>
      <c r="TDR385"/>
      <c r="TDS385"/>
      <c r="TDT385"/>
      <c r="TDU385"/>
      <c r="TDV385"/>
      <c r="TDW385"/>
      <c r="TDX385"/>
      <c r="TDY385"/>
      <c r="TDZ385"/>
      <c r="TEA385"/>
      <c r="TEB385"/>
      <c r="TEC385"/>
      <c r="TED385"/>
      <c r="TEE385"/>
      <c r="TEF385"/>
      <c r="TEG385"/>
      <c r="TEH385"/>
      <c r="TEI385"/>
      <c r="TEJ385"/>
      <c r="TEK385"/>
      <c r="TEL385"/>
      <c r="TEM385"/>
      <c r="TEN385"/>
      <c r="TEO385"/>
      <c r="TEP385"/>
      <c r="TEQ385"/>
      <c r="TER385"/>
      <c r="TES385"/>
      <c r="TET385"/>
      <c r="TEU385"/>
      <c r="TEV385"/>
      <c r="TEW385"/>
      <c r="TEX385"/>
      <c r="TEY385"/>
      <c r="TEZ385"/>
      <c r="TFA385"/>
      <c r="TFB385"/>
      <c r="TFC385"/>
      <c r="TFD385"/>
      <c r="TFE385"/>
      <c r="TFF385"/>
      <c r="TFG385"/>
      <c r="TFH385"/>
      <c r="TFI385"/>
      <c r="TFJ385"/>
      <c r="TFK385"/>
      <c r="TFL385"/>
      <c r="TFM385"/>
      <c r="TFN385"/>
      <c r="TFO385"/>
      <c r="TFP385"/>
      <c r="TFQ385"/>
      <c r="TFR385"/>
      <c r="TFS385"/>
      <c r="TFT385"/>
      <c r="TFU385"/>
      <c r="TFV385"/>
      <c r="TFW385"/>
      <c r="TFX385"/>
      <c r="TFY385"/>
      <c r="TFZ385"/>
      <c r="TGA385"/>
      <c r="TGB385"/>
      <c r="TGC385"/>
      <c r="TGD385"/>
      <c r="TGE385"/>
      <c r="TGF385"/>
      <c r="TGG385"/>
      <c r="TGH385"/>
      <c r="TGI385"/>
      <c r="TGJ385"/>
      <c r="TGK385"/>
      <c r="TGL385"/>
      <c r="TGM385"/>
      <c r="TGN385"/>
      <c r="TGO385"/>
      <c r="TGP385"/>
      <c r="TGQ385"/>
      <c r="TGR385"/>
      <c r="TGS385"/>
      <c r="TGT385"/>
      <c r="TGU385"/>
      <c r="TGV385"/>
      <c r="TGW385"/>
      <c r="TGX385"/>
      <c r="TGY385"/>
      <c r="TGZ385"/>
      <c r="THA385"/>
      <c r="THB385"/>
      <c r="THC385"/>
      <c r="THD385"/>
      <c r="THE385"/>
      <c r="THF385"/>
      <c r="THG385"/>
      <c r="THH385"/>
      <c r="THI385"/>
      <c r="THJ385"/>
      <c r="THK385"/>
      <c r="THL385"/>
      <c r="THM385"/>
      <c r="THN385"/>
      <c r="THO385"/>
      <c r="THP385"/>
      <c r="THQ385"/>
      <c r="THR385"/>
      <c r="THS385"/>
      <c r="THT385"/>
      <c r="THU385"/>
      <c r="THV385"/>
      <c r="THW385"/>
      <c r="THX385"/>
      <c r="THY385"/>
      <c r="THZ385"/>
      <c r="TIA385"/>
      <c r="TIB385"/>
      <c r="TIC385"/>
      <c r="TID385"/>
      <c r="TIE385"/>
      <c r="TIF385"/>
      <c r="TIG385"/>
      <c r="TIH385"/>
      <c r="TII385"/>
      <c r="TIJ385"/>
      <c r="TIK385"/>
      <c r="TIL385"/>
      <c r="TIM385"/>
      <c r="TIN385"/>
      <c r="TIO385"/>
      <c r="TIP385"/>
      <c r="TIQ385"/>
      <c r="TIR385"/>
      <c r="TIS385"/>
      <c r="TIT385"/>
      <c r="TIU385"/>
      <c r="TIV385"/>
      <c r="TIW385"/>
      <c r="TIX385"/>
      <c r="TIY385"/>
      <c r="TIZ385"/>
      <c r="TJA385"/>
      <c r="TJB385"/>
      <c r="TJC385"/>
      <c r="TJD385"/>
      <c r="TJE385"/>
      <c r="TJF385"/>
      <c r="TJG385"/>
      <c r="TJH385"/>
      <c r="TJI385"/>
      <c r="TJJ385"/>
      <c r="TJK385"/>
      <c r="TJL385"/>
      <c r="TJM385"/>
      <c r="TJN385"/>
      <c r="TJO385"/>
      <c r="TJP385"/>
      <c r="TJQ385"/>
      <c r="TJR385"/>
      <c r="TJS385"/>
      <c r="TJT385"/>
      <c r="TJU385"/>
      <c r="TJV385"/>
      <c r="TJW385"/>
      <c r="TJX385"/>
      <c r="TJY385"/>
      <c r="TJZ385"/>
      <c r="TKA385"/>
      <c r="TKB385"/>
      <c r="TKC385"/>
      <c r="TKD385"/>
      <c r="TKE385"/>
      <c r="TKF385"/>
      <c r="TKG385"/>
      <c r="TKH385"/>
      <c r="TKI385"/>
      <c r="TKJ385"/>
      <c r="TKK385"/>
      <c r="TKL385"/>
      <c r="TKM385"/>
      <c r="TKN385"/>
      <c r="TKO385"/>
      <c r="TKP385"/>
      <c r="TKQ385"/>
      <c r="TKR385"/>
      <c r="TKS385"/>
      <c r="TKT385"/>
      <c r="TKU385"/>
      <c r="TKV385"/>
      <c r="TKW385"/>
      <c r="TKX385"/>
      <c r="TKY385"/>
      <c r="TKZ385"/>
      <c r="TLA385"/>
      <c r="TLB385"/>
      <c r="TLC385"/>
      <c r="TLD385"/>
      <c r="TLE385"/>
      <c r="TLF385"/>
      <c r="TLG385"/>
      <c r="TLH385"/>
      <c r="TLI385"/>
      <c r="TLJ385"/>
      <c r="TLK385"/>
      <c r="TLL385"/>
      <c r="TLM385"/>
      <c r="TLN385"/>
      <c r="TLO385"/>
      <c r="TLP385"/>
      <c r="TLQ385"/>
      <c r="TLR385"/>
      <c r="TLS385"/>
      <c r="TLT385"/>
      <c r="TLU385"/>
      <c r="TLV385"/>
      <c r="TLW385"/>
      <c r="TLX385"/>
      <c r="TLY385"/>
      <c r="TLZ385"/>
      <c r="TMA385"/>
      <c r="TMB385"/>
      <c r="TMC385"/>
      <c r="TMD385"/>
      <c r="TME385"/>
      <c r="TMF385"/>
      <c r="TMG385"/>
      <c r="TMH385"/>
      <c r="TMI385"/>
      <c r="TMJ385"/>
      <c r="TMK385"/>
      <c r="TML385"/>
      <c r="TMM385"/>
      <c r="TMN385"/>
      <c r="TMO385"/>
      <c r="TMP385"/>
      <c r="TMQ385"/>
      <c r="TMR385"/>
      <c r="TMS385"/>
      <c r="TMT385"/>
      <c r="TMU385"/>
      <c r="TMV385"/>
      <c r="TMW385"/>
      <c r="TMX385"/>
      <c r="TMY385"/>
      <c r="TMZ385"/>
      <c r="TNA385"/>
      <c r="TNB385"/>
      <c r="TNC385"/>
      <c r="TND385"/>
      <c r="TNE385"/>
      <c r="TNF385"/>
      <c r="TNG385"/>
      <c r="TNH385"/>
      <c r="TNI385"/>
      <c r="TNJ385"/>
      <c r="TNK385"/>
      <c r="TNL385"/>
      <c r="TNM385"/>
      <c r="TNN385"/>
      <c r="TNO385"/>
      <c r="TNP385"/>
      <c r="TNQ385"/>
      <c r="TNR385"/>
      <c r="TNS385"/>
      <c r="TNT385"/>
      <c r="TNU385"/>
      <c r="TNV385"/>
      <c r="TNW385"/>
      <c r="TNX385"/>
      <c r="TNY385"/>
      <c r="TNZ385"/>
      <c r="TOA385"/>
      <c r="TOB385"/>
      <c r="TOC385"/>
      <c r="TOD385"/>
      <c r="TOE385"/>
      <c r="TOF385"/>
      <c r="TOG385"/>
      <c r="TOH385"/>
      <c r="TOI385"/>
      <c r="TOJ385"/>
      <c r="TOK385"/>
      <c r="TOL385"/>
      <c r="TOM385"/>
      <c r="TON385"/>
      <c r="TOO385"/>
      <c r="TOP385"/>
      <c r="TOQ385"/>
      <c r="TOR385"/>
      <c r="TOS385"/>
      <c r="TOT385"/>
      <c r="TOU385"/>
      <c r="TOV385"/>
      <c r="TOW385"/>
      <c r="TOX385"/>
      <c r="TOY385"/>
      <c r="TOZ385"/>
      <c r="TPA385"/>
      <c r="TPB385"/>
      <c r="TPC385"/>
      <c r="TPD385"/>
      <c r="TPE385"/>
      <c r="TPF385"/>
      <c r="TPG385"/>
      <c r="TPH385"/>
      <c r="TPI385"/>
      <c r="TPJ385"/>
      <c r="TPK385"/>
      <c r="TPL385"/>
      <c r="TPM385"/>
      <c r="TPN385"/>
      <c r="TPO385"/>
      <c r="TPP385"/>
      <c r="TPQ385"/>
      <c r="TPR385"/>
      <c r="TPS385"/>
      <c r="TPT385"/>
      <c r="TPU385"/>
      <c r="TPV385"/>
      <c r="TPW385"/>
      <c r="TPX385"/>
      <c r="TPY385"/>
      <c r="TPZ385"/>
      <c r="TQA385"/>
      <c r="TQB385"/>
      <c r="TQC385"/>
      <c r="TQD385"/>
      <c r="TQE385"/>
      <c r="TQF385"/>
      <c r="TQG385"/>
      <c r="TQH385"/>
      <c r="TQI385"/>
      <c r="TQJ385"/>
      <c r="TQK385"/>
      <c r="TQL385"/>
      <c r="TQM385"/>
      <c r="TQN385"/>
      <c r="TQO385"/>
      <c r="TQP385"/>
      <c r="TQQ385"/>
      <c r="TQR385"/>
      <c r="TQS385"/>
      <c r="TQT385"/>
      <c r="TQU385"/>
      <c r="TQV385"/>
      <c r="TQW385"/>
      <c r="TQX385"/>
      <c r="TQY385"/>
      <c r="TQZ385"/>
      <c r="TRA385"/>
      <c r="TRB385"/>
      <c r="TRC385"/>
      <c r="TRD385"/>
      <c r="TRE385"/>
      <c r="TRF385"/>
      <c r="TRG385"/>
      <c r="TRH385"/>
      <c r="TRI385"/>
      <c r="TRJ385"/>
      <c r="TRK385"/>
      <c r="TRL385"/>
      <c r="TRM385"/>
      <c r="TRN385"/>
      <c r="TRO385"/>
      <c r="TRP385"/>
      <c r="TRQ385"/>
      <c r="TRR385"/>
      <c r="TRS385"/>
      <c r="TRT385"/>
      <c r="TRU385"/>
      <c r="TRV385"/>
      <c r="TRW385"/>
      <c r="TRX385"/>
      <c r="TRY385"/>
      <c r="TRZ385"/>
      <c r="TSA385"/>
      <c r="TSB385"/>
      <c r="TSC385"/>
      <c r="TSD385"/>
      <c r="TSE385"/>
      <c r="TSF385"/>
      <c r="TSG385"/>
      <c r="TSH385"/>
      <c r="TSI385"/>
      <c r="TSJ385"/>
      <c r="TSK385"/>
      <c r="TSL385"/>
      <c r="TSM385"/>
      <c r="TSN385"/>
      <c r="TSO385"/>
      <c r="TSP385"/>
      <c r="TSQ385"/>
      <c r="TSR385"/>
      <c r="TSS385"/>
      <c r="TST385"/>
      <c r="TSU385"/>
      <c r="TSV385"/>
      <c r="TSW385"/>
      <c r="TSX385"/>
      <c r="TSY385"/>
      <c r="TSZ385"/>
      <c r="TTA385"/>
      <c r="TTB385"/>
      <c r="TTC385"/>
      <c r="TTD385"/>
      <c r="TTE385"/>
      <c r="TTF385"/>
      <c r="TTG385"/>
      <c r="TTH385"/>
      <c r="TTI385"/>
      <c r="TTJ385"/>
      <c r="TTK385"/>
      <c r="TTL385"/>
      <c r="TTM385"/>
      <c r="TTN385"/>
      <c r="TTO385"/>
      <c r="TTP385"/>
      <c r="TTQ385"/>
      <c r="TTR385"/>
      <c r="TTS385"/>
      <c r="TTT385"/>
      <c r="TTU385"/>
      <c r="TTV385"/>
      <c r="TTW385"/>
      <c r="TTX385"/>
      <c r="TTY385"/>
      <c r="TTZ385"/>
      <c r="TUA385"/>
      <c r="TUB385"/>
      <c r="TUC385"/>
      <c r="TUD385"/>
      <c r="TUE385"/>
      <c r="TUF385"/>
      <c r="TUG385"/>
      <c r="TUH385"/>
      <c r="TUI385"/>
      <c r="TUJ385"/>
      <c r="TUK385"/>
      <c r="TUL385"/>
      <c r="TUM385"/>
      <c r="TUN385"/>
      <c r="TUO385"/>
      <c r="TUP385"/>
      <c r="TUQ385"/>
      <c r="TUR385"/>
      <c r="TUS385"/>
      <c r="TUT385"/>
      <c r="TUU385"/>
      <c r="TUV385"/>
      <c r="TUW385"/>
      <c r="TUX385"/>
      <c r="TUY385"/>
      <c r="TUZ385"/>
      <c r="TVA385"/>
      <c r="TVB385"/>
      <c r="TVC385"/>
      <c r="TVD385"/>
      <c r="TVE385"/>
      <c r="TVF385"/>
      <c r="TVG385"/>
      <c r="TVH385"/>
      <c r="TVI385"/>
      <c r="TVJ385"/>
      <c r="TVK385"/>
      <c r="TVL385"/>
      <c r="TVM385"/>
      <c r="TVN385"/>
      <c r="TVO385"/>
      <c r="TVP385"/>
      <c r="TVQ385"/>
      <c r="TVR385"/>
      <c r="TVS385"/>
      <c r="TVT385"/>
      <c r="TVU385"/>
      <c r="TVV385"/>
      <c r="TVW385"/>
      <c r="TVX385"/>
      <c r="TVY385"/>
      <c r="TVZ385"/>
      <c r="TWA385"/>
      <c r="TWB385"/>
      <c r="TWC385"/>
      <c r="TWD385"/>
      <c r="TWE385"/>
      <c r="TWF385"/>
      <c r="TWG385"/>
      <c r="TWH385"/>
      <c r="TWI385"/>
      <c r="TWJ385"/>
      <c r="TWK385"/>
      <c r="TWL385"/>
      <c r="TWM385"/>
      <c r="TWN385"/>
      <c r="TWO385"/>
      <c r="TWP385"/>
      <c r="TWQ385"/>
      <c r="TWR385"/>
      <c r="TWS385"/>
      <c r="TWT385"/>
      <c r="TWU385"/>
      <c r="TWV385"/>
      <c r="TWW385"/>
      <c r="TWX385"/>
      <c r="TWY385"/>
      <c r="TWZ385"/>
      <c r="TXA385"/>
      <c r="TXB385"/>
      <c r="TXC385"/>
      <c r="TXD385"/>
      <c r="TXE385"/>
      <c r="TXF385"/>
      <c r="TXG385"/>
      <c r="TXH385"/>
      <c r="TXI385"/>
      <c r="TXJ385"/>
      <c r="TXK385"/>
      <c r="TXL385"/>
      <c r="TXM385"/>
      <c r="TXN385"/>
      <c r="TXO385"/>
      <c r="TXP385"/>
      <c r="TXQ385"/>
      <c r="TXR385"/>
      <c r="TXS385"/>
      <c r="TXT385"/>
      <c r="TXU385"/>
      <c r="TXV385"/>
      <c r="TXW385"/>
      <c r="TXX385"/>
      <c r="TXY385"/>
      <c r="TXZ385"/>
      <c r="TYA385"/>
      <c r="TYB385"/>
      <c r="TYC385"/>
      <c r="TYD385"/>
      <c r="TYE385"/>
      <c r="TYF385"/>
      <c r="TYG385"/>
      <c r="TYH385"/>
      <c r="TYI385"/>
      <c r="TYJ385"/>
      <c r="TYK385"/>
      <c r="TYL385"/>
      <c r="TYM385"/>
      <c r="TYN385"/>
      <c r="TYO385"/>
      <c r="TYP385"/>
      <c r="TYQ385"/>
      <c r="TYR385"/>
      <c r="TYS385"/>
      <c r="TYT385"/>
      <c r="TYU385"/>
      <c r="TYV385"/>
      <c r="TYW385"/>
      <c r="TYX385"/>
      <c r="TYY385"/>
      <c r="TYZ385"/>
      <c r="TZA385"/>
      <c r="TZB385"/>
      <c r="TZC385"/>
      <c r="TZD385"/>
      <c r="TZE385"/>
      <c r="TZF385"/>
      <c r="TZG385"/>
      <c r="TZH385"/>
      <c r="TZI385"/>
      <c r="TZJ385"/>
      <c r="TZK385"/>
      <c r="TZL385"/>
      <c r="TZM385"/>
      <c r="TZN385"/>
      <c r="TZO385"/>
      <c r="TZP385"/>
      <c r="TZQ385"/>
      <c r="TZR385"/>
      <c r="TZS385"/>
      <c r="TZT385"/>
      <c r="TZU385"/>
      <c r="TZV385"/>
      <c r="TZW385"/>
      <c r="TZX385"/>
      <c r="TZY385"/>
      <c r="TZZ385"/>
      <c r="UAA385"/>
      <c r="UAB385"/>
      <c r="UAC385"/>
      <c r="UAD385"/>
      <c r="UAE385"/>
      <c r="UAF385"/>
      <c r="UAG385"/>
      <c r="UAH385"/>
      <c r="UAI385"/>
      <c r="UAJ385"/>
      <c r="UAK385"/>
      <c r="UAL385"/>
      <c r="UAM385"/>
      <c r="UAN385"/>
      <c r="UAO385"/>
      <c r="UAP385"/>
      <c r="UAQ385"/>
      <c r="UAR385"/>
      <c r="UAS385"/>
      <c r="UAT385"/>
      <c r="UAU385"/>
      <c r="UAV385"/>
      <c r="UAW385"/>
      <c r="UAX385"/>
      <c r="UAY385"/>
      <c r="UAZ385"/>
      <c r="UBA385"/>
      <c r="UBB385"/>
      <c r="UBC385"/>
      <c r="UBD385"/>
      <c r="UBE385"/>
      <c r="UBF385"/>
      <c r="UBG385"/>
      <c r="UBH385"/>
      <c r="UBI385"/>
      <c r="UBJ385"/>
      <c r="UBK385"/>
      <c r="UBL385"/>
      <c r="UBM385"/>
      <c r="UBN385"/>
      <c r="UBO385"/>
      <c r="UBP385"/>
      <c r="UBQ385"/>
      <c r="UBR385"/>
      <c r="UBS385"/>
      <c r="UBT385"/>
      <c r="UBU385"/>
      <c r="UBV385"/>
      <c r="UBW385"/>
      <c r="UBX385"/>
      <c r="UBY385"/>
      <c r="UBZ385"/>
      <c r="UCA385"/>
      <c r="UCB385"/>
      <c r="UCC385"/>
      <c r="UCD385"/>
      <c r="UCE385"/>
      <c r="UCF385"/>
      <c r="UCG385"/>
      <c r="UCH385"/>
      <c r="UCI385"/>
      <c r="UCJ385"/>
      <c r="UCK385"/>
      <c r="UCL385"/>
      <c r="UCM385"/>
      <c r="UCN385"/>
      <c r="UCO385"/>
      <c r="UCP385"/>
      <c r="UCQ385"/>
      <c r="UCR385"/>
      <c r="UCS385"/>
      <c r="UCT385"/>
      <c r="UCU385"/>
      <c r="UCV385"/>
      <c r="UCW385"/>
      <c r="UCX385"/>
      <c r="UCY385"/>
      <c r="UCZ385"/>
      <c r="UDA385"/>
      <c r="UDB385"/>
      <c r="UDC385"/>
      <c r="UDD385"/>
      <c r="UDE385"/>
      <c r="UDF385"/>
      <c r="UDG385"/>
      <c r="UDH385"/>
      <c r="UDI385"/>
      <c r="UDJ385"/>
      <c r="UDK385"/>
      <c r="UDL385"/>
      <c r="UDM385"/>
      <c r="UDN385"/>
      <c r="UDO385"/>
      <c r="UDP385"/>
      <c r="UDQ385"/>
      <c r="UDR385"/>
      <c r="UDS385"/>
      <c r="UDT385"/>
      <c r="UDU385"/>
      <c r="UDV385"/>
      <c r="UDW385"/>
      <c r="UDX385"/>
      <c r="UDY385"/>
      <c r="UDZ385"/>
      <c r="UEA385"/>
      <c r="UEB385"/>
      <c r="UEC385"/>
      <c r="UED385"/>
      <c r="UEE385"/>
      <c r="UEF385"/>
      <c r="UEG385"/>
      <c r="UEH385"/>
      <c r="UEI385"/>
      <c r="UEJ385"/>
      <c r="UEK385"/>
      <c r="UEL385"/>
      <c r="UEM385"/>
      <c r="UEN385"/>
      <c r="UEO385"/>
      <c r="UEP385"/>
      <c r="UEQ385"/>
      <c r="UER385"/>
      <c r="UES385"/>
      <c r="UET385"/>
      <c r="UEU385"/>
      <c r="UEV385"/>
      <c r="UEW385"/>
      <c r="UEX385"/>
      <c r="UEY385"/>
      <c r="UEZ385"/>
      <c r="UFA385"/>
      <c r="UFB385"/>
      <c r="UFC385"/>
      <c r="UFD385"/>
      <c r="UFE385"/>
      <c r="UFF385"/>
      <c r="UFG385"/>
      <c r="UFH385"/>
      <c r="UFI385"/>
      <c r="UFJ385"/>
      <c r="UFK385"/>
      <c r="UFL385"/>
      <c r="UFM385"/>
      <c r="UFN385"/>
      <c r="UFO385"/>
      <c r="UFP385"/>
      <c r="UFQ385"/>
      <c r="UFR385"/>
      <c r="UFS385"/>
      <c r="UFT385"/>
      <c r="UFU385"/>
      <c r="UFV385"/>
      <c r="UFW385"/>
      <c r="UFX385"/>
      <c r="UFY385"/>
      <c r="UFZ385"/>
      <c r="UGA385"/>
      <c r="UGB385"/>
      <c r="UGC385"/>
      <c r="UGD385"/>
      <c r="UGE385"/>
      <c r="UGF385"/>
      <c r="UGG385"/>
      <c r="UGH385"/>
      <c r="UGI385"/>
      <c r="UGJ385"/>
      <c r="UGK385"/>
      <c r="UGL385"/>
      <c r="UGM385"/>
      <c r="UGN385"/>
      <c r="UGO385"/>
      <c r="UGP385"/>
      <c r="UGQ385"/>
      <c r="UGR385"/>
      <c r="UGS385"/>
      <c r="UGT385"/>
      <c r="UGU385"/>
      <c r="UGV385"/>
      <c r="UGW385"/>
      <c r="UGX385"/>
      <c r="UGY385"/>
      <c r="UGZ385"/>
      <c r="UHA385"/>
      <c r="UHB385"/>
      <c r="UHC385"/>
      <c r="UHD385"/>
      <c r="UHE385"/>
      <c r="UHF385"/>
      <c r="UHG385"/>
      <c r="UHH385"/>
      <c r="UHI385"/>
      <c r="UHJ385"/>
      <c r="UHK385"/>
      <c r="UHL385"/>
      <c r="UHM385"/>
      <c r="UHN385"/>
      <c r="UHO385"/>
      <c r="UHP385"/>
      <c r="UHQ385"/>
      <c r="UHR385"/>
      <c r="UHS385"/>
      <c r="UHT385"/>
      <c r="UHU385"/>
      <c r="UHV385"/>
      <c r="UHW385"/>
      <c r="UHX385"/>
      <c r="UHY385"/>
      <c r="UHZ385"/>
      <c r="UIA385"/>
      <c r="UIB385"/>
      <c r="UIC385"/>
      <c r="UID385"/>
      <c r="UIE385"/>
      <c r="UIF385"/>
      <c r="UIG385"/>
      <c r="UIH385"/>
      <c r="UII385"/>
      <c r="UIJ385"/>
      <c r="UIK385"/>
      <c r="UIL385"/>
      <c r="UIM385"/>
      <c r="UIN385"/>
      <c r="UIO385"/>
      <c r="UIP385"/>
      <c r="UIQ385"/>
      <c r="UIR385"/>
      <c r="UIS385"/>
      <c r="UIT385"/>
      <c r="UIU385"/>
      <c r="UIV385"/>
      <c r="UIW385"/>
      <c r="UIX385"/>
      <c r="UIY385"/>
      <c r="UIZ385"/>
      <c r="UJA385"/>
      <c r="UJB385"/>
      <c r="UJC385"/>
      <c r="UJD385"/>
      <c r="UJE385"/>
      <c r="UJF385"/>
      <c r="UJG385"/>
      <c r="UJH385"/>
      <c r="UJI385"/>
      <c r="UJJ385"/>
      <c r="UJK385"/>
      <c r="UJL385"/>
      <c r="UJM385"/>
      <c r="UJN385"/>
      <c r="UJO385"/>
      <c r="UJP385"/>
      <c r="UJQ385"/>
      <c r="UJR385"/>
      <c r="UJS385"/>
      <c r="UJT385"/>
      <c r="UJU385"/>
      <c r="UJV385"/>
      <c r="UJW385"/>
      <c r="UJX385"/>
      <c r="UJY385"/>
      <c r="UJZ385"/>
      <c r="UKA385"/>
      <c r="UKB385"/>
      <c r="UKC385"/>
      <c r="UKD385"/>
      <c r="UKE385"/>
      <c r="UKF385"/>
      <c r="UKG385"/>
      <c r="UKH385"/>
      <c r="UKI385"/>
      <c r="UKJ385"/>
      <c r="UKK385"/>
      <c r="UKL385"/>
      <c r="UKM385"/>
      <c r="UKN385"/>
      <c r="UKO385"/>
      <c r="UKP385"/>
      <c r="UKQ385"/>
      <c r="UKR385"/>
      <c r="UKS385"/>
      <c r="UKT385"/>
      <c r="UKU385"/>
      <c r="UKV385"/>
      <c r="UKW385"/>
      <c r="UKX385"/>
      <c r="UKY385"/>
      <c r="UKZ385"/>
      <c r="ULA385"/>
      <c r="ULB385"/>
      <c r="ULC385"/>
      <c r="ULD385"/>
      <c r="ULE385"/>
      <c r="ULF385"/>
      <c r="ULG385"/>
      <c r="ULH385"/>
      <c r="ULI385"/>
      <c r="ULJ385"/>
      <c r="ULK385"/>
      <c r="ULL385"/>
      <c r="ULM385"/>
      <c r="ULN385"/>
      <c r="ULO385"/>
      <c r="ULP385"/>
      <c r="ULQ385"/>
      <c r="ULR385"/>
      <c r="ULS385"/>
      <c r="ULT385"/>
      <c r="ULU385"/>
      <c r="ULV385"/>
      <c r="ULW385"/>
      <c r="ULX385"/>
      <c r="ULY385"/>
      <c r="ULZ385"/>
      <c r="UMA385"/>
      <c r="UMB385"/>
      <c r="UMC385"/>
      <c r="UMD385"/>
      <c r="UME385"/>
      <c r="UMF385"/>
      <c r="UMG385"/>
      <c r="UMH385"/>
      <c r="UMI385"/>
      <c r="UMJ385"/>
      <c r="UMK385"/>
      <c r="UML385"/>
      <c r="UMM385"/>
      <c r="UMN385"/>
      <c r="UMO385"/>
      <c r="UMP385"/>
      <c r="UMQ385"/>
      <c r="UMR385"/>
      <c r="UMS385"/>
      <c r="UMT385"/>
      <c r="UMU385"/>
      <c r="UMV385"/>
      <c r="UMW385"/>
      <c r="UMX385"/>
      <c r="UMY385"/>
      <c r="UMZ385"/>
      <c r="UNA385"/>
      <c r="UNB385"/>
      <c r="UNC385"/>
      <c r="UND385"/>
      <c r="UNE385"/>
      <c r="UNF385"/>
      <c r="UNG385"/>
      <c r="UNH385"/>
      <c r="UNI385"/>
      <c r="UNJ385"/>
      <c r="UNK385"/>
      <c r="UNL385"/>
      <c r="UNM385"/>
      <c r="UNN385"/>
      <c r="UNO385"/>
      <c r="UNP385"/>
      <c r="UNQ385"/>
      <c r="UNR385"/>
      <c r="UNS385"/>
      <c r="UNT385"/>
      <c r="UNU385"/>
      <c r="UNV385"/>
      <c r="UNW385"/>
      <c r="UNX385"/>
      <c r="UNY385"/>
      <c r="UNZ385"/>
      <c r="UOA385"/>
      <c r="UOB385"/>
      <c r="UOC385"/>
      <c r="UOD385"/>
      <c r="UOE385"/>
      <c r="UOF385"/>
      <c r="UOG385"/>
      <c r="UOH385"/>
      <c r="UOI385"/>
      <c r="UOJ385"/>
      <c r="UOK385"/>
      <c r="UOL385"/>
      <c r="UOM385"/>
      <c r="UON385"/>
      <c r="UOO385"/>
      <c r="UOP385"/>
      <c r="UOQ385"/>
      <c r="UOR385"/>
      <c r="UOS385"/>
      <c r="UOT385"/>
      <c r="UOU385"/>
      <c r="UOV385"/>
      <c r="UOW385"/>
      <c r="UOX385"/>
      <c r="UOY385"/>
      <c r="UOZ385"/>
      <c r="UPA385"/>
      <c r="UPB385"/>
      <c r="UPC385"/>
      <c r="UPD385"/>
      <c r="UPE385"/>
      <c r="UPF385"/>
      <c r="UPG385"/>
      <c r="UPH385"/>
      <c r="UPI385"/>
      <c r="UPJ385"/>
      <c r="UPK385"/>
      <c r="UPL385"/>
      <c r="UPM385"/>
      <c r="UPN385"/>
      <c r="UPO385"/>
      <c r="UPP385"/>
      <c r="UPQ385"/>
      <c r="UPR385"/>
      <c r="UPS385"/>
      <c r="UPT385"/>
      <c r="UPU385"/>
      <c r="UPV385"/>
      <c r="UPW385"/>
      <c r="UPX385"/>
      <c r="UPY385"/>
      <c r="UPZ385"/>
      <c r="UQA385"/>
      <c r="UQB385"/>
      <c r="UQC385"/>
      <c r="UQD385"/>
      <c r="UQE385"/>
      <c r="UQF385"/>
      <c r="UQG385"/>
      <c r="UQH385"/>
      <c r="UQI385"/>
      <c r="UQJ385"/>
      <c r="UQK385"/>
      <c r="UQL385"/>
      <c r="UQM385"/>
      <c r="UQN385"/>
      <c r="UQO385"/>
      <c r="UQP385"/>
      <c r="UQQ385"/>
      <c r="UQR385"/>
      <c r="UQS385"/>
      <c r="UQT385"/>
      <c r="UQU385"/>
      <c r="UQV385"/>
      <c r="UQW385"/>
      <c r="UQX385"/>
      <c r="UQY385"/>
      <c r="UQZ385"/>
      <c r="URA385"/>
      <c r="URB385"/>
      <c r="URC385"/>
      <c r="URD385"/>
      <c r="URE385"/>
      <c r="URF385"/>
      <c r="URG385"/>
      <c r="URH385"/>
      <c r="URI385"/>
      <c r="URJ385"/>
      <c r="URK385"/>
      <c r="URL385"/>
      <c r="URM385"/>
      <c r="URN385"/>
      <c r="URO385"/>
      <c r="URP385"/>
      <c r="URQ385"/>
      <c r="URR385"/>
      <c r="URS385"/>
      <c r="URT385"/>
      <c r="URU385"/>
      <c r="URV385"/>
      <c r="URW385"/>
      <c r="URX385"/>
      <c r="URY385"/>
      <c r="URZ385"/>
      <c r="USA385"/>
      <c r="USB385"/>
      <c r="USC385"/>
      <c r="USD385"/>
      <c r="USE385"/>
      <c r="USF385"/>
      <c r="USG385"/>
      <c r="USH385"/>
      <c r="USI385"/>
      <c r="USJ385"/>
      <c r="USK385"/>
      <c r="USL385"/>
      <c r="USM385"/>
      <c r="USN385"/>
      <c r="USO385"/>
      <c r="USP385"/>
      <c r="USQ385"/>
      <c r="USR385"/>
      <c r="USS385"/>
      <c r="UST385"/>
      <c r="USU385"/>
      <c r="USV385"/>
      <c r="USW385"/>
      <c r="USX385"/>
      <c r="USY385"/>
      <c r="USZ385"/>
      <c r="UTA385"/>
      <c r="UTB385"/>
      <c r="UTC385"/>
      <c r="UTD385"/>
      <c r="UTE385"/>
      <c r="UTF385"/>
      <c r="UTG385"/>
      <c r="UTH385"/>
      <c r="UTI385"/>
      <c r="UTJ385"/>
      <c r="UTK385"/>
      <c r="UTL385"/>
      <c r="UTM385"/>
      <c r="UTN385"/>
      <c r="UTO385"/>
      <c r="UTP385"/>
      <c r="UTQ385"/>
      <c r="UTR385"/>
      <c r="UTS385"/>
      <c r="UTT385"/>
      <c r="UTU385"/>
      <c r="UTV385"/>
      <c r="UTW385"/>
      <c r="UTX385"/>
      <c r="UTY385"/>
      <c r="UTZ385"/>
      <c r="UUA385"/>
      <c r="UUB385"/>
      <c r="UUC385"/>
      <c r="UUD385"/>
      <c r="UUE385"/>
      <c r="UUF385"/>
      <c r="UUG385"/>
      <c r="UUH385"/>
      <c r="UUI385"/>
      <c r="UUJ385"/>
      <c r="UUK385"/>
      <c r="UUL385"/>
      <c r="UUM385"/>
      <c r="UUN385"/>
      <c r="UUO385"/>
      <c r="UUP385"/>
      <c r="UUQ385"/>
      <c r="UUR385"/>
      <c r="UUS385"/>
      <c r="UUT385"/>
      <c r="UUU385"/>
      <c r="UUV385"/>
      <c r="UUW385"/>
      <c r="UUX385"/>
      <c r="UUY385"/>
      <c r="UUZ385"/>
      <c r="UVA385"/>
      <c r="UVB385"/>
      <c r="UVC385"/>
      <c r="UVD385"/>
      <c r="UVE385"/>
      <c r="UVF385"/>
      <c r="UVG385"/>
      <c r="UVH385"/>
      <c r="UVI385"/>
      <c r="UVJ385"/>
      <c r="UVK385"/>
      <c r="UVL385"/>
      <c r="UVM385"/>
      <c r="UVN385"/>
      <c r="UVO385"/>
      <c r="UVP385"/>
      <c r="UVQ385"/>
      <c r="UVR385"/>
      <c r="UVS385"/>
      <c r="UVT385"/>
      <c r="UVU385"/>
      <c r="UVV385"/>
      <c r="UVW385"/>
      <c r="UVX385"/>
      <c r="UVY385"/>
      <c r="UVZ385"/>
      <c r="UWA385"/>
      <c r="UWB385"/>
      <c r="UWC385"/>
      <c r="UWD385"/>
      <c r="UWE385"/>
      <c r="UWF385"/>
      <c r="UWG385"/>
      <c r="UWH385"/>
      <c r="UWI385"/>
      <c r="UWJ385"/>
      <c r="UWK385"/>
      <c r="UWL385"/>
      <c r="UWM385"/>
      <c r="UWN385"/>
      <c r="UWO385"/>
      <c r="UWP385"/>
      <c r="UWQ385"/>
      <c r="UWR385"/>
      <c r="UWS385"/>
      <c r="UWT385"/>
      <c r="UWU385"/>
      <c r="UWV385"/>
      <c r="UWW385"/>
      <c r="UWX385"/>
      <c r="UWY385"/>
      <c r="UWZ385"/>
      <c r="UXA385"/>
      <c r="UXB385"/>
      <c r="UXC385"/>
      <c r="UXD385"/>
      <c r="UXE385"/>
      <c r="UXF385"/>
      <c r="UXG385"/>
      <c r="UXH385"/>
      <c r="UXI385"/>
      <c r="UXJ385"/>
      <c r="UXK385"/>
      <c r="UXL385"/>
      <c r="UXM385"/>
      <c r="UXN385"/>
      <c r="UXO385"/>
      <c r="UXP385"/>
      <c r="UXQ385"/>
      <c r="UXR385"/>
      <c r="UXS385"/>
      <c r="UXT385"/>
      <c r="UXU385"/>
      <c r="UXV385"/>
      <c r="UXW385"/>
      <c r="UXX385"/>
      <c r="UXY385"/>
      <c r="UXZ385"/>
      <c r="UYA385"/>
      <c r="UYB385"/>
      <c r="UYC385"/>
      <c r="UYD385"/>
      <c r="UYE385"/>
      <c r="UYF385"/>
      <c r="UYG385"/>
      <c r="UYH385"/>
      <c r="UYI385"/>
      <c r="UYJ385"/>
      <c r="UYK385"/>
      <c r="UYL385"/>
      <c r="UYM385"/>
      <c r="UYN385"/>
      <c r="UYO385"/>
      <c r="UYP385"/>
      <c r="UYQ385"/>
      <c r="UYR385"/>
      <c r="UYS385"/>
      <c r="UYT385"/>
      <c r="UYU385"/>
      <c r="UYV385"/>
      <c r="UYW385"/>
      <c r="UYX385"/>
      <c r="UYY385"/>
      <c r="UYZ385"/>
      <c r="UZA385"/>
      <c r="UZB385"/>
      <c r="UZC385"/>
      <c r="UZD385"/>
      <c r="UZE385"/>
      <c r="UZF385"/>
      <c r="UZG385"/>
      <c r="UZH385"/>
      <c r="UZI385"/>
      <c r="UZJ385"/>
      <c r="UZK385"/>
      <c r="UZL385"/>
      <c r="UZM385"/>
      <c r="UZN385"/>
      <c r="UZO385"/>
      <c r="UZP385"/>
      <c r="UZQ385"/>
      <c r="UZR385"/>
      <c r="UZS385"/>
      <c r="UZT385"/>
      <c r="UZU385"/>
      <c r="UZV385"/>
      <c r="UZW385"/>
      <c r="UZX385"/>
      <c r="UZY385"/>
      <c r="UZZ385"/>
      <c r="VAA385"/>
      <c r="VAB385"/>
      <c r="VAC385"/>
      <c r="VAD385"/>
      <c r="VAE385"/>
      <c r="VAF385"/>
      <c r="VAG385"/>
      <c r="VAH385"/>
      <c r="VAI385"/>
      <c r="VAJ385"/>
      <c r="VAK385"/>
      <c r="VAL385"/>
      <c r="VAM385"/>
      <c r="VAN385"/>
      <c r="VAO385"/>
      <c r="VAP385"/>
      <c r="VAQ385"/>
      <c r="VAR385"/>
      <c r="VAS385"/>
      <c r="VAT385"/>
      <c r="VAU385"/>
      <c r="VAV385"/>
      <c r="VAW385"/>
      <c r="VAX385"/>
      <c r="VAY385"/>
      <c r="VAZ385"/>
      <c r="VBA385"/>
      <c r="VBB385"/>
      <c r="VBC385"/>
      <c r="VBD385"/>
      <c r="VBE385"/>
      <c r="VBF385"/>
      <c r="VBG385"/>
      <c r="VBH385"/>
      <c r="VBI385"/>
      <c r="VBJ385"/>
      <c r="VBK385"/>
      <c r="VBL385"/>
      <c r="VBM385"/>
      <c r="VBN385"/>
      <c r="VBO385"/>
      <c r="VBP385"/>
      <c r="VBQ385"/>
      <c r="VBR385"/>
      <c r="VBS385"/>
      <c r="VBT385"/>
      <c r="VBU385"/>
      <c r="VBV385"/>
      <c r="VBW385"/>
      <c r="VBX385"/>
      <c r="VBY385"/>
      <c r="VBZ385"/>
      <c r="VCA385"/>
      <c r="VCB385"/>
      <c r="VCC385"/>
      <c r="VCD385"/>
      <c r="VCE385"/>
      <c r="VCF385"/>
      <c r="VCG385"/>
      <c r="VCH385"/>
      <c r="VCI385"/>
      <c r="VCJ385"/>
      <c r="VCK385"/>
      <c r="VCL385"/>
      <c r="VCM385"/>
      <c r="VCN385"/>
      <c r="VCO385"/>
      <c r="VCP385"/>
      <c r="VCQ385"/>
      <c r="VCR385"/>
      <c r="VCS385"/>
      <c r="VCT385"/>
      <c r="VCU385"/>
      <c r="VCV385"/>
      <c r="VCW385"/>
      <c r="VCX385"/>
      <c r="VCY385"/>
      <c r="VCZ385"/>
      <c r="VDA385"/>
      <c r="VDB385"/>
      <c r="VDC385"/>
      <c r="VDD385"/>
      <c r="VDE385"/>
      <c r="VDF385"/>
      <c r="VDG385"/>
      <c r="VDH385"/>
      <c r="VDI385"/>
      <c r="VDJ385"/>
      <c r="VDK385"/>
      <c r="VDL385"/>
      <c r="VDM385"/>
      <c r="VDN385"/>
      <c r="VDO385"/>
      <c r="VDP385"/>
      <c r="VDQ385"/>
      <c r="VDR385"/>
      <c r="VDS385"/>
      <c r="VDT385"/>
      <c r="VDU385"/>
      <c r="VDV385"/>
      <c r="VDW385"/>
      <c r="VDX385"/>
      <c r="VDY385"/>
      <c r="VDZ385"/>
      <c r="VEA385"/>
      <c r="VEB385"/>
      <c r="VEC385"/>
      <c r="VED385"/>
      <c r="VEE385"/>
      <c r="VEF385"/>
      <c r="VEG385"/>
      <c r="VEH385"/>
      <c r="VEI385"/>
      <c r="VEJ385"/>
      <c r="VEK385"/>
      <c r="VEL385"/>
      <c r="VEM385"/>
      <c r="VEN385"/>
      <c r="VEO385"/>
      <c r="VEP385"/>
      <c r="VEQ385"/>
      <c r="VER385"/>
      <c r="VES385"/>
      <c r="VET385"/>
      <c r="VEU385"/>
      <c r="VEV385"/>
      <c r="VEW385"/>
      <c r="VEX385"/>
      <c r="VEY385"/>
      <c r="VEZ385"/>
      <c r="VFA385"/>
      <c r="VFB385"/>
      <c r="VFC385"/>
      <c r="VFD385"/>
      <c r="VFE385"/>
      <c r="VFF385"/>
      <c r="VFG385"/>
      <c r="VFH385"/>
      <c r="VFI385"/>
      <c r="VFJ385"/>
      <c r="VFK385"/>
      <c r="VFL385"/>
      <c r="VFM385"/>
      <c r="VFN385"/>
      <c r="VFO385"/>
      <c r="VFP385"/>
      <c r="VFQ385"/>
      <c r="VFR385"/>
      <c r="VFS385"/>
      <c r="VFT385"/>
      <c r="VFU385"/>
      <c r="VFV385"/>
      <c r="VFW385"/>
      <c r="VFX385"/>
      <c r="VFY385"/>
      <c r="VFZ385"/>
      <c r="VGA385"/>
      <c r="VGB385"/>
      <c r="VGC385"/>
      <c r="VGD385"/>
      <c r="VGE385"/>
      <c r="VGF385"/>
      <c r="VGG385"/>
      <c r="VGH385"/>
      <c r="VGI385"/>
      <c r="VGJ385"/>
      <c r="VGK385"/>
      <c r="VGL385"/>
      <c r="VGM385"/>
      <c r="VGN385"/>
      <c r="VGO385"/>
      <c r="VGP385"/>
      <c r="VGQ385"/>
      <c r="VGR385"/>
      <c r="VGS385"/>
      <c r="VGT385"/>
      <c r="VGU385"/>
      <c r="VGV385"/>
      <c r="VGW385"/>
      <c r="VGX385"/>
      <c r="VGY385"/>
      <c r="VGZ385"/>
      <c r="VHA385"/>
      <c r="VHB385"/>
      <c r="VHC385"/>
      <c r="VHD385"/>
      <c r="VHE385"/>
      <c r="VHF385"/>
      <c r="VHG385"/>
      <c r="VHH385"/>
      <c r="VHI385"/>
      <c r="VHJ385"/>
      <c r="VHK385"/>
      <c r="VHL385"/>
      <c r="VHM385"/>
      <c r="VHN385"/>
      <c r="VHO385"/>
      <c r="VHP385"/>
      <c r="VHQ385"/>
      <c r="VHR385"/>
      <c r="VHS385"/>
      <c r="VHT385"/>
      <c r="VHU385"/>
      <c r="VHV385"/>
      <c r="VHW385"/>
      <c r="VHX385"/>
      <c r="VHY385"/>
      <c r="VHZ385"/>
      <c r="VIA385"/>
      <c r="VIB385"/>
      <c r="VIC385"/>
      <c r="VID385"/>
      <c r="VIE385"/>
      <c r="VIF385"/>
      <c r="VIG385"/>
      <c r="VIH385"/>
      <c r="VII385"/>
      <c r="VIJ385"/>
      <c r="VIK385"/>
      <c r="VIL385"/>
      <c r="VIM385"/>
      <c r="VIN385"/>
      <c r="VIO385"/>
      <c r="VIP385"/>
      <c r="VIQ385"/>
      <c r="VIR385"/>
      <c r="VIS385"/>
      <c r="VIT385"/>
      <c r="VIU385"/>
      <c r="VIV385"/>
      <c r="VIW385"/>
      <c r="VIX385"/>
      <c r="VIY385"/>
      <c r="VIZ385"/>
      <c r="VJA385"/>
      <c r="VJB385"/>
      <c r="VJC385"/>
      <c r="VJD385"/>
      <c r="VJE385"/>
      <c r="VJF385"/>
      <c r="VJG385"/>
      <c r="VJH385"/>
      <c r="VJI385"/>
      <c r="VJJ385"/>
      <c r="VJK385"/>
      <c r="VJL385"/>
      <c r="VJM385"/>
      <c r="VJN385"/>
      <c r="VJO385"/>
      <c r="VJP385"/>
      <c r="VJQ385"/>
      <c r="VJR385"/>
      <c r="VJS385"/>
      <c r="VJT385"/>
      <c r="VJU385"/>
      <c r="VJV385"/>
      <c r="VJW385"/>
      <c r="VJX385"/>
      <c r="VJY385"/>
      <c r="VJZ385"/>
      <c r="VKA385"/>
      <c r="VKB385"/>
      <c r="VKC385"/>
      <c r="VKD385"/>
      <c r="VKE385"/>
      <c r="VKF385"/>
      <c r="VKG385"/>
      <c r="VKH385"/>
      <c r="VKI385"/>
      <c r="VKJ385"/>
      <c r="VKK385"/>
      <c r="VKL385"/>
      <c r="VKM385"/>
      <c r="VKN385"/>
      <c r="VKO385"/>
      <c r="VKP385"/>
      <c r="VKQ385"/>
      <c r="VKR385"/>
      <c r="VKS385"/>
      <c r="VKT385"/>
      <c r="VKU385"/>
      <c r="VKV385"/>
      <c r="VKW385"/>
      <c r="VKX385"/>
      <c r="VKY385"/>
      <c r="VKZ385"/>
      <c r="VLA385"/>
      <c r="VLB385"/>
      <c r="VLC385"/>
      <c r="VLD385"/>
      <c r="VLE385"/>
      <c r="VLF385"/>
      <c r="VLG385"/>
      <c r="VLH385"/>
      <c r="VLI385"/>
      <c r="VLJ385"/>
      <c r="VLK385"/>
      <c r="VLL385"/>
      <c r="VLM385"/>
      <c r="VLN385"/>
      <c r="VLO385"/>
      <c r="VLP385"/>
      <c r="VLQ385"/>
      <c r="VLR385"/>
      <c r="VLS385"/>
      <c r="VLT385"/>
      <c r="VLU385"/>
      <c r="VLV385"/>
      <c r="VLW385"/>
      <c r="VLX385"/>
      <c r="VLY385"/>
      <c r="VLZ385"/>
      <c r="VMA385"/>
      <c r="VMB385"/>
      <c r="VMC385"/>
      <c r="VMD385"/>
      <c r="VME385"/>
      <c r="VMF385"/>
      <c r="VMG385"/>
      <c r="VMH385"/>
      <c r="VMI385"/>
      <c r="VMJ385"/>
      <c r="VMK385"/>
      <c r="VML385"/>
      <c r="VMM385"/>
      <c r="VMN385"/>
      <c r="VMO385"/>
      <c r="VMP385"/>
      <c r="VMQ385"/>
      <c r="VMR385"/>
      <c r="VMS385"/>
      <c r="VMT385"/>
      <c r="VMU385"/>
      <c r="VMV385"/>
      <c r="VMW385"/>
      <c r="VMX385"/>
      <c r="VMY385"/>
      <c r="VMZ385"/>
      <c r="VNA385"/>
      <c r="VNB385"/>
      <c r="VNC385"/>
      <c r="VND385"/>
      <c r="VNE385"/>
      <c r="VNF385"/>
      <c r="VNG385"/>
      <c r="VNH385"/>
      <c r="VNI385"/>
      <c r="VNJ385"/>
      <c r="VNK385"/>
      <c r="VNL385"/>
      <c r="VNM385"/>
      <c r="VNN385"/>
      <c r="VNO385"/>
      <c r="VNP385"/>
      <c r="VNQ385"/>
      <c r="VNR385"/>
      <c r="VNS385"/>
      <c r="VNT385"/>
      <c r="VNU385"/>
      <c r="VNV385"/>
      <c r="VNW385"/>
      <c r="VNX385"/>
      <c r="VNY385"/>
      <c r="VNZ385"/>
      <c r="VOA385"/>
      <c r="VOB385"/>
      <c r="VOC385"/>
      <c r="VOD385"/>
      <c r="VOE385"/>
      <c r="VOF385"/>
      <c r="VOG385"/>
      <c r="VOH385"/>
      <c r="VOI385"/>
      <c r="VOJ385"/>
      <c r="VOK385"/>
      <c r="VOL385"/>
      <c r="VOM385"/>
      <c r="VON385"/>
      <c r="VOO385"/>
      <c r="VOP385"/>
      <c r="VOQ385"/>
      <c r="VOR385"/>
      <c r="VOS385"/>
      <c r="VOT385"/>
      <c r="VOU385"/>
      <c r="VOV385"/>
      <c r="VOW385"/>
      <c r="VOX385"/>
      <c r="VOY385"/>
      <c r="VOZ385"/>
      <c r="VPA385"/>
      <c r="VPB385"/>
      <c r="VPC385"/>
      <c r="VPD385"/>
      <c r="VPE385"/>
      <c r="VPF385"/>
      <c r="VPG385"/>
      <c r="VPH385"/>
      <c r="VPI385"/>
      <c r="VPJ385"/>
      <c r="VPK385"/>
      <c r="VPL385"/>
      <c r="VPM385"/>
      <c r="VPN385"/>
      <c r="VPO385"/>
      <c r="VPP385"/>
      <c r="VPQ385"/>
      <c r="VPR385"/>
      <c r="VPS385"/>
      <c r="VPT385"/>
      <c r="VPU385"/>
      <c r="VPV385"/>
      <c r="VPW385"/>
      <c r="VPX385"/>
      <c r="VPY385"/>
      <c r="VPZ385"/>
      <c r="VQA385"/>
      <c r="VQB385"/>
      <c r="VQC385"/>
      <c r="VQD385"/>
      <c r="VQE385"/>
      <c r="VQF385"/>
      <c r="VQG385"/>
      <c r="VQH385"/>
      <c r="VQI385"/>
      <c r="VQJ385"/>
      <c r="VQK385"/>
      <c r="VQL385"/>
      <c r="VQM385"/>
      <c r="VQN385"/>
      <c r="VQO385"/>
      <c r="VQP385"/>
      <c r="VQQ385"/>
      <c r="VQR385"/>
      <c r="VQS385"/>
      <c r="VQT385"/>
      <c r="VQU385"/>
      <c r="VQV385"/>
      <c r="VQW385"/>
      <c r="VQX385"/>
      <c r="VQY385"/>
      <c r="VQZ385"/>
      <c r="VRA385"/>
      <c r="VRB385"/>
      <c r="VRC385"/>
      <c r="VRD385"/>
      <c r="VRE385"/>
      <c r="VRF385"/>
      <c r="VRG385"/>
      <c r="VRH385"/>
      <c r="VRI385"/>
      <c r="VRJ385"/>
      <c r="VRK385"/>
      <c r="VRL385"/>
      <c r="VRM385"/>
      <c r="VRN385"/>
      <c r="VRO385"/>
      <c r="VRP385"/>
      <c r="VRQ385"/>
      <c r="VRR385"/>
      <c r="VRS385"/>
      <c r="VRT385"/>
      <c r="VRU385"/>
      <c r="VRV385"/>
      <c r="VRW385"/>
      <c r="VRX385"/>
      <c r="VRY385"/>
      <c r="VRZ385"/>
      <c r="VSA385"/>
      <c r="VSB385"/>
      <c r="VSC385"/>
      <c r="VSD385"/>
      <c r="VSE385"/>
      <c r="VSF385"/>
      <c r="VSG385"/>
      <c r="VSH385"/>
      <c r="VSI385"/>
      <c r="VSJ385"/>
      <c r="VSK385"/>
      <c r="VSL385"/>
      <c r="VSM385"/>
      <c r="VSN385"/>
      <c r="VSO385"/>
      <c r="VSP385"/>
      <c r="VSQ385"/>
      <c r="VSR385"/>
      <c r="VSS385"/>
      <c r="VST385"/>
      <c r="VSU385"/>
      <c r="VSV385"/>
      <c r="VSW385"/>
      <c r="VSX385"/>
      <c r="VSY385"/>
      <c r="VSZ385"/>
      <c r="VTA385"/>
      <c r="VTB385"/>
      <c r="VTC385"/>
      <c r="VTD385"/>
      <c r="VTE385"/>
      <c r="VTF385"/>
      <c r="VTG385"/>
      <c r="VTH385"/>
      <c r="VTI385"/>
      <c r="VTJ385"/>
      <c r="VTK385"/>
      <c r="VTL385"/>
      <c r="VTM385"/>
      <c r="VTN385"/>
      <c r="VTO385"/>
      <c r="VTP385"/>
      <c r="VTQ385"/>
      <c r="VTR385"/>
      <c r="VTS385"/>
      <c r="VTT385"/>
      <c r="VTU385"/>
      <c r="VTV385"/>
      <c r="VTW385"/>
      <c r="VTX385"/>
      <c r="VTY385"/>
      <c r="VTZ385"/>
      <c r="VUA385"/>
      <c r="VUB385"/>
      <c r="VUC385"/>
      <c r="VUD385"/>
      <c r="VUE385"/>
      <c r="VUF385"/>
      <c r="VUG385"/>
      <c r="VUH385"/>
      <c r="VUI385"/>
      <c r="VUJ385"/>
      <c r="VUK385"/>
      <c r="VUL385"/>
      <c r="VUM385"/>
      <c r="VUN385"/>
      <c r="VUO385"/>
      <c r="VUP385"/>
      <c r="VUQ385"/>
      <c r="VUR385"/>
      <c r="VUS385"/>
      <c r="VUT385"/>
      <c r="VUU385"/>
      <c r="VUV385"/>
      <c r="VUW385"/>
      <c r="VUX385"/>
      <c r="VUY385"/>
      <c r="VUZ385"/>
      <c r="VVA385"/>
      <c r="VVB385"/>
      <c r="VVC385"/>
      <c r="VVD385"/>
      <c r="VVE385"/>
      <c r="VVF385"/>
      <c r="VVG385"/>
      <c r="VVH385"/>
      <c r="VVI385"/>
      <c r="VVJ385"/>
      <c r="VVK385"/>
      <c r="VVL385"/>
      <c r="VVM385"/>
      <c r="VVN385"/>
      <c r="VVO385"/>
      <c r="VVP385"/>
      <c r="VVQ385"/>
      <c r="VVR385"/>
      <c r="VVS385"/>
      <c r="VVT385"/>
      <c r="VVU385"/>
      <c r="VVV385"/>
      <c r="VVW385"/>
      <c r="VVX385"/>
      <c r="VVY385"/>
      <c r="VVZ385"/>
      <c r="VWA385"/>
      <c r="VWB385"/>
      <c r="VWC385"/>
      <c r="VWD385"/>
      <c r="VWE385"/>
      <c r="VWF385"/>
      <c r="VWG385"/>
      <c r="VWH385"/>
      <c r="VWI385"/>
      <c r="VWJ385"/>
      <c r="VWK385"/>
      <c r="VWL385"/>
      <c r="VWM385"/>
      <c r="VWN385"/>
      <c r="VWO385"/>
      <c r="VWP385"/>
      <c r="VWQ385"/>
      <c r="VWR385"/>
      <c r="VWS385"/>
      <c r="VWT385"/>
      <c r="VWU385"/>
      <c r="VWV385"/>
      <c r="VWW385"/>
      <c r="VWX385"/>
      <c r="VWY385"/>
      <c r="VWZ385"/>
      <c r="VXA385"/>
      <c r="VXB385"/>
      <c r="VXC385"/>
      <c r="VXD385"/>
      <c r="VXE385"/>
      <c r="VXF385"/>
      <c r="VXG385"/>
      <c r="VXH385"/>
      <c r="VXI385"/>
      <c r="VXJ385"/>
      <c r="VXK385"/>
      <c r="VXL385"/>
      <c r="VXM385"/>
      <c r="VXN385"/>
      <c r="VXO385"/>
      <c r="VXP385"/>
      <c r="VXQ385"/>
      <c r="VXR385"/>
      <c r="VXS385"/>
      <c r="VXT385"/>
      <c r="VXU385"/>
      <c r="VXV385"/>
      <c r="VXW385"/>
      <c r="VXX385"/>
      <c r="VXY385"/>
      <c r="VXZ385"/>
      <c r="VYA385"/>
      <c r="VYB385"/>
      <c r="VYC385"/>
      <c r="VYD385"/>
      <c r="VYE385"/>
      <c r="VYF385"/>
      <c r="VYG385"/>
      <c r="VYH385"/>
      <c r="VYI385"/>
      <c r="VYJ385"/>
      <c r="VYK385"/>
      <c r="VYL385"/>
      <c r="VYM385"/>
      <c r="VYN385"/>
      <c r="VYO385"/>
      <c r="VYP385"/>
      <c r="VYQ385"/>
      <c r="VYR385"/>
      <c r="VYS385"/>
      <c r="VYT385"/>
      <c r="VYU385"/>
      <c r="VYV385"/>
      <c r="VYW385"/>
      <c r="VYX385"/>
      <c r="VYY385"/>
      <c r="VYZ385"/>
      <c r="VZA385"/>
      <c r="VZB385"/>
      <c r="VZC385"/>
      <c r="VZD385"/>
      <c r="VZE385"/>
      <c r="VZF385"/>
      <c r="VZG385"/>
      <c r="VZH385"/>
      <c r="VZI385"/>
      <c r="VZJ385"/>
      <c r="VZK385"/>
      <c r="VZL385"/>
      <c r="VZM385"/>
      <c r="VZN385"/>
      <c r="VZO385"/>
      <c r="VZP385"/>
      <c r="VZQ385"/>
      <c r="VZR385"/>
      <c r="VZS385"/>
      <c r="VZT385"/>
      <c r="VZU385"/>
      <c r="VZV385"/>
      <c r="VZW385"/>
      <c r="VZX385"/>
      <c r="VZY385"/>
      <c r="VZZ385"/>
      <c r="WAA385"/>
      <c r="WAB385"/>
      <c r="WAC385"/>
      <c r="WAD385"/>
      <c r="WAE385"/>
      <c r="WAF385"/>
      <c r="WAG385"/>
      <c r="WAH385"/>
      <c r="WAI385"/>
      <c r="WAJ385"/>
      <c r="WAK385"/>
      <c r="WAL385"/>
      <c r="WAM385"/>
      <c r="WAN385"/>
      <c r="WAO385"/>
      <c r="WAP385"/>
      <c r="WAQ385"/>
      <c r="WAR385"/>
      <c r="WAS385"/>
      <c r="WAT385"/>
      <c r="WAU385"/>
      <c r="WAV385"/>
      <c r="WAW385"/>
      <c r="WAX385"/>
      <c r="WAY385"/>
      <c r="WAZ385"/>
      <c r="WBA385"/>
      <c r="WBB385"/>
      <c r="WBC385"/>
      <c r="WBD385"/>
      <c r="WBE385"/>
      <c r="WBF385"/>
      <c r="WBG385"/>
      <c r="WBH385"/>
      <c r="WBI385"/>
      <c r="WBJ385"/>
      <c r="WBK385"/>
      <c r="WBL385"/>
      <c r="WBM385"/>
      <c r="WBN385"/>
      <c r="WBO385"/>
      <c r="WBP385"/>
      <c r="WBQ385"/>
      <c r="WBR385"/>
      <c r="WBS385"/>
      <c r="WBT385"/>
      <c r="WBU385"/>
      <c r="WBV385"/>
      <c r="WBW385"/>
      <c r="WBX385"/>
      <c r="WBY385"/>
      <c r="WBZ385"/>
      <c r="WCA385"/>
      <c r="WCB385"/>
      <c r="WCC385"/>
      <c r="WCD385"/>
      <c r="WCE385"/>
      <c r="WCF385"/>
      <c r="WCG385"/>
      <c r="WCH385"/>
      <c r="WCI385"/>
      <c r="WCJ385"/>
      <c r="WCK385"/>
      <c r="WCL385"/>
      <c r="WCM385"/>
      <c r="WCN385"/>
      <c r="WCO385"/>
      <c r="WCP385"/>
      <c r="WCQ385"/>
      <c r="WCR385"/>
      <c r="WCS385"/>
      <c r="WCT385"/>
      <c r="WCU385"/>
      <c r="WCV385"/>
      <c r="WCW385"/>
      <c r="WCX385"/>
      <c r="WCY385"/>
      <c r="WCZ385"/>
      <c r="WDA385"/>
      <c r="WDB385"/>
      <c r="WDC385"/>
      <c r="WDD385"/>
      <c r="WDE385"/>
      <c r="WDF385"/>
      <c r="WDG385"/>
      <c r="WDH385"/>
      <c r="WDI385"/>
      <c r="WDJ385"/>
      <c r="WDK385"/>
      <c r="WDL385"/>
      <c r="WDM385"/>
      <c r="WDN385"/>
      <c r="WDO385"/>
      <c r="WDP385"/>
      <c r="WDQ385"/>
      <c r="WDR385"/>
      <c r="WDS385"/>
      <c r="WDT385"/>
      <c r="WDU385"/>
      <c r="WDV385"/>
      <c r="WDW385"/>
      <c r="WDX385"/>
      <c r="WDY385"/>
      <c r="WDZ385"/>
      <c r="WEA385"/>
      <c r="WEB385"/>
      <c r="WEC385"/>
      <c r="WED385"/>
      <c r="WEE385"/>
      <c r="WEF385"/>
      <c r="WEG385"/>
      <c r="WEH385"/>
      <c r="WEI385"/>
      <c r="WEJ385"/>
      <c r="WEK385"/>
      <c r="WEL385"/>
      <c r="WEM385"/>
      <c r="WEN385"/>
      <c r="WEO385"/>
      <c r="WEP385"/>
      <c r="WEQ385"/>
      <c r="WER385"/>
      <c r="WES385"/>
      <c r="WET385"/>
      <c r="WEU385"/>
      <c r="WEV385"/>
      <c r="WEW385"/>
      <c r="WEX385"/>
      <c r="WEY385"/>
      <c r="WEZ385"/>
      <c r="WFA385"/>
      <c r="WFB385"/>
      <c r="WFC385"/>
      <c r="WFD385"/>
      <c r="WFE385"/>
      <c r="WFF385"/>
      <c r="WFG385"/>
      <c r="WFH385"/>
      <c r="WFI385"/>
      <c r="WFJ385"/>
      <c r="WFK385"/>
      <c r="WFL385"/>
      <c r="WFM385"/>
      <c r="WFN385"/>
      <c r="WFO385"/>
      <c r="WFP385"/>
      <c r="WFQ385"/>
      <c r="WFR385"/>
      <c r="WFS385"/>
      <c r="WFT385"/>
      <c r="WFU385"/>
      <c r="WFV385"/>
      <c r="WFW385"/>
      <c r="WFX385"/>
      <c r="WFY385"/>
      <c r="WFZ385"/>
      <c r="WGA385"/>
      <c r="WGB385"/>
      <c r="WGC385"/>
      <c r="WGD385"/>
      <c r="WGE385"/>
      <c r="WGF385"/>
      <c r="WGG385"/>
      <c r="WGH385"/>
      <c r="WGI385"/>
      <c r="WGJ385"/>
      <c r="WGK385"/>
      <c r="WGL385"/>
      <c r="WGM385"/>
      <c r="WGN385"/>
      <c r="WGO385"/>
      <c r="WGP385"/>
      <c r="WGQ385"/>
      <c r="WGR385"/>
      <c r="WGS385"/>
      <c r="WGT385"/>
      <c r="WGU385"/>
      <c r="WGV385"/>
      <c r="WGW385"/>
      <c r="WGX385"/>
      <c r="WGY385"/>
      <c r="WGZ385"/>
      <c r="WHA385"/>
      <c r="WHB385"/>
      <c r="WHC385"/>
      <c r="WHD385"/>
      <c r="WHE385"/>
      <c r="WHF385"/>
      <c r="WHG385"/>
      <c r="WHH385"/>
      <c r="WHI385"/>
      <c r="WHJ385"/>
      <c r="WHK385"/>
      <c r="WHL385"/>
      <c r="WHM385"/>
      <c r="WHN385"/>
      <c r="WHO385"/>
      <c r="WHP385"/>
      <c r="WHQ385"/>
      <c r="WHR385"/>
      <c r="WHS385"/>
      <c r="WHT385"/>
      <c r="WHU385"/>
      <c r="WHV385"/>
      <c r="WHW385"/>
      <c r="WHX385"/>
      <c r="WHY385"/>
      <c r="WHZ385"/>
      <c r="WIA385"/>
      <c r="WIB385"/>
      <c r="WIC385"/>
      <c r="WID385"/>
      <c r="WIE385"/>
      <c r="WIF385"/>
      <c r="WIG385"/>
      <c r="WIH385"/>
      <c r="WII385"/>
      <c r="WIJ385"/>
      <c r="WIK385"/>
      <c r="WIL385"/>
      <c r="WIM385"/>
      <c r="WIN385"/>
      <c r="WIO385"/>
      <c r="WIP385"/>
      <c r="WIQ385"/>
      <c r="WIR385"/>
      <c r="WIS385"/>
      <c r="WIT385"/>
      <c r="WIU385"/>
      <c r="WIV385"/>
      <c r="WIW385"/>
      <c r="WIX385"/>
      <c r="WIY385"/>
      <c r="WIZ385"/>
      <c r="WJA385"/>
      <c r="WJB385"/>
      <c r="WJC385"/>
      <c r="WJD385"/>
      <c r="WJE385"/>
      <c r="WJF385"/>
      <c r="WJG385"/>
      <c r="WJH385"/>
      <c r="WJI385"/>
      <c r="WJJ385"/>
      <c r="WJK385"/>
      <c r="WJL385"/>
      <c r="WJM385"/>
      <c r="WJN385"/>
      <c r="WJO385"/>
      <c r="WJP385"/>
      <c r="WJQ385"/>
      <c r="WJR385"/>
      <c r="WJS385"/>
      <c r="WJT385"/>
      <c r="WJU385"/>
      <c r="WJV385"/>
      <c r="WJW385"/>
      <c r="WJX385"/>
      <c r="WJY385"/>
      <c r="WJZ385"/>
      <c r="WKA385"/>
      <c r="WKB385"/>
      <c r="WKC385"/>
      <c r="WKD385"/>
      <c r="WKE385"/>
      <c r="WKF385"/>
      <c r="WKG385"/>
      <c r="WKH385"/>
      <c r="WKI385"/>
      <c r="WKJ385"/>
      <c r="WKK385"/>
      <c r="WKL385"/>
      <c r="WKM385"/>
      <c r="WKN385"/>
      <c r="WKO385"/>
      <c r="WKP385"/>
      <c r="WKQ385"/>
      <c r="WKR385"/>
      <c r="WKS385"/>
      <c r="WKT385"/>
      <c r="WKU385"/>
      <c r="WKV385"/>
      <c r="WKW385"/>
      <c r="WKX385"/>
      <c r="WKY385"/>
      <c r="WKZ385"/>
      <c r="WLA385"/>
      <c r="WLB385"/>
      <c r="WLC385"/>
      <c r="WLD385"/>
      <c r="WLE385"/>
      <c r="WLF385"/>
      <c r="WLG385"/>
      <c r="WLH385"/>
      <c r="WLI385"/>
      <c r="WLJ385"/>
      <c r="WLK385"/>
      <c r="WLL385"/>
      <c r="WLM385"/>
      <c r="WLN385"/>
      <c r="WLO385"/>
      <c r="WLP385"/>
      <c r="WLQ385"/>
      <c r="WLR385"/>
      <c r="WLS385"/>
      <c r="WLT385"/>
      <c r="WLU385"/>
      <c r="WLV385"/>
      <c r="WLW385"/>
      <c r="WLX385"/>
      <c r="WLY385"/>
      <c r="WLZ385"/>
      <c r="WMA385"/>
      <c r="WMB385"/>
      <c r="WMC385"/>
      <c r="WMD385"/>
      <c r="WME385"/>
      <c r="WMF385"/>
      <c r="WMG385"/>
      <c r="WMH385"/>
      <c r="WMI385"/>
      <c r="WMJ385"/>
      <c r="WMK385"/>
      <c r="WML385"/>
      <c r="WMM385"/>
      <c r="WMN385"/>
      <c r="WMO385"/>
      <c r="WMP385"/>
      <c r="WMQ385"/>
      <c r="WMR385"/>
      <c r="WMS385"/>
      <c r="WMT385"/>
      <c r="WMU385"/>
      <c r="WMV385"/>
      <c r="WMW385"/>
      <c r="WMX385"/>
      <c r="WMY385"/>
      <c r="WMZ385"/>
      <c r="WNA385"/>
      <c r="WNB385"/>
      <c r="WNC385"/>
      <c r="WND385"/>
      <c r="WNE385"/>
      <c r="WNF385"/>
      <c r="WNG385"/>
      <c r="WNH385"/>
      <c r="WNI385"/>
      <c r="WNJ385"/>
      <c r="WNK385"/>
      <c r="WNL385"/>
      <c r="WNM385"/>
      <c r="WNN385"/>
      <c r="WNO385"/>
      <c r="WNP385"/>
      <c r="WNQ385"/>
      <c r="WNR385"/>
      <c r="WNS385"/>
      <c r="WNT385"/>
      <c r="WNU385"/>
      <c r="WNV385"/>
      <c r="WNW385"/>
      <c r="WNX385"/>
      <c r="WNY385"/>
      <c r="WNZ385"/>
      <c r="WOA385"/>
      <c r="WOB385"/>
      <c r="WOC385"/>
      <c r="WOD385"/>
      <c r="WOE385"/>
      <c r="WOF385"/>
      <c r="WOG385"/>
      <c r="WOH385"/>
      <c r="WOI385"/>
      <c r="WOJ385"/>
      <c r="WOK385"/>
      <c r="WOL385"/>
      <c r="WOM385"/>
      <c r="WON385"/>
      <c r="WOO385"/>
      <c r="WOP385"/>
      <c r="WOQ385"/>
      <c r="WOR385"/>
      <c r="WOS385"/>
      <c r="WOT385"/>
      <c r="WOU385"/>
      <c r="WOV385"/>
      <c r="WOW385"/>
      <c r="WOX385"/>
      <c r="WOY385"/>
      <c r="WOZ385"/>
      <c r="WPA385"/>
      <c r="WPB385"/>
      <c r="WPC385"/>
      <c r="WPD385"/>
      <c r="WPE385"/>
      <c r="WPF385"/>
      <c r="WPG385"/>
      <c r="WPH385"/>
      <c r="WPI385"/>
      <c r="WPJ385"/>
      <c r="WPK385"/>
      <c r="WPL385"/>
      <c r="WPM385"/>
      <c r="WPN385"/>
      <c r="WPO385"/>
      <c r="WPP385"/>
      <c r="WPQ385"/>
      <c r="WPR385"/>
      <c r="WPS385"/>
      <c r="WPT385"/>
      <c r="WPU385"/>
      <c r="WPV385"/>
      <c r="WPW385"/>
      <c r="WPX385"/>
      <c r="WPY385"/>
      <c r="WPZ385"/>
      <c r="WQA385"/>
      <c r="WQB385"/>
      <c r="WQC385"/>
      <c r="WQD385"/>
      <c r="WQE385"/>
      <c r="WQF385"/>
      <c r="WQG385"/>
      <c r="WQH385"/>
      <c r="WQI385"/>
      <c r="WQJ385"/>
      <c r="WQK385"/>
      <c r="WQL385"/>
      <c r="WQM385"/>
      <c r="WQN385"/>
      <c r="WQO385"/>
      <c r="WQP385"/>
      <c r="WQQ385"/>
      <c r="WQR385"/>
      <c r="WQS385"/>
      <c r="WQT385"/>
      <c r="WQU385"/>
      <c r="WQV385"/>
      <c r="WQW385"/>
      <c r="WQX385"/>
      <c r="WQY385"/>
      <c r="WQZ385"/>
      <c r="WRA385"/>
      <c r="WRB385"/>
      <c r="WRC385"/>
      <c r="WRD385"/>
      <c r="WRE385"/>
      <c r="WRF385"/>
      <c r="WRG385"/>
      <c r="WRH385"/>
      <c r="WRI385"/>
      <c r="WRJ385"/>
      <c r="WRK385"/>
      <c r="WRL385"/>
      <c r="WRM385"/>
      <c r="WRN385"/>
      <c r="WRO385"/>
      <c r="WRP385"/>
      <c r="WRQ385"/>
      <c r="WRR385"/>
      <c r="WRS385"/>
      <c r="WRT385"/>
      <c r="WRU385"/>
      <c r="WRV385"/>
      <c r="WRW385"/>
      <c r="WRX385"/>
      <c r="WRY385"/>
      <c r="WRZ385"/>
      <c r="WSA385"/>
      <c r="WSB385"/>
      <c r="WSC385"/>
      <c r="WSD385"/>
      <c r="WSE385"/>
      <c r="WSF385"/>
      <c r="WSG385"/>
      <c r="WSH385"/>
      <c r="WSI385"/>
      <c r="WSJ385"/>
      <c r="WSK385"/>
      <c r="WSL385"/>
      <c r="WSM385"/>
      <c r="WSN385"/>
      <c r="WSO385"/>
      <c r="WSP385"/>
      <c r="WSQ385"/>
      <c r="WSR385"/>
      <c r="WSS385"/>
      <c r="WST385"/>
      <c r="WSU385"/>
      <c r="WSV385"/>
      <c r="WSW385"/>
      <c r="WSX385"/>
      <c r="WSY385"/>
      <c r="WSZ385"/>
      <c r="WTA385"/>
      <c r="WTB385"/>
      <c r="WTC385"/>
      <c r="WTD385"/>
      <c r="WTE385"/>
      <c r="WTF385"/>
      <c r="WTG385"/>
      <c r="WTH385"/>
      <c r="WTI385"/>
      <c r="WTJ385"/>
      <c r="WTK385"/>
      <c r="WTL385"/>
      <c r="WTM385"/>
      <c r="WTN385"/>
      <c r="WTO385"/>
      <c r="WTP385"/>
      <c r="WTQ385"/>
      <c r="WTR385"/>
      <c r="WTS385"/>
      <c r="WTT385"/>
      <c r="WTU385"/>
      <c r="WTV385"/>
      <c r="WTW385"/>
      <c r="WTX385"/>
      <c r="WTY385"/>
      <c r="WTZ385"/>
      <c r="WUA385"/>
      <c r="WUB385"/>
      <c r="WUC385"/>
      <c r="WUD385"/>
      <c r="WUE385"/>
      <c r="WUF385"/>
      <c r="WUG385"/>
      <c r="WUH385"/>
      <c r="WUI385"/>
      <c r="WUJ385"/>
      <c r="WUK385"/>
      <c r="WUL385"/>
      <c r="WUM385"/>
      <c r="WUN385"/>
      <c r="WUO385"/>
      <c r="WUP385"/>
      <c r="WUQ385"/>
      <c r="WUR385"/>
      <c r="WUS385"/>
      <c r="WUT385"/>
      <c r="WUU385"/>
      <c r="WUV385"/>
      <c r="WUW385"/>
      <c r="WUX385"/>
      <c r="WUY385"/>
      <c r="WUZ385"/>
      <c r="WVA385"/>
      <c r="WVB385"/>
      <c r="WVC385"/>
      <c r="WVD385"/>
      <c r="WVE385"/>
      <c r="WVF385"/>
      <c r="WVG385"/>
      <c r="WVH385"/>
      <c r="WVI385"/>
      <c r="WVJ385"/>
      <c r="WVK385"/>
      <c r="WVL385"/>
      <c r="WVM385"/>
      <c r="WVN385"/>
      <c r="WVO385"/>
      <c r="WVP385"/>
      <c r="WVQ385"/>
      <c r="WVR385"/>
      <c r="WVS385"/>
      <c r="WVT385"/>
      <c r="WVU385"/>
      <c r="WVV385"/>
      <c r="WVW385"/>
      <c r="WVX385"/>
      <c r="WVY385"/>
      <c r="WVZ385"/>
      <c r="WWA385"/>
      <c r="WWB385"/>
      <c r="WWC385"/>
      <c r="WWD385"/>
      <c r="WWE385"/>
      <c r="WWF385"/>
      <c r="WWG385"/>
      <c r="WWH385"/>
      <c r="WWI385"/>
      <c r="WWJ385"/>
      <c r="WWK385"/>
      <c r="WWL385"/>
      <c r="WWM385"/>
      <c r="WWN385"/>
      <c r="WWO385"/>
      <c r="WWP385"/>
      <c r="WWQ385"/>
      <c r="WWR385"/>
      <c r="WWS385"/>
      <c r="WWT385"/>
      <c r="WWU385"/>
      <c r="WWV385"/>
      <c r="WWW385"/>
      <c r="WWX385"/>
      <c r="WWY385"/>
      <c r="WWZ385"/>
      <c r="WXA385"/>
      <c r="WXB385"/>
      <c r="WXC385"/>
      <c r="WXD385"/>
      <c r="WXE385"/>
      <c r="WXF385"/>
      <c r="WXG385"/>
      <c r="WXH385"/>
      <c r="WXI385"/>
      <c r="WXJ385"/>
      <c r="WXK385"/>
      <c r="WXL385"/>
      <c r="WXM385"/>
      <c r="WXN385"/>
      <c r="WXO385"/>
      <c r="WXP385"/>
      <c r="WXQ385"/>
      <c r="WXR385"/>
      <c r="WXS385"/>
      <c r="WXT385"/>
      <c r="WXU385"/>
      <c r="WXV385"/>
      <c r="WXW385"/>
      <c r="WXX385"/>
      <c r="WXY385"/>
      <c r="WXZ385"/>
      <c r="WYA385"/>
      <c r="WYB385"/>
      <c r="WYC385"/>
      <c r="WYD385"/>
      <c r="WYE385"/>
      <c r="WYF385"/>
      <c r="WYG385"/>
      <c r="WYH385"/>
      <c r="WYI385"/>
      <c r="WYJ385"/>
      <c r="WYK385"/>
      <c r="WYL385"/>
      <c r="WYM385"/>
      <c r="WYN385"/>
      <c r="WYO385"/>
      <c r="WYP385"/>
      <c r="WYQ385"/>
      <c r="WYR385"/>
      <c r="WYS385"/>
      <c r="WYT385"/>
      <c r="WYU385"/>
      <c r="WYV385"/>
      <c r="WYW385"/>
      <c r="WYX385"/>
      <c r="WYY385"/>
      <c r="WYZ385"/>
      <c r="WZA385"/>
      <c r="WZB385"/>
      <c r="WZC385"/>
      <c r="WZD385"/>
      <c r="WZE385"/>
      <c r="WZF385"/>
      <c r="WZG385"/>
      <c r="WZH385"/>
      <c r="WZI385"/>
      <c r="WZJ385"/>
      <c r="WZK385"/>
      <c r="WZL385"/>
      <c r="WZM385"/>
      <c r="WZN385"/>
      <c r="WZO385"/>
      <c r="WZP385"/>
      <c r="WZQ385"/>
      <c r="WZR385"/>
      <c r="WZS385"/>
      <c r="WZT385"/>
      <c r="WZU385"/>
      <c r="WZV385"/>
      <c r="WZW385"/>
      <c r="WZX385"/>
      <c r="WZY385"/>
      <c r="WZZ385"/>
      <c r="XAA385"/>
      <c r="XAB385"/>
      <c r="XAC385"/>
      <c r="XAD385"/>
      <c r="XAE385"/>
      <c r="XAF385"/>
      <c r="XAG385"/>
      <c r="XAH385"/>
      <c r="XAI385"/>
      <c r="XAJ385"/>
      <c r="XAK385"/>
      <c r="XAL385"/>
      <c r="XAM385"/>
      <c r="XAN385"/>
      <c r="XAO385"/>
      <c r="XAP385"/>
      <c r="XAQ385"/>
      <c r="XAR385"/>
      <c r="XAS385"/>
      <c r="XAT385"/>
      <c r="XAU385"/>
      <c r="XAV385"/>
      <c r="XAW385"/>
      <c r="XAX385"/>
      <c r="XAY385"/>
      <c r="XAZ385"/>
      <c r="XBA385"/>
      <c r="XBB385"/>
      <c r="XBC385"/>
      <c r="XBD385"/>
      <c r="XBE385"/>
      <c r="XBF385"/>
      <c r="XBG385"/>
      <c r="XBH385"/>
      <c r="XBI385"/>
      <c r="XBJ385"/>
      <c r="XBK385"/>
      <c r="XBL385"/>
      <c r="XBM385"/>
      <c r="XBN385"/>
      <c r="XBO385"/>
      <c r="XBP385"/>
      <c r="XBQ385"/>
      <c r="XBR385"/>
      <c r="XBS385"/>
      <c r="XBT385"/>
      <c r="XBU385"/>
      <c r="XBV385"/>
      <c r="XBW385"/>
      <c r="XBX385"/>
      <c r="XBY385"/>
      <c r="XBZ385"/>
      <c r="XCA385"/>
      <c r="XCB385"/>
      <c r="XCC385"/>
      <c r="XCD385"/>
      <c r="XCE385"/>
      <c r="XCF385"/>
      <c r="XCG385"/>
      <c r="XCH385"/>
      <c r="XCI385"/>
      <c r="XCJ385"/>
      <c r="XCK385"/>
      <c r="XCL385"/>
      <c r="XCM385"/>
      <c r="XCN385"/>
      <c r="XCO385"/>
      <c r="XCP385"/>
      <c r="XCQ385"/>
      <c r="XCR385"/>
      <c r="XCS385"/>
      <c r="XCT385"/>
      <c r="XCU385"/>
      <c r="XCV385"/>
      <c r="XCW385"/>
      <c r="XCX385"/>
      <c r="XCY385"/>
      <c r="XCZ385"/>
      <c r="XDA385"/>
      <c r="XDB385"/>
      <c r="XDC385"/>
      <c r="XDD385"/>
      <c r="XDE385"/>
      <c r="XDF385"/>
      <c r="XDG385"/>
      <c r="XDH385"/>
      <c r="XDI385"/>
      <c r="XDJ385"/>
      <c r="XDK385"/>
      <c r="XDL385"/>
      <c r="XDM385"/>
      <c r="XDN385"/>
      <c r="XDO385"/>
      <c r="XDP385"/>
      <c r="XDQ385"/>
      <c r="XDR385"/>
      <c r="XDS385"/>
      <c r="XDT385"/>
      <c r="XDU385"/>
      <c r="XDV385"/>
      <c r="XDW385"/>
      <c r="XDX385"/>
      <c r="XDY385"/>
      <c r="XDZ385"/>
      <c r="XEA385"/>
      <c r="XEB385"/>
      <c r="XEC385"/>
      <c r="XED385"/>
      <c r="XEE385"/>
      <c r="XEF385"/>
      <c r="XEG385"/>
      <c r="XEH385"/>
      <c r="XEI385"/>
      <c r="XEJ385"/>
      <c r="XEK385"/>
      <c r="XEL385"/>
      <c r="XEM385"/>
      <c r="XEN385"/>
      <c r="XEO385"/>
      <c r="XEP385"/>
    </row>
    <row r="386" spans="1:16370" s="51" customFormat="1" ht="19.5" customHeight="1">
      <c r="A386" s="796"/>
      <c r="B386" s="964"/>
      <c r="C386" s="964"/>
      <c r="D386" s="62">
        <v>2021</v>
      </c>
      <c r="E386" s="63">
        <f>F386+G386+H386+I386+J386</f>
        <v>4.5</v>
      </c>
      <c r="F386" s="63">
        <v>4.5</v>
      </c>
      <c r="G386" s="63">
        <v>0</v>
      </c>
      <c r="H386" s="63">
        <v>0</v>
      </c>
      <c r="I386" s="63">
        <v>0</v>
      </c>
      <c r="J386" s="63">
        <v>0</v>
      </c>
      <c r="K386" s="63">
        <v>0</v>
      </c>
      <c r="L386" s="474"/>
      <c r="M386" s="327"/>
      <c r="N386" s="476"/>
      <c r="O386" s="399"/>
      <c r="P386" s="964"/>
      <c r="Q386" s="537"/>
      <c r="R386" s="333"/>
      <c r="S386" s="333"/>
      <c r="T386" s="333"/>
      <c r="U386" s="333"/>
      <c r="V386" s="333"/>
      <c r="W386" s="333"/>
      <c r="X386" s="333"/>
      <c r="Y386" s="333"/>
      <c r="Z386" s="333"/>
      <c r="AA386" s="333"/>
      <c r="AB386" s="333"/>
      <c r="AC386" s="333"/>
      <c r="AD386" s="333"/>
      <c r="AE386" s="333"/>
      <c r="AF386" s="333"/>
      <c r="AG386" s="333"/>
      <c r="AH386" s="333"/>
      <c r="AI386" s="333"/>
      <c r="AJ386" s="333"/>
      <c r="AK386" s="333"/>
      <c r="AL386" s="333"/>
      <c r="AM386" s="333"/>
      <c r="AN386" s="333"/>
      <c r="AO386" s="333"/>
      <c r="AP386" s="333"/>
      <c r="AQ386" s="333"/>
      <c r="AR386" s="333"/>
      <c r="AS386" s="333"/>
      <c r="AT386" s="333"/>
      <c r="AU386" s="333"/>
      <c r="AV386" s="333"/>
      <c r="AW386" s="333"/>
      <c r="AX386" s="333"/>
      <c r="AY386" s="333"/>
      <c r="AZ386" s="333"/>
      <c r="BA386" s="333"/>
      <c r="BB386" s="333"/>
      <c r="BC386" s="333"/>
      <c r="BD386" s="333"/>
      <c r="BE386" s="333"/>
      <c r="BF386" s="68"/>
      <c r="BG386" s="53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  <c r="AMK386"/>
      <c r="AML386"/>
      <c r="AMM386"/>
      <c r="AMN386"/>
      <c r="AMO386"/>
      <c r="AMP386"/>
      <c r="AMQ386"/>
      <c r="AMR386"/>
      <c r="AMS386"/>
      <c r="AMT386"/>
      <c r="AMU386"/>
      <c r="AMV386"/>
      <c r="AMW386"/>
      <c r="AMX386"/>
      <c r="AMY386"/>
      <c r="AMZ386"/>
      <c r="ANA386"/>
      <c r="ANB386"/>
      <c r="ANC386"/>
      <c r="AND386"/>
      <c r="ANE386"/>
      <c r="ANF386"/>
      <c r="ANG386"/>
      <c r="ANH386"/>
      <c r="ANI386"/>
      <c r="ANJ386"/>
      <c r="ANK386"/>
      <c r="ANL386"/>
      <c r="ANM386"/>
      <c r="ANN386"/>
      <c r="ANO386"/>
      <c r="ANP386"/>
      <c r="ANQ386"/>
      <c r="ANR386"/>
      <c r="ANS386"/>
      <c r="ANT386"/>
      <c r="ANU386"/>
      <c r="ANV386"/>
      <c r="ANW386"/>
      <c r="ANX386"/>
      <c r="ANY386"/>
      <c r="ANZ386"/>
      <c r="AOA386"/>
      <c r="AOB386"/>
      <c r="AOC386"/>
      <c r="AOD386"/>
      <c r="AOE386"/>
      <c r="AOF386"/>
      <c r="AOG386"/>
      <c r="AOH386"/>
      <c r="AOI386"/>
      <c r="AOJ386"/>
      <c r="AOK386"/>
      <c r="AOL386"/>
      <c r="AOM386"/>
      <c r="AON386"/>
      <c r="AOO386"/>
      <c r="AOP386"/>
      <c r="AOQ386"/>
      <c r="AOR386"/>
      <c r="AOS386"/>
      <c r="AOT386"/>
      <c r="AOU386"/>
      <c r="AOV386"/>
      <c r="AOW386"/>
      <c r="AOX386"/>
      <c r="AOY386"/>
      <c r="AOZ386"/>
      <c r="APA386"/>
      <c r="APB386"/>
      <c r="APC386"/>
      <c r="APD386"/>
      <c r="APE386"/>
      <c r="APF386"/>
      <c r="APG386"/>
      <c r="APH386"/>
      <c r="API386"/>
      <c r="APJ386"/>
      <c r="APK386"/>
      <c r="APL386"/>
      <c r="APM386"/>
      <c r="APN386"/>
      <c r="APO386"/>
      <c r="APP386"/>
      <c r="APQ386"/>
      <c r="APR386"/>
      <c r="APS386"/>
      <c r="APT386"/>
      <c r="APU386"/>
      <c r="APV386"/>
      <c r="APW386"/>
      <c r="APX386"/>
      <c r="APY386"/>
      <c r="APZ386"/>
      <c r="AQA386"/>
      <c r="AQB386"/>
      <c r="AQC386"/>
      <c r="AQD386"/>
      <c r="AQE386"/>
      <c r="AQF386"/>
      <c r="AQG386"/>
      <c r="AQH386"/>
      <c r="AQI386"/>
      <c r="AQJ386"/>
      <c r="AQK386"/>
      <c r="AQL386"/>
      <c r="AQM386"/>
      <c r="AQN386"/>
      <c r="AQO386"/>
      <c r="AQP386"/>
      <c r="AQQ386"/>
      <c r="AQR386"/>
      <c r="AQS386"/>
      <c r="AQT386"/>
      <c r="AQU386"/>
      <c r="AQV386"/>
      <c r="AQW386"/>
      <c r="AQX386"/>
      <c r="AQY386"/>
      <c r="AQZ386"/>
      <c r="ARA386"/>
      <c r="ARB386"/>
      <c r="ARC386"/>
      <c r="ARD386"/>
      <c r="ARE386"/>
      <c r="ARF386"/>
      <c r="ARG386"/>
      <c r="ARH386"/>
      <c r="ARI386"/>
      <c r="ARJ386"/>
      <c r="ARK386"/>
      <c r="ARL386"/>
      <c r="ARM386"/>
      <c r="ARN386"/>
      <c r="ARO386"/>
      <c r="ARP386"/>
      <c r="ARQ386"/>
      <c r="ARR386"/>
      <c r="ARS386"/>
      <c r="ART386"/>
      <c r="ARU386"/>
      <c r="ARV386"/>
      <c r="ARW386"/>
      <c r="ARX386"/>
      <c r="ARY386"/>
      <c r="ARZ386"/>
      <c r="ASA386"/>
      <c r="ASB386"/>
      <c r="ASC386"/>
      <c r="ASD386"/>
      <c r="ASE386"/>
      <c r="ASF386"/>
      <c r="ASG386"/>
      <c r="ASH386"/>
      <c r="ASI386"/>
      <c r="ASJ386"/>
      <c r="ASK386"/>
      <c r="ASL386"/>
      <c r="ASM386"/>
      <c r="ASN386"/>
      <c r="ASO386"/>
      <c r="ASP386"/>
      <c r="ASQ386"/>
      <c r="ASR386"/>
      <c r="ASS386"/>
      <c r="AST386"/>
      <c r="ASU386"/>
      <c r="ASV386"/>
      <c r="ASW386"/>
      <c r="ASX386"/>
      <c r="ASY386"/>
      <c r="ASZ386"/>
      <c r="ATA386"/>
      <c r="ATB386"/>
      <c r="ATC386"/>
      <c r="ATD386"/>
      <c r="ATE386"/>
      <c r="ATF386"/>
      <c r="ATG386"/>
      <c r="ATH386"/>
      <c r="ATI386"/>
      <c r="ATJ386"/>
      <c r="ATK386"/>
      <c r="ATL386"/>
      <c r="ATM386"/>
      <c r="ATN386"/>
      <c r="ATO386"/>
      <c r="ATP386"/>
      <c r="ATQ386"/>
      <c r="ATR386"/>
      <c r="ATS386"/>
      <c r="ATT386"/>
      <c r="ATU386"/>
      <c r="ATV386"/>
      <c r="ATW386"/>
      <c r="ATX386"/>
      <c r="ATY386"/>
      <c r="ATZ386"/>
      <c r="AUA386"/>
      <c r="AUB386"/>
      <c r="AUC386"/>
      <c r="AUD386"/>
      <c r="AUE386"/>
      <c r="AUF386"/>
      <c r="AUG386"/>
      <c r="AUH386"/>
      <c r="AUI386"/>
      <c r="AUJ386"/>
      <c r="AUK386"/>
      <c r="AUL386"/>
      <c r="AUM386"/>
      <c r="AUN386"/>
      <c r="AUO386"/>
      <c r="AUP386"/>
      <c r="AUQ386"/>
      <c r="AUR386"/>
      <c r="AUS386"/>
      <c r="AUT386"/>
      <c r="AUU386"/>
      <c r="AUV386"/>
      <c r="AUW386"/>
      <c r="AUX386"/>
      <c r="AUY386"/>
      <c r="AUZ386"/>
      <c r="AVA386"/>
      <c r="AVB386"/>
      <c r="AVC386"/>
      <c r="AVD386"/>
      <c r="AVE386"/>
      <c r="AVF386"/>
      <c r="AVG386"/>
      <c r="AVH386"/>
      <c r="AVI386"/>
      <c r="AVJ386"/>
      <c r="AVK386"/>
      <c r="AVL386"/>
      <c r="AVM386"/>
      <c r="AVN386"/>
      <c r="AVO386"/>
      <c r="AVP386"/>
      <c r="AVQ386"/>
      <c r="AVR386"/>
      <c r="AVS386"/>
      <c r="AVT386"/>
      <c r="AVU386"/>
      <c r="AVV386"/>
      <c r="AVW386"/>
      <c r="AVX386"/>
      <c r="AVY386"/>
      <c r="AVZ386"/>
      <c r="AWA386"/>
      <c r="AWB386"/>
      <c r="AWC386"/>
      <c r="AWD386"/>
      <c r="AWE386"/>
      <c r="AWF386"/>
      <c r="AWG386"/>
      <c r="AWH386"/>
      <c r="AWI386"/>
      <c r="AWJ386"/>
      <c r="AWK386"/>
      <c r="AWL386"/>
      <c r="AWM386"/>
      <c r="AWN386"/>
      <c r="AWO386"/>
      <c r="AWP386"/>
      <c r="AWQ386"/>
      <c r="AWR386"/>
      <c r="AWS386"/>
      <c r="AWT386"/>
      <c r="AWU386"/>
      <c r="AWV386"/>
      <c r="AWW386"/>
      <c r="AWX386"/>
      <c r="AWY386"/>
      <c r="AWZ386"/>
      <c r="AXA386"/>
      <c r="AXB386"/>
      <c r="AXC386"/>
      <c r="AXD386"/>
      <c r="AXE386"/>
      <c r="AXF386"/>
      <c r="AXG386"/>
      <c r="AXH386"/>
      <c r="AXI386"/>
      <c r="AXJ386"/>
      <c r="AXK386"/>
      <c r="AXL386"/>
      <c r="AXM386"/>
      <c r="AXN386"/>
      <c r="AXO386"/>
      <c r="AXP386"/>
      <c r="AXQ386"/>
      <c r="AXR386"/>
      <c r="AXS386"/>
      <c r="AXT386"/>
      <c r="AXU386"/>
      <c r="AXV386"/>
      <c r="AXW386"/>
      <c r="AXX386"/>
      <c r="AXY386"/>
      <c r="AXZ386"/>
      <c r="AYA386"/>
      <c r="AYB386"/>
      <c r="AYC386"/>
      <c r="AYD386"/>
      <c r="AYE386"/>
      <c r="AYF386"/>
      <c r="AYG386"/>
      <c r="AYH386"/>
      <c r="AYI386"/>
      <c r="AYJ386"/>
      <c r="AYK386"/>
      <c r="AYL386"/>
      <c r="AYM386"/>
      <c r="AYN386"/>
      <c r="AYO386"/>
      <c r="AYP386"/>
      <c r="AYQ386"/>
      <c r="AYR386"/>
      <c r="AYS386"/>
      <c r="AYT386"/>
      <c r="AYU386"/>
      <c r="AYV386"/>
      <c r="AYW386"/>
      <c r="AYX386"/>
      <c r="AYY386"/>
      <c r="AYZ386"/>
      <c r="AZA386"/>
      <c r="AZB386"/>
      <c r="AZC386"/>
      <c r="AZD386"/>
      <c r="AZE386"/>
      <c r="AZF386"/>
      <c r="AZG386"/>
      <c r="AZH386"/>
      <c r="AZI386"/>
      <c r="AZJ386"/>
      <c r="AZK386"/>
      <c r="AZL386"/>
      <c r="AZM386"/>
      <c r="AZN386"/>
      <c r="AZO386"/>
      <c r="AZP386"/>
      <c r="AZQ386"/>
      <c r="AZR386"/>
      <c r="AZS386"/>
      <c r="AZT386"/>
      <c r="AZU386"/>
      <c r="AZV386"/>
      <c r="AZW386"/>
      <c r="AZX386"/>
      <c r="AZY386"/>
      <c r="AZZ386"/>
      <c r="BAA386"/>
      <c r="BAB386"/>
      <c r="BAC386"/>
      <c r="BAD386"/>
      <c r="BAE386"/>
      <c r="BAF386"/>
      <c r="BAG386"/>
      <c r="BAH386"/>
      <c r="BAI386"/>
      <c r="BAJ386"/>
      <c r="BAK386"/>
      <c r="BAL386"/>
      <c r="BAM386"/>
      <c r="BAN386"/>
      <c r="BAO386"/>
      <c r="BAP386"/>
      <c r="BAQ386"/>
      <c r="BAR386"/>
      <c r="BAS386"/>
      <c r="BAT386"/>
      <c r="BAU386"/>
      <c r="BAV386"/>
      <c r="BAW386"/>
      <c r="BAX386"/>
      <c r="BAY386"/>
      <c r="BAZ386"/>
      <c r="BBA386"/>
      <c r="BBB386"/>
      <c r="BBC386"/>
      <c r="BBD386"/>
      <c r="BBE386"/>
      <c r="BBF386"/>
      <c r="BBG386"/>
      <c r="BBH386"/>
      <c r="BBI386"/>
      <c r="BBJ386"/>
      <c r="BBK386"/>
      <c r="BBL386"/>
      <c r="BBM386"/>
      <c r="BBN386"/>
      <c r="BBO386"/>
      <c r="BBP386"/>
      <c r="BBQ386"/>
      <c r="BBR386"/>
      <c r="BBS386"/>
      <c r="BBT386"/>
      <c r="BBU386"/>
      <c r="BBV386"/>
      <c r="BBW386"/>
      <c r="BBX386"/>
      <c r="BBY386"/>
      <c r="BBZ386"/>
      <c r="BCA386"/>
      <c r="BCB386"/>
      <c r="BCC386"/>
      <c r="BCD386"/>
      <c r="BCE386"/>
      <c r="BCF386"/>
      <c r="BCG386"/>
      <c r="BCH386"/>
      <c r="BCI386"/>
      <c r="BCJ386"/>
      <c r="BCK386"/>
      <c r="BCL386"/>
      <c r="BCM386"/>
      <c r="BCN386"/>
      <c r="BCO386"/>
      <c r="BCP386"/>
      <c r="BCQ386"/>
      <c r="BCR386"/>
      <c r="BCS386"/>
      <c r="BCT386"/>
      <c r="BCU386"/>
      <c r="BCV386"/>
      <c r="BCW386"/>
      <c r="BCX386"/>
      <c r="BCY386"/>
      <c r="BCZ386"/>
      <c r="BDA386"/>
      <c r="BDB386"/>
      <c r="BDC386"/>
      <c r="BDD386"/>
      <c r="BDE386"/>
      <c r="BDF386"/>
      <c r="BDG386"/>
      <c r="BDH386"/>
      <c r="BDI386"/>
      <c r="BDJ386"/>
      <c r="BDK386"/>
      <c r="BDL386"/>
      <c r="BDM386"/>
      <c r="BDN386"/>
      <c r="BDO386"/>
      <c r="BDP386"/>
      <c r="BDQ386"/>
      <c r="BDR386"/>
      <c r="BDS386"/>
      <c r="BDT386"/>
      <c r="BDU386"/>
      <c r="BDV386"/>
      <c r="BDW386"/>
      <c r="BDX386"/>
      <c r="BDY386"/>
      <c r="BDZ386"/>
      <c r="BEA386"/>
      <c r="BEB386"/>
      <c r="BEC386"/>
      <c r="BED386"/>
      <c r="BEE386"/>
      <c r="BEF386"/>
      <c r="BEG386"/>
      <c r="BEH386"/>
      <c r="BEI386"/>
      <c r="BEJ386"/>
      <c r="BEK386"/>
      <c r="BEL386"/>
      <c r="BEM386"/>
      <c r="BEN386"/>
      <c r="BEO386"/>
      <c r="BEP386"/>
      <c r="BEQ386"/>
      <c r="BER386"/>
      <c r="BES386"/>
      <c r="BET386"/>
      <c r="BEU386"/>
      <c r="BEV386"/>
      <c r="BEW386"/>
      <c r="BEX386"/>
      <c r="BEY386"/>
      <c r="BEZ386"/>
      <c r="BFA386"/>
      <c r="BFB386"/>
      <c r="BFC386"/>
      <c r="BFD386"/>
      <c r="BFE386"/>
      <c r="BFF386"/>
      <c r="BFG386"/>
      <c r="BFH386"/>
      <c r="BFI386"/>
      <c r="BFJ386"/>
      <c r="BFK386"/>
      <c r="BFL386"/>
      <c r="BFM386"/>
      <c r="BFN386"/>
      <c r="BFO386"/>
      <c r="BFP386"/>
      <c r="BFQ386"/>
      <c r="BFR386"/>
      <c r="BFS386"/>
      <c r="BFT386"/>
      <c r="BFU386"/>
      <c r="BFV386"/>
      <c r="BFW386"/>
      <c r="BFX386"/>
      <c r="BFY386"/>
      <c r="BFZ386"/>
      <c r="BGA386"/>
      <c r="BGB386"/>
      <c r="BGC386"/>
      <c r="BGD386"/>
      <c r="BGE386"/>
      <c r="BGF386"/>
      <c r="BGG386"/>
      <c r="BGH386"/>
      <c r="BGI386"/>
      <c r="BGJ386"/>
      <c r="BGK386"/>
      <c r="BGL386"/>
      <c r="BGM386"/>
      <c r="BGN386"/>
      <c r="BGO386"/>
      <c r="BGP386"/>
      <c r="BGQ386"/>
      <c r="BGR386"/>
      <c r="BGS386"/>
      <c r="BGT386"/>
      <c r="BGU386"/>
      <c r="BGV386"/>
      <c r="BGW386"/>
      <c r="BGX386"/>
      <c r="BGY386"/>
      <c r="BGZ386"/>
      <c r="BHA386"/>
      <c r="BHB386"/>
      <c r="BHC386"/>
      <c r="BHD386"/>
      <c r="BHE386"/>
      <c r="BHF386"/>
      <c r="BHG386"/>
      <c r="BHH386"/>
      <c r="BHI386"/>
      <c r="BHJ386"/>
      <c r="BHK386"/>
      <c r="BHL386"/>
      <c r="BHM386"/>
      <c r="BHN386"/>
      <c r="BHO386"/>
      <c r="BHP386"/>
      <c r="BHQ386"/>
      <c r="BHR386"/>
      <c r="BHS386"/>
      <c r="BHT386"/>
      <c r="BHU386"/>
      <c r="BHV386"/>
      <c r="BHW386"/>
      <c r="BHX386"/>
      <c r="BHY386"/>
      <c r="BHZ386"/>
      <c r="BIA386"/>
      <c r="BIB386"/>
      <c r="BIC386"/>
      <c r="BID386"/>
      <c r="BIE386"/>
      <c r="BIF386"/>
      <c r="BIG386"/>
      <c r="BIH386"/>
      <c r="BII386"/>
      <c r="BIJ386"/>
      <c r="BIK386"/>
      <c r="BIL386"/>
      <c r="BIM386"/>
      <c r="BIN386"/>
      <c r="BIO386"/>
      <c r="BIP386"/>
      <c r="BIQ386"/>
      <c r="BIR386"/>
      <c r="BIS386"/>
      <c r="BIT386"/>
      <c r="BIU386"/>
      <c r="BIV386"/>
      <c r="BIW386"/>
      <c r="BIX386"/>
      <c r="BIY386"/>
      <c r="BIZ386"/>
      <c r="BJA386"/>
      <c r="BJB386"/>
      <c r="BJC386"/>
      <c r="BJD386"/>
      <c r="BJE386"/>
      <c r="BJF386"/>
      <c r="BJG386"/>
      <c r="BJH386"/>
      <c r="BJI386"/>
      <c r="BJJ386"/>
      <c r="BJK386"/>
      <c r="BJL386"/>
      <c r="BJM386"/>
      <c r="BJN386"/>
      <c r="BJO386"/>
      <c r="BJP386"/>
      <c r="BJQ386"/>
      <c r="BJR386"/>
      <c r="BJS386"/>
      <c r="BJT386"/>
      <c r="BJU386"/>
      <c r="BJV386"/>
      <c r="BJW386"/>
      <c r="BJX386"/>
      <c r="BJY386"/>
      <c r="BJZ386"/>
      <c r="BKA386"/>
      <c r="BKB386"/>
      <c r="BKC386"/>
      <c r="BKD386"/>
      <c r="BKE386"/>
      <c r="BKF386"/>
      <c r="BKG386"/>
      <c r="BKH386"/>
      <c r="BKI386"/>
      <c r="BKJ386"/>
      <c r="BKK386"/>
      <c r="BKL386"/>
      <c r="BKM386"/>
      <c r="BKN386"/>
      <c r="BKO386"/>
      <c r="BKP386"/>
      <c r="BKQ386"/>
      <c r="BKR386"/>
      <c r="BKS386"/>
      <c r="BKT386"/>
      <c r="BKU386"/>
      <c r="BKV386"/>
      <c r="BKW386"/>
      <c r="BKX386"/>
      <c r="BKY386"/>
      <c r="BKZ386"/>
      <c r="BLA386"/>
      <c r="BLB386"/>
      <c r="BLC386"/>
      <c r="BLD386"/>
      <c r="BLE386"/>
      <c r="BLF386"/>
      <c r="BLG386"/>
      <c r="BLH386"/>
      <c r="BLI386"/>
      <c r="BLJ386"/>
      <c r="BLK386"/>
      <c r="BLL386"/>
      <c r="BLM386"/>
      <c r="BLN386"/>
      <c r="BLO386"/>
      <c r="BLP386"/>
      <c r="BLQ386"/>
      <c r="BLR386"/>
      <c r="BLS386"/>
      <c r="BLT386"/>
      <c r="BLU386"/>
      <c r="BLV386"/>
      <c r="BLW386"/>
      <c r="BLX386"/>
      <c r="BLY386"/>
      <c r="BLZ386"/>
      <c r="BMA386"/>
      <c r="BMB386"/>
      <c r="BMC386"/>
      <c r="BMD386"/>
      <c r="BME386"/>
      <c r="BMF386"/>
      <c r="BMG386"/>
      <c r="BMH386"/>
      <c r="BMI386"/>
      <c r="BMJ386"/>
      <c r="BMK386"/>
      <c r="BML386"/>
      <c r="BMM386"/>
      <c r="BMN386"/>
      <c r="BMO386"/>
      <c r="BMP386"/>
      <c r="BMQ386"/>
      <c r="BMR386"/>
      <c r="BMS386"/>
      <c r="BMT386"/>
      <c r="BMU386"/>
      <c r="BMV386"/>
      <c r="BMW386"/>
      <c r="BMX386"/>
      <c r="BMY386"/>
      <c r="BMZ386"/>
      <c r="BNA386"/>
      <c r="BNB386"/>
      <c r="BNC386"/>
      <c r="BND386"/>
      <c r="BNE386"/>
      <c r="BNF386"/>
      <c r="BNG386"/>
      <c r="BNH386"/>
      <c r="BNI386"/>
      <c r="BNJ386"/>
      <c r="BNK386"/>
      <c r="BNL386"/>
      <c r="BNM386"/>
      <c r="BNN386"/>
      <c r="BNO386"/>
      <c r="BNP386"/>
      <c r="BNQ386"/>
      <c r="BNR386"/>
      <c r="BNS386"/>
      <c r="BNT386"/>
      <c r="BNU386"/>
      <c r="BNV386"/>
      <c r="BNW386"/>
      <c r="BNX386"/>
      <c r="BNY386"/>
      <c r="BNZ386"/>
      <c r="BOA386"/>
      <c r="BOB386"/>
      <c r="BOC386"/>
      <c r="BOD386"/>
      <c r="BOE386"/>
      <c r="BOF386"/>
      <c r="BOG386"/>
      <c r="BOH386"/>
      <c r="BOI386"/>
      <c r="BOJ386"/>
      <c r="BOK386"/>
      <c r="BOL386"/>
      <c r="BOM386"/>
      <c r="BON386"/>
      <c r="BOO386"/>
      <c r="BOP386"/>
      <c r="BOQ386"/>
      <c r="BOR386"/>
      <c r="BOS386"/>
      <c r="BOT386"/>
      <c r="BOU386"/>
      <c r="BOV386"/>
      <c r="BOW386"/>
      <c r="BOX386"/>
      <c r="BOY386"/>
      <c r="BOZ386"/>
      <c r="BPA386"/>
      <c r="BPB386"/>
      <c r="BPC386"/>
      <c r="BPD386"/>
      <c r="BPE386"/>
      <c r="BPF386"/>
      <c r="BPG386"/>
      <c r="BPH386"/>
      <c r="BPI386"/>
      <c r="BPJ386"/>
      <c r="BPK386"/>
      <c r="BPL386"/>
      <c r="BPM386"/>
      <c r="BPN386"/>
      <c r="BPO386"/>
      <c r="BPP386"/>
      <c r="BPQ386"/>
      <c r="BPR386"/>
      <c r="BPS386"/>
      <c r="BPT386"/>
      <c r="BPU386"/>
      <c r="BPV386"/>
      <c r="BPW386"/>
      <c r="BPX386"/>
      <c r="BPY386"/>
      <c r="BPZ386"/>
      <c r="BQA386"/>
      <c r="BQB386"/>
      <c r="BQC386"/>
      <c r="BQD386"/>
      <c r="BQE386"/>
      <c r="BQF386"/>
      <c r="BQG386"/>
      <c r="BQH386"/>
      <c r="BQI386"/>
      <c r="BQJ386"/>
      <c r="BQK386"/>
      <c r="BQL386"/>
      <c r="BQM386"/>
      <c r="BQN386"/>
      <c r="BQO386"/>
      <c r="BQP386"/>
      <c r="BQQ386"/>
      <c r="BQR386"/>
      <c r="BQS386"/>
      <c r="BQT386"/>
      <c r="BQU386"/>
      <c r="BQV386"/>
      <c r="BQW386"/>
      <c r="BQX386"/>
      <c r="BQY386"/>
      <c r="BQZ386"/>
      <c r="BRA386"/>
      <c r="BRB386"/>
      <c r="BRC386"/>
      <c r="BRD386"/>
      <c r="BRE386"/>
      <c r="BRF386"/>
      <c r="BRG386"/>
      <c r="BRH386"/>
      <c r="BRI386"/>
      <c r="BRJ386"/>
      <c r="BRK386"/>
      <c r="BRL386"/>
      <c r="BRM386"/>
      <c r="BRN386"/>
      <c r="BRO386"/>
      <c r="BRP386"/>
      <c r="BRQ386"/>
      <c r="BRR386"/>
      <c r="BRS386"/>
      <c r="BRT386"/>
      <c r="BRU386"/>
      <c r="BRV386"/>
      <c r="BRW386"/>
      <c r="BRX386"/>
      <c r="BRY386"/>
      <c r="BRZ386"/>
      <c r="BSA386"/>
      <c r="BSB386"/>
      <c r="BSC386"/>
      <c r="BSD386"/>
      <c r="BSE386"/>
      <c r="BSF386"/>
      <c r="BSG386"/>
      <c r="BSH386"/>
      <c r="BSI386"/>
      <c r="BSJ386"/>
      <c r="BSK386"/>
      <c r="BSL386"/>
      <c r="BSM386"/>
      <c r="BSN386"/>
      <c r="BSO386"/>
      <c r="BSP386"/>
      <c r="BSQ386"/>
      <c r="BSR386"/>
      <c r="BSS386"/>
      <c r="BST386"/>
      <c r="BSU386"/>
      <c r="BSV386"/>
      <c r="BSW386"/>
      <c r="BSX386"/>
      <c r="BSY386"/>
      <c r="BSZ386"/>
      <c r="BTA386"/>
      <c r="BTB386"/>
      <c r="BTC386"/>
      <c r="BTD386"/>
      <c r="BTE386"/>
      <c r="BTF386"/>
      <c r="BTG386"/>
      <c r="BTH386"/>
      <c r="BTI386"/>
      <c r="BTJ386"/>
      <c r="BTK386"/>
      <c r="BTL386"/>
      <c r="BTM386"/>
      <c r="BTN386"/>
      <c r="BTO386"/>
      <c r="BTP386"/>
      <c r="BTQ386"/>
      <c r="BTR386"/>
      <c r="BTS386"/>
      <c r="BTT386"/>
      <c r="BTU386"/>
      <c r="BTV386"/>
      <c r="BTW386"/>
      <c r="BTX386"/>
      <c r="BTY386"/>
      <c r="BTZ386"/>
      <c r="BUA386"/>
      <c r="BUB386"/>
      <c r="BUC386"/>
      <c r="BUD386"/>
      <c r="BUE386"/>
      <c r="BUF386"/>
      <c r="BUG386"/>
      <c r="BUH386"/>
      <c r="BUI386"/>
      <c r="BUJ386"/>
      <c r="BUK386"/>
      <c r="BUL386"/>
      <c r="BUM386"/>
      <c r="BUN386"/>
      <c r="BUO386"/>
      <c r="BUP386"/>
      <c r="BUQ386"/>
      <c r="BUR386"/>
      <c r="BUS386"/>
      <c r="BUT386"/>
      <c r="BUU386"/>
      <c r="BUV386"/>
      <c r="BUW386"/>
      <c r="BUX386"/>
      <c r="BUY386"/>
      <c r="BUZ386"/>
      <c r="BVA386"/>
      <c r="BVB386"/>
      <c r="BVC386"/>
      <c r="BVD386"/>
      <c r="BVE386"/>
      <c r="BVF386"/>
      <c r="BVG386"/>
      <c r="BVH386"/>
      <c r="BVI386"/>
      <c r="BVJ386"/>
      <c r="BVK386"/>
      <c r="BVL386"/>
      <c r="BVM386"/>
      <c r="BVN386"/>
      <c r="BVO386"/>
      <c r="BVP386"/>
      <c r="BVQ386"/>
      <c r="BVR386"/>
      <c r="BVS386"/>
      <c r="BVT386"/>
      <c r="BVU386"/>
      <c r="BVV386"/>
      <c r="BVW386"/>
      <c r="BVX386"/>
      <c r="BVY386"/>
      <c r="BVZ386"/>
      <c r="BWA386"/>
      <c r="BWB386"/>
      <c r="BWC386"/>
      <c r="BWD386"/>
      <c r="BWE386"/>
      <c r="BWF386"/>
      <c r="BWG386"/>
      <c r="BWH386"/>
      <c r="BWI386"/>
      <c r="BWJ386"/>
      <c r="BWK386"/>
      <c r="BWL386"/>
      <c r="BWM386"/>
      <c r="BWN386"/>
      <c r="BWO386"/>
      <c r="BWP386"/>
      <c r="BWQ386"/>
      <c r="BWR386"/>
      <c r="BWS386"/>
      <c r="BWT386"/>
      <c r="BWU386"/>
      <c r="BWV386"/>
      <c r="BWW386"/>
      <c r="BWX386"/>
      <c r="BWY386"/>
      <c r="BWZ386"/>
      <c r="BXA386"/>
      <c r="BXB386"/>
      <c r="BXC386"/>
      <c r="BXD386"/>
      <c r="BXE386"/>
      <c r="BXF386"/>
      <c r="BXG386"/>
      <c r="BXH386"/>
      <c r="BXI386"/>
      <c r="BXJ386"/>
      <c r="BXK386"/>
      <c r="BXL386"/>
      <c r="BXM386"/>
      <c r="BXN386"/>
      <c r="BXO386"/>
      <c r="BXP386"/>
      <c r="BXQ386"/>
      <c r="BXR386"/>
      <c r="BXS386"/>
      <c r="BXT386"/>
      <c r="BXU386"/>
      <c r="BXV386"/>
      <c r="BXW386"/>
      <c r="BXX386"/>
      <c r="BXY386"/>
      <c r="BXZ386"/>
      <c r="BYA386"/>
      <c r="BYB386"/>
      <c r="BYC386"/>
      <c r="BYD386"/>
      <c r="BYE386"/>
      <c r="BYF386"/>
      <c r="BYG386"/>
      <c r="BYH386"/>
      <c r="BYI386"/>
      <c r="BYJ386"/>
      <c r="BYK386"/>
      <c r="BYL386"/>
      <c r="BYM386"/>
      <c r="BYN386"/>
      <c r="BYO386"/>
      <c r="BYP386"/>
      <c r="BYQ386"/>
      <c r="BYR386"/>
      <c r="BYS386"/>
      <c r="BYT386"/>
      <c r="BYU386"/>
      <c r="BYV386"/>
      <c r="BYW386"/>
      <c r="BYX386"/>
      <c r="BYY386"/>
      <c r="BYZ386"/>
      <c r="BZA386"/>
      <c r="BZB386"/>
      <c r="BZC386"/>
      <c r="BZD386"/>
      <c r="BZE386"/>
      <c r="BZF386"/>
      <c r="BZG386"/>
      <c r="BZH386"/>
      <c r="BZI386"/>
      <c r="BZJ386"/>
      <c r="BZK386"/>
      <c r="BZL386"/>
      <c r="BZM386"/>
      <c r="BZN386"/>
      <c r="BZO386"/>
      <c r="BZP386"/>
      <c r="BZQ386"/>
      <c r="BZR386"/>
      <c r="BZS386"/>
      <c r="BZT386"/>
      <c r="BZU386"/>
      <c r="BZV386"/>
      <c r="BZW386"/>
      <c r="BZX386"/>
      <c r="BZY386"/>
      <c r="BZZ386"/>
      <c r="CAA386"/>
      <c r="CAB386"/>
      <c r="CAC386"/>
      <c r="CAD386"/>
      <c r="CAE386"/>
      <c r="CAF386"/>
      <c r="CAG386"/>
      <c r="CAH386"/>
      <c r="CAI386"/>
      <c r="CAJ386"/>
      <c r="CAK386"/>
      <c r="CAL386"/>
      <c r="CAM386"/>
      <c r="CAN386"/>
      <c r="CAO386"/>
      <c r="CAP386"/>
      <c r="CAQ386"/>
      <c r="CAR386"/>
      <c r="CAS386"/>
      <c r="CAT386"/>
      <c r="CAU386"/>
      <c r="CAV386"/>
      <c r="CAW386"/>
      <c r="CAX386"/>
      <c r="CAY386"/>
      <c r="CAZ386"/>
      <c r="CBA386"/>
      <c r="CBB386"/>
      <c r="CBC386"/>
      <c r="CBD386"/>
      <c r="CBE386"/>
      <c r="CBF386"/>
      <c r="CBG386"/>
      <c r="CBH386"/>
      <c r="CBI386"/>
      <c r="CBJ386"/>
      <c r="CBK386"/>
      <c r="CBL386"/>
      <c r="CBM386"/>
      <c r="CBN386"/>
      <c r="CBO386"/>
      <c r="CBP386"/>
      <c r="CBQ386"/>
      <c r="CBR386"/>
      <c r="CBS386"/>
      <c r="CBT386"/>
      <c r="CBU386"/>
      <c r="CBV386"/>
      <c r="CBW386"/>
      <c r="CBX386"/>
      <c r="CBY386"/>
      <c r="CBZ386"/>
      <c r="CCA386"/>
      <c r="CCB386"/>
      <c r="CCC386"/>
      <c r="CCD386"/>
      <c r="CCE386"/>
      <c r="CCF386"/>
      <c r="CCG386"/>
      <c r="CCH386"/>
      <c r="CCI386"/>
      <c r="CCJ386"/>
      <c r="CCK386"/>
      <c r="CCL386"/>
      <c r="CCM386"/>
      <c r="CCN386"/>
      <c r="CCO386"/>
      <c r="CCP386"/>
      <c r="CCQ386"/>
      <c r="CCR386"/>
      <c r="CCS386"/>
      <c r="CCT386"/>
      <c r="CCU386"/>
      <c r="CCV386"/>
      <c r="CCW386"/>
      <c r="CCX386"/>
      <c r="CCY386"/>
      <c r="CCZ386"/>
      <c r="CDA386"/>
      <c r="CDB386"/>
      <c r="CDC386"/>
      <c r="CDD386"/>
      <c r="CDE386"/>
      <c r="CDF386"/>
      <c r="CDG386"/>
      <c r="CDH386"/>
      <c r="CDI386"/>
      <c r="CDJ386"/>
      <c r="CDK386"/>
      <c r="CDL386"/>
      <c r="CDM386"/>
      <c r="CDN386"/>
      <c r="CDO386"/>
      <c r="CDP386"/>
      <c r="CDQ386"/>
      <c r="CDR386"/>
      <c r="CDS386"/>
      <c r="CDT386"/>
      <c r="CDU386"/>
      <c r="CDV386"/>
      <c r="CDW386"/>
      <c r="CDX386"/>
      <c r="CDY386"/>
      <c r="CDZ386"/>
      <c r="CEA386"/>
      <c r="CEB386"/>
      <c r="CEC386"/>
      <c r="CED386"/>
      <c r="CEE386"/>
      <c r="CEF386"/>
      <c r="CEG386"/>
      <c r="CEH386"/>
      <c r="CEI386"/>
      <c r="CEJ386"/>
      <c r="CEK386"/>
      <c r="CEL386"/>
      <c r="CEM386"/>
      <c r="CEN386"/>
      <c r="CEO386"/>
      <c r="CEP386"/>
      <c r="CEQ386"/>
      <c r="CER386"/>
      <c r="CES386"/>
      <c r="CET386"/>
      <c r="CEU386"/>
      <c r="CEV386"/>
      <c r="CEW386"/>
      <c r="CEX386"/>
      <c r="CEY386"/>
      <c r="CEZ386"/>
      <c r="CFA386"/>
      <c r="CFB386"/>
      <c r="CFC386"/>
      <c r="CFD386"/>
      <c r="CFE386"/>
      <c r="CFF386"/>
      <c r="CFG386"/>
      <c r="CFH386"/>
      <c r="CFI386"/>
      <c r="CFJ386"/>
      <c r="CFK386"/>
      <c r="CFL386"/>
      <c r="CFM386"/>
      <c r="CFN386"/>
      <c r="CFO386"/>
      <c r="CFP386"/>
      <c r="CFQ386"/>
      <c r="CFR386"/>
      <c r="CFS386"/>
      <c r="CFT386"/>
      <c r="CFU386"/>
      <c r="CFV386"/>
      <c r="CFW386"/>
      <c r="CFX386"/>
      <c r="CFY386"/>
      <c r="CFZ386"/>
      <c r="CGA386"/>
      <c r="CGB386"/>
      <c r="CGC386"/>
      <c r="CGD386"/>
      <c r="CGE386"/>
      <c r="CGF386"/>
      <c r="CGG386"/>
      <c r="CGH386"/>
      <c r="CGI386"/>
      <c r="CGJ386"/>
      <c r="CGK386"/>
      <c r="CGL386"/>
      <c r="CGM386"/>
      <c r="CGN386"/>
      <c r="CGO386"/>
      <c r="CGP386"/>
      <c r="CGQ386"/>
      <c r="CGR386"/>
      <c r="CGS386"/>
      <c r="CGT386"/>
      <c r="CGU386"/>
      <c r="CGV386"/>
      <c r="CGW386"/>
      <c r="CGX386"/>
      <c r="CGY386"/>
      <c r="CGZ386"/>
      <c r="CHA386"/>
      <c r="CHB386"/>
      <c r="CHC386"/>
      <c r="CHD386"/>
      <c r="CHE386"/>
      <c r="CHF386"/>
      <c r="CHG386"/>
      <c r="CHH386"/>
      <c r="CHI386"/>
      <c r="CHJ386"/>
      <c r="CHK386"/>
      <c r="CHL386"/>
      <c r="CHM386"/>
      <c r="CHN386"/>
      <c r="CHO386"/>
      <c r="CHP386"/>
      <c r="CHQ386"/>
      <c r="CHR386"/>
      <c r="CHS386"/>
      <c r="CHT386"/>
      <c r="CHU386"/>
      <c r="CHV386"/>
      <c r="CHW386"/>
      <c r="CHX386"/>
      <c r="CHY386"/>
      <c r="CHZ386"/>
      <c r="CIA386"/>
      <c r="CIB386"/>
      <c r="CIC386"/>
      <c r="CID386"/>
      <c r="CIE386"/>
      <c r="CIF386"/>
      <c r="CIG386"/>
      <c r="CIH386"/>
      <c r="CII386"/>
      <c r="CIJ386"/>
      <c r="CIK386"/>
      <c r="CIL386"/>
      <c r="CIM386"/>
      <c r="CIN386"/>
      <c r="CIO386"/>
      <c r="CIP386"/>
      <c r="CIQ386"/>
      <c r="CIR386"/>
      <c r="CIS386"/>
      <c r="CIT386"/>
      <c r="CIU386"/>
      <c r="CIV386"/>
      <c r="CIW386"/>
      <c r="CIX386"/>
      <c r="CIY386"/>
      <c r="CIZ386"/>
      <c r="CJA386"/>
      <c r="CJB386"/>
      <c r="CJC386"/>
      <c r="CJD386"/>
      <c r="CJE386"/>
      <c r="CJF386"/>
      <c r="CJG386"/>
      <c r="CJH386"/>
      <c r="CJI386"/>
      <c r="CJJ386"/>
      <c r="CJK386"/>
      <c r="CJL386"/>
      <c r="CJM386"/>
      <c r="CJN386"/>
      <c r="CJO386"/>
      <c r="CJP386"/>
      <c r="CJQ386"/>
      <c r="CJR386"/>
      <c r="CJS386"/>
      <c r="CJT386"/>
      <c r="CJU386"/>
      <c r="CJV386"/>
      <c r="CJW386"/>
      <c r="CJX386"/>
      <c r="CJY386"/>
      <c r="CJZ386"/>
      <c r="CKA386"/>
      <c r="CKB386"/>
      <c r="CKC386"/>
      <c r="CKD386"/>
      <c r="CKE386"/>
      <c r="CKF386"/>
      <c r="CKG386"/>
      <c r="CKH386"/>
      <c r="CKI386"/>
      <c r="CKJ386"/>
      <c r="CKK386"/>
      <c r="CKL386"/>
      <c r="CKM386"/>
      <c r="CKN386"/>
      <c r="CKO386"/>
      <c r="CKP386"/>
      <c r="CKQ386"/>
      <c r="CKR386"/>
      <c r="CKS386"/>
      <c r="CKT386"/>
      <c r="CKU386"/>
      <c r="CKV386"/>
      <c r="CKW386"/>
      <c r="CKX386"/>
      <c r="CKY386"/>
      <c r="CKZ386"/>
      <c r="CLA386"/>
      <c r="CLB386"/>
      <c r="CLC386"/>
      <c r="CLD386"/>
      <c r="CLE386"/>
      <c r="CLF386"/>
      <c r="CLG386"/>
      <c r="CLH386"/>
      <c r="CLI386"/>
      <c r="CLJ386"/>
      <c r="CLK386"/>
      <c r="CLL386"/>
      <c r="CLM386"/>
      <c r="CLN386"/>
      <c r="CLO386"/>
      <c r="CLP386"/>
      <c r="CLQ386"/>
      <c r="CLR386"/>
      <c r="CLS386"/>
      <c r="CLT386"/>
      <c r="CLU386"/>
      <c r="CLV386"/>
      <c r="CLW386"/>
      <c r="CLX386"/>
      <c r="CLY386"/>
      <c r="CLZ386"/>
      <c r="CMA386"/>
      <c r="CMB386"/>
      <c r="CMC386"/>
      <c r="CMD386"/>
      <c r="CME386"/>
      <c r="CMF386"/>
      <c r="CMG386"/>
      <c r="CMH386"/>
      <c r="CMI386"/>
      <c r="CMJ386"/>
      <c r="CMK386"/>
      <c r="CML386"/>
      <c r="CMM386"/>
      <c r="CMN386"/>
      <c r="CMO386"/>
      <c r="CMP386"/>
      <c r="CMQ386"/>
      <c r="CMR386"/>
      <c r="CMS386"/>
      <c r="CMT386"/>
      <c r="CMU386"/>
      <c r="CMV386"/>
      <c r="CMW386"/>
      <c r="CMX386"/>
      <c r="CMY386"/>
      <c r="CMZ386"/>
      <c r="CNA386"/>
      <c r="CNB386"/>
      <c r="CNC386"/>
      <c r="CND386"/>
      <c r="CNE386"/>
      <c r="CNF386"/>
      <c r="CNG386"/>
      <c r="CNH386"/>
      <c r="CNI386"/>
      <c r="CNJ386"/>
      <c r="CNK386"/>
      <c r="CNL386"/>
      <c r="CNM386"/>
      <c r="CNN386"/>
      <c r="CNO386"/>
      <c r="CNP386"/>
      <c r="CNQ386"/>
      <c r="CNR386"/>
      <c r="CNS386"/>
      <c r="CNT386"/>
      <c r="CNU386"/>
      <c r="CNV386"/>
      <c r="CNW386"/>
      <c r="CNX386"/>
      <c r="CNY386"/>
      <c r="CNZ386"/>
      <c r="COA386"/>
      <c r="COB386"/>
      <c r="COC386"/>
      <c r="COD386"/>
      <c r="COE386"/>
      <c r="COF386"/>
      <c r="COG386"/>
      <c r="COH386"/>
      <c r="COI386"/>
      <c r="COJ386"/>
      <c r="COK386"/>
      <c r="COL386"/>
      <c r="COM386"/>
      <c r="CON386"/>
      <c r="COO386"/>
      <c r="COP386"/>
      <c r="COQ386"/>
      <c r="COR386"/>
      <c r="COS386"/>
      <c r="COT386"/>
      <c r="COU386"/>
      <c r="COV386"/>
      <c r="COW386"/>
      <c r="COX386"/>
      <c r="COY386"/>
      <c r="COZ386"/>
      <c r="CPA386"/>
      <c r="CPB386"/>
      <c r="CPC386"/>
      <c r="CPD386"/>
      <c r="CPE386"/>
      <c r="CPF386"/>
      <c r="CPG386"/>
      <c r="CPH386"/>
      <c r="CPI386"/>
      <c r="CPJ386"/>
      <c r="CPK386"/>
      <c r="CPL386"/>
      <c r="CPM386"/>
      <c r="CPN386"/>
      <c r="CPO386"/>
      <c r="CPP386"/>
      <c r="CPQ386"/>
      <c r="CPR386"/>
      <c r="CPS386"/>
      <c r="CPT386"/>
      <c r="CPU386"/>
      <c r="CPV386"/>
      <c r="CPW386"/>
      <c r="CPX386"/>
      <c r="CPY386"/>
      <c r="CPZ386"/>
      <c r="CQA386"/>
      <c r="CQB386"/>
      <c r="CQC386"/>
      <c r="CQD386"/>
      <c r="CQE386"/>
      <c r="CQF386"/>
      <c r="CQG386"/>
      <c r="CQH386"/>
      <c r="CQI386"/>
      <c r="CQJ386"/>
      <c r="CQK386"/>
      <c r="CQL386"/>
      <c r="CQM386"/>
      <c r="CQN386"/>
      <c r="CQO386"/>
      <c r="CQP386"/>
      <c r="CQQ386"/>
      <c r="CQR386"/>
      <c r="CQS386"/>
      <c r="CQT386"/>
      <c r="CQU386"/>
      <c r="CQV386"/>
      <c r="CQW386"/>
      <c r="CQX386"/>
      <c r="CQY386"/>
      <c r="CQZ386"/>
      <c r="CRA386"/>
      <c r="CRB386"/>
      <c r="CRC386"/>
      <c r="CRD386"/>
      <c r="CRE386"/>
      <c r="CRF386"/>
      <c r="CRG386"/>
      <c r="CRH386"/>
      <c r="CRI386"/>
      <c r="CRJ386"/>
      <c r="CRK386"/>
      <c r="CRL386"/>
      <c r="CRM386"/>
      <c r="CRN386"/>
      <c r="CRO386"/>
      <c r="CRP386"/>
      <c r="CRQ386"/>
      <c r="CRR386"/>
      <c r="CRS386"/>
      <c r="CRT386"/>
      <c r="CRU386"/>
      <c r="CRV386"/>
      <c r="CRW386"/>
      <c r="CRX386"/>
      <c r="CRY386"/>
      <c r="CRZ386"/>
      <c r="CSA386"/>
      <c r="CSB386"/>
      <c r="CSC386"/>
      <c r="CSD386"/>
      <c r="CSE386"/>
      <c r="CSF386"/>
      <c r="CSG386"/>
      <c r="CSH386"/>
      <c r="CSI386"/>
      <c r="CSJ386"/>
      <c r="CSK386"/>
      <c r="CSL386"/>
      <c r="CSM386"/>
      <c r="CSN386"/>
      <c r="CSO386"/>
      <c r="CSP386"/>
      <c r="CSQ386"/>
      <c r="CSR386"/>
      <c r="CSS386"/>
      <c r="CST386"/>
      <c r="CSU386"/>
      <c r="CSV386"/>
      <c r="CSW386"/>
      <c r="CSX386"/>
      <c r="CSY386"/>
      <c r="CSZ386"/>
      <c r="CTA386"/>
      <c r="CTB386"/>
      <c r="CTC386"/>
      <c r="CTD386"/>
      <c r="CTE386"/>
      <c r="CTF386"/>
      <c r="CTG386"/>
      <c r="CTH386"/>
      <c r="CTI386"/>
      <c r="CTJ386"/>
      <c r="CTK386"/>
      <c r="CTL386"/>
      <c r="CTM386"/>
      <c r="CTN386"/>
      <c r="CTO386"/>
      <c r="CTP386"/>
      <c r="CTQ386"/>
      <c r="CTR386"/>
      <c r="CTS386"/>
      <c r="CTT386"/>
      <c r="CTU386"/>
      <c r="CTV386"/>
      <c r="CTW386"/>
      <c r="CTX386"/>
      <c r="CTY386"/>
      <c r="CTZ386"/>
      <c r="CUA386"/>
      <c r="CUB386"/>
      <c r="CUC386"/>
      <c r="CUD386"/>
      <c r="CUE386"/>
      <c r="CUF386"/>
      <c r="CUG386"/>
      <c r="CUH386"/>
      <c r="CUI386"/>
      <c r="CUJ386"/>
      <c r="CUK386"/>
      <c r="CUL386"/>
      <c r="CUM386"/>
      <c r="CUN386"/>
      <c r="CUO386"/>
      <c r="CUP386"/>
      <c r="CUQ386"/>
      <c r="CUR386"/>
      <c r="CUS386"/>
      <c r="CUT386"/>
      <c r="CUU386"/>
      <c r="CUV386"/>
      <c r="CUW386"/>
      <c r="CUX386"/>
      <c r="CUY386"/>
      <c r="CUZ386"/>
      <c r="CVA386"/>
      <c r="CVB386"/>
      <c r="CVC386"/>
      <c r="CVD386"/>
      <c r="CVE386"/>
      <c r="CVF386"/>
      <c r="CVG386"/>
      <c r="CVH386"/>
      <c r="CVI386"/>
      <c r="CVJ386"/>
      <c r="CVK386"/>
      <c r="CVL386"/>
      <c r="CVM386"/>
      <c r="CVN386"/>
      <c r="CVO386"/>
      <c r="CVP386"/>
      <c r="CVQ386"/>
      <c r="CVR386"/>
      <c r="CVS386"/>
      <c r="CVT386"/>
      <c r="CVU386"/>
      <c r="CVV386"/>
      <c r="CVW386"/>
      <c r="CVX386"/>
      <c r="CVY386"/>
      <c r="CVZ386"/>
      <c r="CWA386"/>
      <c r="CWB386"/>
      <c r="CWC386"/>
      <c r="CWD386"/>
      <c r="CWE386"/>
      <c r="CWF386"/>
      <c r="CWG386"/>
      <c r="CWH386"/>
      <c r="CWI386"/>
      <c r="CWJ386"/>
      <c r="CWK386"/>
      <c r="CWL386"/>
      <c r="CWM386"/>
      <c r="CWN386"/>
      <c r="CWO386"/>
      <c r="CWP386"/>
      <c r="CWQ386"/>
      <c r="CWR386"/>
      <c r="CWS386"/>
      <c r="CWT386"/>
      <c r="CWU386"/>
      <c r="CWV386"/>
      <c r="CWW386"/>
      <c r="CWX386"/>
      <c r="CWY386"/>
      <c r="CWZ386"/>
      <c r="CXA386"/>
      <c r="CXB386"/>
      <c r="CXC386"/>
      <c r="CXD386"/>
      <c r="CXE386"/>
      <c r="CXF386"/>
      <c r="CXG386"/>
      <c r="CXH386"/>
      <c r="CXI386"/>
      <c r="CXJ386"/>
      <c r="CXK386"/>
      <c r="CXL386"/>
      <c r="CXM386"/>
      <c r="CXN386"/>
      <c r="CXO386"/>
      <c r="CXP386"/>
      <c r="CXQ386"/>
      <c r="CXR386"/>
      <c r="CXS386"/>
      <c r="CXT386"/>
      <c r="CXU386"/>
      <c r="CXV386"/>
      <c r="CXW386"/>
      <c r="CXX386"/>
      <c r="CXY386"/>
      <c r="CXZ386"/>
      <c r="CYA386"/>
      <c r="CYB386"/>
      <c r="CYC386"/>
      <c r="CYD386"/>
      <c r="CYE386"/>
      <c r="CYF386"/>
      <c r="CYG386"/>
      <c r="CYH386"/>
      <c r="CYI386"/>
      <c r="CYJ386"/>
      <c r="CYK386"/>
      <c r="CYL386"/>
      <c r="CYM386"/>
      <c r="CYN386"/>
      <c r="CYO386"/>
      <c r="CYP386"/>
      <c r="CYQ386"/>
      <c r="CYR386"/>
      <c r="CYS386"/>
      <c r="CYT386"/>
      <c r="CYU386"/>
      <c r="CYV386"/>
      <c r="CYW386"/>
      <c r="CYX386"/>
      <c r="CYY386"/>
      <c r="CYZ386"/>
      <c r="CZA386"/>
      <c r="CZB386"/>
      <c r="CZC386"/>
      <c r="CZD386"/>
      <c r="CZE386"/>
      <c r="CZF386"/>
      <c r="CZG386"/>
      <c r="CZH386"/>
      <c r="CZI386"/>
      <c r="CZJ386"/>
      <c r="CZK386"/>
      <c r="CZL386"/>
      <c r="CZM386"/>
      <c r="CZN386"/>
      <c r="CZO386"/>
      <c r="CZP386"/>
      <c r="CZQ386"/>
      <c r="CZR386"/>
      <c r="CZS386"/>
      <c r="CZT386"/>
      <c r="CZU386"/>
      <c r="CZV386"/>
      <c r="CZW386"/>
      <c r="CZX386"/>
      <c r="CZY386"/>
      <c r="CZZ386"/>
      <c r="DAA386"/>
      <c r="DAB386"/>
      <c r="DAC386"/>
      <c r="DAD386"/>
      <c r="DAE386"/>
      <c r="DAF386"/>
      <c r="DAG386"/>
      <c r="DAH386"/>
      <c r="DAI386"/>
      <c r="DAJ386"/>
      <c r="DAK386"/>
      <c r="DAL386"/>
      <c r="DAM386"/>
      <c r="DAN386"/>
      <c r="DAO386"/>
      <c r="DAP386"/>
      <c r="DAQ386"/>
      <c r="DAR386"/>
      <c r="DAS386"/>
      <c r="DAT386"/>
      <c r="DAU386"/>
      <c r="DAV386"/>
      <c r="DAW386"/>
      <c r="DAX386"/>
      <c r="DAY386"/>
      <c r="DAZ386"/>
      <c r="DBA386"/>
      <c r="DBB386"/>
      <c r="DBC386"/>
      <c r="DBD386"/>
      <c r="DBE386"/>
      <c r="DBF386"/>
      <c r="DBG386"/>
      <c r="DBH386"/>
      <c r="DBI386"/>
      <c r="DBJ386"/>
      <c r="DBK386"/>
      <c r="DBL386"/>
      <c r="DBM386"/>
      <c r="DBN386"/>
      <c r="DBO386"/>
      <c r="DBP386"/>
      <c r="DBQ386"/>
      <c r="DBR386"/>
      <c r="DBS386"/>
      <c r="DBT386"/>
      <c r="DBU386"/>
      <c r="DBV386"/>
      <c r="DBW386"/>
      <c r="DBX386"/>
      <c r="DBY386"/>
      <c r="DBZ386"/>
      <c r="DCA386"/>
      <c r="DCB386"/>
      <c r="DCC386"/>
      <c r="DCD386"/>
      <c r="DCE386"/>
      <c r="DCF386"/>
      <c r="DCG386"/>
      <c r="DCH386"/>
      <c r="DCI386"/>
      <c r="DCJ386"/>
      <c r="DCK386"/>
      <c r="DCL386"/>
      <c r="DCM386"/>
      <c r="DCN386"/>
      <c r="DCO386"/>
      <c r="DCP386"/>
      <c r="DCQ386"/>
      <c r="DCR386"/>
      <c r="DCS386"/>
      <c r="DCT386"/>
      <c r="DCU386"/>
      <c r="DCV386"/>
      <c r="DCW386"/>
      <c r="DCX386"/>
      <c r="DCY386"/>
      <c r="DCZ386"/>
      <c r="DDA386"/>
      <c r="DDB386"/>
      <c r="DDC386"/>
      <c r="DDD386"/>
      <c r="DDE386"/>
      <c r="DDF386"/>
      <c r="DDG386"/>
      <c r="DDH386"/>
      <c r="DDI386"/>
      <c r="DDJ386"/>
      <c r="DDK386"/>
      <c r="DDL386"/>
      <c r="DDM386"/>
      <c r="DDN386"/>
      <c r="DDO386"/>
      <c r="DDP386"/>
      <c r="DDQ386"/>
      <c r="DDR386"/>
      <c r="DDS386"/>
      <c r="DDT386"/>
      <c r="DDU386"/>
      <c r="DDV386"/>
      <c r="DDW386"/>
      <c r="DDX386"/>
      <c r="DDY386"/>
      <c r="DDZ386"/>
      <c r="DEA386"/>
      <c r="DEB386"/>
      <c r="DEC386"/>
      <c r="DED386"/>
      <c r="DEE386"/>
      <c r="DEF386"/>
      <c r="DEG386"/>
      <c r="DEH386"/>
      <c r="DEI386"/>
      <c r="DEJ386"/>
      <c r="DEK386"/>
      <c r="DEL386"/>
      <c r="DEM386"/>
      <c r="DEN386"/>
      <c r="DEO386"/>
      <c r="DEP386"/>
      <c r="DEQ386"/>
      <c r="DER386"/>
      <c r="DES386"/>
      <c r="DET386"/>
      <c r="DEU386"/>
      <c r="DEV386"/>
      <c r="DEW386"/>
      <c r="DEX386"/>
      <c r="DEY386"/>
      <c r="DEZ386"/>
      <c r="DFA386"/>
      <c r="DFB386"/>
      <c r="DFC386"/>
      <c r="DFD386"/>
      <c r="DFE386"/>
      <c r="DFF386"/>
      <c r="DFG386"/>
      <c r="DFH386"/>
      <c r="DFI386"/>
      <c r="DFJ386"/>
      <c r="DFK386"/>
      <c r="DFL386"/>
      <c r="DFM386"/>
      <c r="DFN386"/>
      <c r="DFO386"/>
      <c r="DFP386"/>
      <c r="DFQ386"/>
      <c r="DFR386"/>
      <c r="DFS386"/>
      <c r="DFT386"/>
      <c r="DFU386"/>
      <c r="DFV386"/>
      <c r="DFW386"/>
      <c r="DFX386"/>
      <c r="DFY386"/>
      <c r="DFZ386"/>
      <c r="DGA386"/>
      <c r="DGB386"/>
      <c r="DGC386"/>
      <c r="DGD386"/>
      <c r="DGE386"/>
      <c r="DGF386"/>
      <c r="DGG386"/>
      <c r="DGH386"/>
      <c r="DGI386"/>
      <c r="DGJ386"/>
      <c r="DGK386"/>
      <c r="DGL386"/>
      <c r="DGM386"/>
      <c r="DGN386"/>
      <c r="DGO386"/>
      <c r="DGP386"/>
      <c r="DGQ386"/>
      <c r="DGR386"/>
      <c r="DGS386"/>
      <c r="DGT386"/>
      <c r="DGU386"/>
      <c r="DGV386"/>
      <c r="DGW386"/>
      <c r="DGX386"/>
      <c r="DGY386"/>
      <c r="DGZ386"/>
      <c r="DHA386"/>
      <c r="DHB386"/>
      <c r="DHC386"/>
      <c r="DHD386"/>
      <c r="DHE386"/>
      <c r="DHF386"/>
      <c r="DHG386"/>
      <c r="DHH386"/>
      <c r="DHI386"/>
      <c r="DHJ386"/>
      <c r="DHK386"/>
      <c r="DHL386"/>
      <c r="DHM386"/>
      <c r="DHN386"/>
      <c r="DHO386"/>
      <c r="DHP386"/>
      <c r="DHQ386"/>
      <c r="DHR386"/>
      <c r="DHS386"/>
      <c r="DHT386"/>
      <c r="DHU386"/>
      <c r="DHV386"/>
      <c r="DHW386"/>
      <c r="DHX386"/>
      <c r="DHY386"/>
      <c r="DHZ386"/>
      <c r="DIA386"/>
      <c r="DIB386"/>
      <c r="DIC386"/>
      <c r="DID386"/>
      <c r="DIE386"/>
      <c r="DIF386"/>
      <c r="DIG386"/>
      <c r="DIH386"/>
      <c r="DII386"/>
      <c r="DIJ386"/>
      <c r="DIK386"/>
      <c r="DIL386"/>
      <c r="DIM386"/>
      <c r="DIN386"/>
      <c r="DIO386"/>
      <c r="DIP386"/>
      <c r="DIQ386"/>
      <c r="DIR386"/>
      <c r="DIS386"/>
      <c r="DIT386"/>
      <c r="DIU386"/>
      <c r="DIV386"/>
      <c r="DIW386"/>
      <c r="DIX386"/>
      <c r="DIY386"/>
      <c r="DIZ386"/>
      <c r="DJA386"/>
      <c r="DJB386"/>
      <c r="DJC386"/>
      <c r="DJD386"/>
      <c r="DJE386"/>
      <c r="DJF386"/>
      <c r="DJG386"/>
      <c r="DJH386"/>
      <c r="DJI386"/>
      <c r="DJJ386"/>
      <c r="DJK386"/>
      <c r="DJL386"/>
      <c r="DJM386"/>
      <c r="DJN386"/>
      <c r="DJO386"/>
      <c r="DJP386"/>
      <c r="DJQ386"/>
      <c r="DJR386"/>
      <c r="DJS386"/>
      <c r="DJT386"/>
      <c r="DJU386"/>
      <c r="DJV386"/>
      <c r="DJW386"/>
      <c r="DJX386"/>
      <c r="DJY386"/>
      <c r="DJZ386"/>
      <c r="DKA386"/>
      <c r="DKB386"/>
      <c r="DKC386"/>
      <c r="DKD386"/>
      <c r="DKE386"/>
      <c r="DKF386"/>
      <c r="DKG386"/>
      <c r="DKH386"/>
      <c r="DKI386"/>
      <c r="DKJ386"/>
      <c r="DKK386"/>
      <c r="DKL386"/>
      <c r="DKM386"/>
      <c r="DKN386"/>
      <c r="DKO386"/>
      <c r="DKP386"/>
      <c r="DKQ386"/>
      <c r="DKR386"/>
      <c r="DKS386"/>
      <c r="DKT386"/>
      <c r="DKU386"/>
      <c r="DKV386"/>
      <c r="DKW386"/>
      <c r="DKX386"/>
      <c r="DKY386"/>
      <c r="DKZ386"/>
      <c r="DLA386"/>
      <c r="DLB386"/>
      <c r="DLC386"/>
      <c r="DLD386"/>
      <c r="DLE386"/>
      <c r="DLF386"/>
      <c r="DLG386"/>
      <c r="DLH386"/>
      <c r="DLI386"/>
      <c r="DLJ386"/>
      <c r="DLK386"/>
      <c r="DLL386"/>
      <c r="DLM386"/>
      <c r="DLN386"/>
      <c r="DLO386"/>
      <c r="DLP386"/>
      <c r="DLQ386"/>
      <c r="DLR386"/>
      <c r="DLS386"/>
      <c r="DLT386"/>
      <c r="DLU386"/>
      <c r="DLV386"/>
      <c r="DLW386"/>
      <c r="DLX386"/>
      <c r="DLY386"/>
      <c r="DLZ386"/>
      <c r="DMA386"/>
      <c r="DMB386"/>
      <c r="DMC386"/>
      <c r="DMD386"/>
      <c r="DME386"/>
      <c r="DMF386"/>
      <c r="DMG386"/>
      <c r="DMH386"/>
      <c r="DMI386"/>
      <c r="DMJ386"/>
      <c r="DMK386"/>
      <c r="DML386"/>
      <c r="DMM386"/>
      <c r="DMN386"/>
      <c r="DMO386"/>
      <c r="DMP386"/>
      <c r="DMQ386"/>
      <c r="DMR386"/>
      <c r="DMS386"/>
      <c r="DMT386"/>
      <c r="DMU386"/>
      <c r="DMV386"/>
      <c r="DMW386"/>
      <c r="DMX386"/>
      <c r="DMY386"/>
      <c r="DMZ386"/>
      <c r="DNA386"/>
      <c r="DNB386"/>
      <c r="DNC386"/>
      <c r="DND386"/>
      <c r="DNE386"/>
      <c r="DNF386"/>
      <c r="DNG386"/>
      <c r="DNH386"/>
      <c r="DNI386"/>
      <c r="DNJ386"/>
      <c r="DNK386"/>
      <c r="DNL386"/>
      <c r="DNM386"/>
      <c r="DNN386"/>
      <c r="DNO386"/>
      <c r="DNP386"/>
      <c r="DNQ386"/>
      <c r="DNR386"/>
      <c r="DNS386"/>
      <c r="DNT386"/>
      <c r="DNU386"/>
      <c r="DNV386"/>
      <c r="DNW386"/>
      <c r="DNX386"/>
      <c r="DNY386"/>
      <c r="DNZ386"/>
      <c r="DOA386"/>
      <c r="DOB386"/>
      <c r="DOC386"/>
      <c r="DOD386"/>
      <c r="DOE386"/>
      <c r="DOF386"/>
      <c r="DOG386"/>
      <c r="DOH386"/>
      <c r="DOI386"/>
      <c r="DOJ386"/>
      <c r="DOK386"/>
      <c r="DOL386"/>
      <c r="DOM386"/>
      <c r="DON386"/>
      <c r="DOO386"/>
      <c r="DOP386"/>
      <c r="DOQ386"/>
      <c r="DOR386"/>
      <c r="DOS386"/>
      <c r="DOT386"/>
      <c r="DOU386"/>
      <c r="DOV386"/>
      <c r="DOW386"/>
      <c r="DOX386"/>
      <c r="DOY386"/>
      <c r="DOZ386"/>
      <c r="DPA386"/>
      <c r="DPB386"/>
      <c r="DPC386"/>
      <c r="DPD386"/>
      <c r="DPE386"/>
      <c r="DPF386"/>
      <c r="DPG386"/>
      <c r="DPH386"/>
      <c r="DPI386"/>
      <c r="DPJ386"/>
      <c r="DPK386"/>
      <c r="DPL386"/>
      <c r="DPM386"/>
      <c r="DPN386"/>
      <c r="DPO386"/>
      <c r="DPP386"/>
      <c r="DPQ386"/>
      <c r="DPR386"/>
      <c r="DPS386"/>
      <c r="DPT386"/>
      <c r="DPU386"/>
      <c r="DPV386"/>
      <c r="DPW386"/>
      <c r="DPX386"/>
      <c r="DPY386"/>
      <c r="DPZ386"/>
      <c r="DQA386"/>
      <c r="DQB386"/>
      <c r="DQC386"/>
      <c r="DQD386"/>
      <c r="DQE386"/>
      <c r="DQF386"/>
      <c r="DQG386"/>
      <c r="DQH386"/>
      <c r="DQI386"/>
      <c r="DQJ386"/>
      <c r="DQK386"/>
      <c r="DQL386"/>
      <c r="DQM386"/>
      <c r="DQN386"/>
      <c r="DQO386"/>
      <c r="DQP386"/>
      <c r="DQQ386"/>
      <c r="DQR386"/>
      <c r="DQS386"/>
      <c r="DQT386"/>
      <c r="DQU386"/>
      <c r="DQV386"/>
      <c r="DQW386"/>
      <c r="DQX386"/>
      <c r="DQY386"/>
      <c r="DQZ386"/>
      <c r="DRA386"/>
      <c r="DRB386"/>
      <c r="DRC386"/>
      <c r="DRD386"/>
      <c r="DRE386"/>
      <c r="DRF386"/>
      <c r="DRG386"/>
      <c r="DRH386"/>
      <c r="DRI386"/>
      <c r="DRJ386"/>
      <c r="DRK386"/>
      <c r="DRL386"/>
      <c r="DRM386"/>
      <c r="DRN386"/>
      <c r="DRO386"/>
      <c r="DRP386"/>
      <c r="DRQ386"/>
      <c r="DRR386"/>
      <c r="DRS386"/>
      <c r="DRT386"/>
      <c r="DRU386"/>
      <c r="DRV386"/>
      <c r="DRW386"/>
      <c r="DRX386"/>
      <c r="DRY386"/>
      <c r="DRZ386"/>
      <c r="DSA386"/>
      <c r="DSB386"/>
      <c r="DSC386"/>
      <c r="DSD386"/>
      <c r="DSE386"/>
      <c r="DSF386"/>
      <c r="DSG386"/>
      <c r="DSH386"/>
      <c r="DSI386"/>
      <c r="DSJ386"/>
      <c r="DSK386"/>
      <c r="DSL386"/>
      <c r="DSM386"/>
      <c r="DSN386"/>
      <c r="DSO386"/>
      <c r="DSP386"/>
      <c r="DSQ386"/>
      <c r="DSR386"/>
      <c r="DSS386"/>
      <c r="DST386"/>
      <c r="DSU386"/>
      <c r="DSV386"/>
      <c r="DSW386"/>
      <c r="DSX386"/>
      <c r="DSY386"/>
      <c r="DSZ386"/>
      <c r="DTA386"/>
      <c r="DTB386"/>
      <c r="DTC386"/>
      <c r="DTD386"/>
      <c r="DTE386"/>
      <c r="DTF386"/>
      <c r="DTG386"/>
      <c r="DTH386"/>
      <c r="DTI386"/>
      <c r="DTJ386"/>
      <c r="DTK386"/>
      <c r="DTL386"/>
      <c r="DTM386"/>
      <c r="DTN386"/>
      <c r="DTO386"/>
      <c r="DTP386"/>
      <c r="DTQ386"/>
      <c r="DTR386"/>
      <c r="DTS386"/>
      <c r="DTT386"/>
      <c r="DTU386"/>
      <c r="DTV386"/>
      <c r="DTW386"/>
      <c r="DTX386"/>
      <c r="DTY386"/>
      <c r="DTZ386"/>
      <c r="DUA386"/>
      <c r="DUB386"/>
      <c r="DUC386"/>
      <c r="DUD386"/>
      <c r="DUE386"/>
      <c r="DUF386"/>
      <c r="DUG386"/>
      <c r="DUH386"/>
      <c r="DUI386"/>
      <c r="DUJ386"/>
      <c r="DUK386"/>
      <c r="DUL386"/>
      <c r="DUM386"/>
      <c r="DUN386"/>
      <c r="DUO386"/>
      <c r="DUP386"/>
      <c r="DUQ386"/>
      <c r="DUR386"/>
      <c r="DUS386"/>
      <c r="DUT386"/>
      <c r="DUU386"/>
      <c r="DUV386"/>
      <c r="DUW386"/>
      <c r="DUX386"/>
      <c r="DUY386"/>
      <c r="DUZ386"/>
      <c r="DVA386"/>
      <c r="DVB386"/>
      <c r="DVC386"/>
      <c r="DVD386"/>
      <c r="DVE386"/>
      <c r="DVF386"/>
      <c r="DVG386"/>
      <c r="DVH386"/>
      <c r="DVI386"/>
      <c r="DVJ386"/>
      <c r="DVK386"/>
      <c r="DVL386"/>
      <c r="DVM386"/>
      <c r="DVN386"/>
      <c r="DVO386"/>
      <c r="DVP386"/>
      <c r="DVQ386"/>
      <c r="DVR386"/>
      <c r="DVS386"/>
      <c r="DVT386"/>
      <c r="DVU386"/>
      <c r="DVV386"/>
      <c r="DVW386"/>
      <c r="DVX386"/>
      <c r="DVY386"/>
      <c r="DVZ386"/>
      <c r="DWA386"/>
      <c r="DWB386"/>
      <c r="DWC386"/>
      <c r="DWD386"/>
      <c r="DWE386"/>
      <c r="DWF386"/>
      <c r="DWG386"/>
      <c r="DWH386"/>
      <c r="DWI386"/>
      <c r="DWJ386"/>
      <c r="DWK386"/>
      <c r="DWL386"/>
      <c r="DWM386"/>
      <c r="DWN386"/>
      <c r="DWO386"/>
      <c r="DWP386"/>
      <c r="DWQ386"/>
      <c r="DWR386"/>
      <c r="DWS386"/>
      <c r="DWT386"/>
      <c r="DWU386"/>
      <c r="DWV386"/>
      <c r="DWW386"/>
      <c r="DWX386"/>
      <c r="DWY386"/>
      <c r="DWZ386"/>
      <c r="DXA386"/>
      <c r="DXB386"/>
      <c r="DXC386"/>
      <c r="DXD386"/>
      <c r="DXE386"/>
      <c r="DXF386"/>
      <c r="DXG386"/>
      <c r="DXH386"/>
      <c r="DXI386"/>
      <c r="DXJ386"/>
      <c r="DXK386"/>
      <c r="DXL386"/>
      <c r="DXM386"/>
      <c r="DXN386"/>
      <c r="DXO386"/>
      <c r="DXP386"/>
      <c r="DXQ386"/>
      <c r="DXR386"/>
      <c r="DXS386"/>
      <c r="DXT386"/>
      <c r="DXU386"/>
      <c r="DXV386"/>
      <c r="DXW386"/>
      <c r="DXX386"/>
      <c r="DXY386"/>
      <c r="DXZ386"/>
      <c r="DYA386"/>
      <c r="DYB386"/>
      <c r="DYC386"/>
      <c r="DYD386"/>
      <c r="DYE386"/>
      <c r="DYF386"/>
      <c r="DYG386"/>
      <c r="DYH386"/>
      <c r="DYI386"/>
      <c r="DYJ386"/>
      <c r="DYK386"/>
      <c r="DYL386"/>
      <c r="DYM386"/>
      <c r="DYN386"/>
      <c r="DYO386"/>
      <c r="DYP386"/>
      <c r="DYQ386"/>
      <c r="DYR386"/>
      <c r="DYS386"/>
      <c r="DYT386"/>
      <c r="DYU386"/>
      <c r="DYV386"/>
      <c r="DYW386"/>
      <c r="DYX386"/>
      <c r="DYY386"/>
      <c r="DYZ386"/>
      <c r="DZA386"/>
      <c r="DZB386"/>
      <c r="DZC386"/>
      <c r="DZD386"/>
      <c r="DZE386"/>
      <c r="DZF386"/>
      <c r="DZG386"/>
      <c r="DZH386"/>
      <c r="DZI386"/>
      <c r="DZJ386"/>
      <c r="DZK386"/>
      <c r="DZL386"/>
      <c r="DZM386"/>
      <c r="DZN386"/>
      <c r="DZO386"/>
      <c r="DZP386"/>
      <c r="DZQ386"/>
      <c r="DZR386"/>
      <c r="DZS386"/>
      <c r="DZT386"/>
      <c r="DZU386"/>
      <c r="DZV386"/>
      <c r="DZW386"/>
      <c r="DZX386"/>
      <c r="DZY386"/>
      <c r="DZZ386"/>
      <c r="EAA386"/>
      <c r="EAB386"/>
      <c r="EAC386"/>
      <c r="EAD386"/>
      <c r="EAE386"/>
      <c r="EAF386"/>
      <c r="EAG386"/>
      <c r="EAH386"/>
      <c r="EAI386"/>
      <c r="EAJ386"/>
      <c r="EAK386"/>
      <c r="EAL386"/>
      <c r="EAM386"/>
      <c r="EAN386"/>
      <c r="EAO386"/>
      <c r="EAP386"/>
      <c r="EAQ386"/>
      <c r="EAR386"/>
      <c r="EAS386"/>
      <c r="EAT386"/>
      <c r="EAU386"/>
      <c r="EAV386"/>
      <c r="EAW386"/>
      <c r="EAX386"/>
      <c r="EAY386"/>
      <c r="EAZ386"/>
      <c r="EBA386"/>
      <c r="EBB386"/>
      <c r="EBC386"/>
      <c r="EBD386"/>
      <c r="EBE386"/>
      <c r="EBF386"/>
      <c r="EBG386"/>
      <c r="EBH386"/>
      <c r="EBI386"/>
      <c r="EBJ386"/>
      <c r="EBK386"/>
      <c r="EBL386"/>
      <c r="EBM386"/>
      <c r="EBN386"/>
      <c r="EBO386"/>
      <c r="EBP386"/>
      <c r="EBQ386"/>
      <c r="EBR386"/>
      <c r="EBS386"/>
      <c r="EBT386"/>
      <c r="EBU386"/>
      <c r="EBV386"/>
      <c r="EBW386"/>
      <c r="EBX386"/>
      <c r="EBY386"/>
      <c r="EBZ386"/>
      <c r="ECA386"/>
      <c r="ECB386"/>
      <c r="ECC386"/>
      <c r="ECD386"/>
      <c r="ECE386"/>
      <c r="ECF386"/>
      <c r="ECG386"/>
      <c r="ECH386"/>
      <c r="ECI386"/>
      <c r="ECJ386"/>
      <c r="ECK386"/>
      <c r="ECL386"/>
      <c r="ECM386"/>
      <c r="ECN386"/>
      <c r="ECO386"/>
      <c r="ECP386"/>
      <c r="ECQ386"/>
      <c r="ECR386"/>
      <c r="ECS386"/>
      <c r="ECT386"/>
      <c r="ECU386"/>
      <c r="ECV386"/>
      <c r="ECW386"/>
      <c r="ECX386"/>
      <c r="ECY386"/>
      <c r="ECZ386"/>
      <c r="EDA386"/>
      <c r="EDB386"/>
      <c r="EDC386"/>
      <c r="EDD386"/>
      <c r="EDE386"/>
      <c r="EDF386"/>
      <c r="EDG386"/>
      <c r="EDH386"/>
      <c r="EDI386"/>
      <c r="EDJ386"/>
      <c r="EDK386"/>
      <c r="EDL386"/>
      <c r="EDM386"/>
      <c r="EDN386"/>
      <c r="EDO386"/>
      <c r="EDP386"/>
      <c r="EDQ386"/>
      <c r="EDR386"/>
      <c r="EDS386"/>
      <c r="EDT386"/>
      <c r="EDU386"/>
      <c r="EDV386"/>
      <c r="EDW386"/>
      <c r="EDX386"/>
      <c r="EDY386"/>
      <c r="EDZ386"/>
      <c r="EEA386"/>
      <c r="EEB386"/>
      <c r="EEC386"/>
      <c r="EED386"/>
      <c r="EEE386"/>
      <c r="EEF386"/>
      <c r="EEG386"/>
      <c r="EEH386"/>
      <c r="EEI386"/>
      <c r="EEJ386"/>
      <c r="EEK386"/>
      <c r="EEL386"/>
      <c r="EEM386"/>
      <c r="EEN386"/>
      <c r="EEO386"/>
      <c r="EEP386"/>
      <c r="EEQ386"/>
      <c r="EER386"/>
      <c r="EES386"/>
      <c r="EET386"/>
      <c r="EEU386"/>
      <c r="EEV386"/>
      <c r="EEW386"/>
      <c r="EEX386"/>
      <c r="EEY386"/>
      <c r="EEZ386"/>
      <c r="EFA386"/>
      <c r="EFB386"/>
      <c r="EFC386"/>
      <c r="EFD386"/>
      <c r="EFE386"/>
      <c r="EFF386"/>
      <c r="EFG386"/>
      <c r="EFH386"/>
      <c r="EFI386"/>
      <c r="EFJ386"/>
      <c r="EFK386"/>
      <c r="EFL386"/>
      <c r="EFM386"/>
      <c r="EFN386"/>
      <c r="EFO386"/>
      <c r="EFP386"/>
      <c r="EFQ386"/>
      <c r="EFR386"/>
      <c r="EFS386"/>
      <c r="EFT386"/>
      <c r="EFU386"/>
      <c r="EFV386"/>
      <c r="EFW386"/>
      <c r="EFX386"/>
      <c r="EFY386"/>
      <c r="EFZ386"/>
      <c r="EGA386"/>
      <c r="EGB386"/>
      <c r="EGC386"/>
      <c r="EGD386"/>
      <c r="EGE386"/>
      <c r="EGF386"/>
      <c r="EGG386"/>
      <c r="EGH386"/>
      <c r="EGI386"/>
      <c r="EGJ386"/>
      <c r="EGK386"/>
      <c r="EGL386"/>
      <c r="EGM386"/>
      <c r="EGN386"/>
      <c r="EGO386"/>
      <c r="EGP386"/>
      <c r="EGQ386"/>
      <c r="EGR386"/>
      <c r="EGS386"/>
      <c r="EGT386"/>
      <c r="EGU386"/>
      <c r="EGV386"/>
      <c r="EGW386"/>
      <c r="EGX386"/>
      <c r="EGY386"/>
      <c r="EGZ386"/>
      <c r="EHA386"/>
      <c r="EHB386"/>
      <c r="EHC386"/>
      <c r="EHD386"/>
      <c r="EHE386"/>
      <c r="EHF386"/>
      <c r="EHG386"/>
      <c r="EHH386"/>
      <c r="EHI386"/>
      <c r="EHJ386"/>
      <c r="EHK386"/>
      <c r="EHL386"/>
      <c r="EHM386"/>
      <c r="EHN386"/>
      <c r="EHO386"/>
      <c r="EHP386"/>
      <c r="EHQ386"/>
      <c r="EHR386"/>
      <c r="EHS386"/>
      <c r="EHT386"/>
      <c r="EHU386"/>
      <c r="EHV386"/>
      <c r="EHW386"/>
      <c r="EHX386"/>
      <c r="EHY386"/>
      <c r="EHZ386"/>
      <c r="EIA386"/>
      <c r="EIB386"/>
      <c r="EIC386"/>
      <c r="EID386"/>
      <c r="EIE386"/>
      <c r="EIF386"/>
      <c r="EIG386"/>
      <c r="EIH386"/>
      <c r="EII386"/>
      <c r="EIJ386"/>
      <c r="EIK386"/>
      <c r="EIL386"/>
      <c r="EIM386"/>
      <c r="EIN386"/>
      <c r="EIO386"/>
      <c r="EIP386"/>
      <c r="EIQ386"/>
      <c r="EIR386"/>
      <c r="EIS386"/>
      <c r="EIT386"/>
      <c r="EIU386"/>
      <c r="EIV386"/>
      <c r="EIW386"/>
      <c r="EIX386"/>
      <c r="EIY386"/>
      <c r="EIZ386"/>
      <c r="EJA386"/>
      <c r="EJB386"/>
      <c r="EJC386"/>
      <c r="EJD386"/>
      <c r="EJE386"/>
      <c r="EJF386"/>
      <c r="EJG386"/>
      <c r="EJH386"/>
      <c r="EJI386"/>
      <c r="EJJ386"/>
      <c r="EJK386"/>
      <c r="EJL386"/>
      <c r="EJM386"/>
      <c r="EJN386"/>
      <c r="EJO386"/>
      <c r="EJP386"/>
      <c r="EJQ386"/>
      <c r="EJR386"/>
      <c r="EJS386"/>
      <c r="EJT386"/>
      <c r="EJU386"/>
      <c r="EJV386"/>
      <c r="EJW386"/>
      <c r="EJX386"/>
      <c r="EJY386"/>
      <c r="EJZ386"/>
      <c r="EKA386"/>
      <c r="EKB386"/>
      <c r="EKC386"/>
      <c r="EKD386"/>
      <c r="EKE386"/>
      <c r="EKF386"/>
      <c r="EKG386"/>
      <c r="EKH386"/>
      <c r="EKI386"/>
      <c r="EKJ386"/>
      <c r="EKK386"/>
      <c r="EKL386"/>
      <c r="EKM386"/>
      <c r="EKN386"/>
      <c r="EKO386"/>
      <c r="EKP386"/>
      <c r="EKQ386"/>
      <c r="EKR386"/>
      <c r="EKS386"/>
      <c r="EKT386"/>
      <c r="EKU386"/>
      <c r="EKV386"/>
      <c r="EKW386"/>
      <c r="EKX386"/>
      <c r="EKY386"/>
      <c r="EKZ386"/>
      <c r="ELA386"/>
      <c r="ELB386"/>
      <c r="ELC386"/>
      <c r="ELD386"/>
      <c r="ELE386"/>
      <c r="ELF386"/>
      <c r="ELG386"/>
      <c r="ELH386"/>
      <c r="ELI386"/>
      <c r="ELJ386"/>
      <c r="ELK386"/>
      <c r="ELL386"/>
      <c r="ELM386"/>
      <c r="ELN386"/>
      <c r="ELO386"/>
      <c r="ELP386"/>
      <c r="ELQ386"/>
      <c r="ELR386"/>
      <c r="ELS386"/>
      <c r="ELT386"/>
      <c r="ELU386"/>
      <c r="ELV386"/>
      <c r="ELW386"/>
      <c r="ELX386"/>
      <c r="ELY386"/>
      <c r="ELZ386"/>
      <c r="EMA386"/>
      <c r="EMB386"/>
      <c r="EMC386"/>
      <c r="EMD386"/>
      <c r="EME386"/>
      <c r="EMF386"/>
      <c r="EMG386"/>
      <c r="EMH386"/>
      <c r="EMI386"/>
      <c r="EMJ386"/>
      <c r="EMK386"/>
      <c r="EML386"/>
      <c r="EMM386"/>
      <c r="EMN386"/>
      <c r="EMO386"/>
      <c r="EMP386"/>
      <c r="EMQ386"/>
      <c r="EMR386"/>
      <c r="EMS386"/>
      <c r="EMT386"/>
      <c r="EMU386"/>
      <c r="EMV386"/>
      <c r="EMW386"/>
      <c r="EMX386"/>
      <c r="EMY386"/>
      <c r="EMZ386"/>
      <c r="ENA386"/>
      <c r="ENB386"/>
      <c r="ENC386"/>
      <c r="END386"/>
      <c r="ENE386"/>
      <c r="ENF386"/>
      <c r="ENG386"/>
      <c r="ENH386"/>
      <c r="ENI386"/>
      <c r="ENJ386"/>
      <c r="ENK386"/>
      <c r="ENL386"/>
      <c r="ENM386"/>
      <c r="ENN386"/>
      <c r="ENO386"/>
      <c r="ENP386"/>
      <c r="ENQ386"/>
      <c r="ENR386"/>
      <c r="ENS386"/>
      <c r="ENT386"/>
      <c r="ENU386"/>
      <c r="ENV386"/>
      <c r="ENW386"/>
      <c r="ENX386"/>
      <c r="ENY386"/>
      <c r="ENZ386"/>
      <c r="EOA386"/>
      <c r="EOB386"/>
      <c r="EOC386"/>
      <c r="EOD386"/>
      <c r="EOE386"/>
      <c r="EOF386"/>
      <c r="EOG386"/>
      <c r="EOH386"/>
      <c r="EOI386"/>
      <c r="EOJ386"/>
      <c r="EOK386"/>
      <c r="EOL386"/>
      <c r="EOM386"/>
      <c r="EON386"/>
      <c r="EOO386"/>
      <c r="EOP386"/>
      <c r="EOQ386"/>
      <c r="EOR386"/>
      <c r="EOS386"/>
      <c r="EOT386"/>
      <c r="EOU386"/>
      <c r="EOV386"/>
      <c r="EOW386"/>
      <c r="EOX386"/>
      <c r="EOY386"/>
      <c r="EOZ386"/>
      <c r="EPA386"/>
      <c r="EPB386"/>
      <c r="EPC386"/>
      <c r="EPD386"/>
      <c r="EPE386"/>
      <c r="EPF386"/>
      <c r="EPG386"/>
      <c r="EPH386"/>
      <c r="EPI386"/>
      <c r="EPJ386"/>
      <c r="EPK386"/>
      <c r="EPL386"/>
      <c r="EPM386"/>
      <c r="EPN386"/>
      <c r="EPO386"/>
      <c r="EPP386"/>
      <c r="EPQ386"/>
      <c r="EPR386"/>
      <c r="EPS386"/>
      <c r="EPT386"/>
      <c r="EPU386"/>
      <c r="EPV386"/>
      <c r="EPW386"/>
      <c r="EPX386"/>
      <c r="EPY386"/>
      <c r="EPZ386"/>
      <c r="EQA386"/>
      <c r="EQB386"/>
      <c r="EQC386"/>
      <c r="EQD386"/>
      <c r="EQE386"/>
      <c r="EQF386"/>
      <c r="EQG386"/>
      <c r="EQH386"/>
      <c r="EQI386"/>
      <c r="EQJ386"/>
      <c r="EQK386"/>
      <c r="EQL386"/>
      <c r="EQM386"/>
      <c r="EQN386"/>
      <c r="EQO386"/>
      <c r="EQP386"/>
      <c r="EQQ386"/>
      <c r="EQR386"/>
      <c r="EQS386"/>
      <c r="EQT386"/>
      <c r="EQU386"/>
      <c r="EQV386"/>
      <c r="EQW386"/>
      <c r="EQX386"/>
      <c r="EQY386"/>
      <c r="EQZ386"/>
      <c r="ERA386"/>
      <c r="ERB386"/>
      <c r="ERC386"/>
      <c r="ERD386"/>
      <c r="ERE386"/>
      <c r="ERF386"/>
      <c r="ERG386"/>
      <c r="ERH386"/>
      <c r="ERI386"/>
      <c r="ERJ386"/>
      <c r="ERK386"/>
      <c r="ERL386"/>
      <c r="ERM386"/>
      <c r="ERN386"/>
      <c r="ERO386"/>
      <c r="ERP386"/>
      <c r="ERQ386"/>
      <c r="ERR386"/>
      <c r="ERS386"/>
      <c r="ERT386"/>
      <c r="ERU386"/>
      <c r="ERV386"/>
      <c r="ERW386"/>
      <c r="ERX386"/>
      <c r="ERY386"/>
      <c r="ERZ386"/>
      <c r="ESA386"/>
      <c r="ESB386"/>
      <c r="ESC386"/>
      <c r="ESD386"/>
      <c r="ESE386"/>
      <c r="ESF386"/>
      <c r="ESG386"/>
      <c r="ESH386"/>
      <c r="ESI386"/>
      <c r="ESJ386"/>
      <c r="ESK386"/>
      <c r="ESL386"/>
      <c r="ESM386"/>
      <c r="ESN386"/>
      <c r="ESO386"/>
      <c r="ESP386"/>
      <c r="ESQ386"/>
      <c r="ESR386"/>
      <c r="ESS386"/>
      <c r="EST386"/>
      <c r="ESU386"/>
      <c r="ESV386"/>
      <c r="ESW386"/>
      <c r="ESX386"/>
      <c r="ESY386"/>
      <c r="ESZ386"/>
      <c r="ETA386"/>
      <c r="ETB386"/>
      <c r="ETC386"/>
      <c r="ETD386"/>
      <c r="ETE386"/>
      <c r="ETF386"/>
      <c r="ETG386"/>
      <c r="ETH386"/>
      <c r="ETI386"/>
      <c r="ETJ386"/>
      <c r="ETK386"/>
      <c r="ETL386"/>
      <c r="ETM386"/>
      <c r="ETN386"/>
      <c r="ETO386"/>
      <c r="ETP386"/>
      <c r="ETQ386"/>
      <c r="ETR386"/>
      <c r="ETS386"/>
      <c r="ETT386"/>
      <c r="ETU386"/>
      <c r="ETV386"/>
      <c r="ETW386"/>
      <c r="ETX386"/>
      <c r="ETY386"/>
      <c r="ETZ386"/>
      <c r="EUA386"/>
      <c r="EUB386"/>
      <c r="EUC386"/>
      <c r="EUD386"/>
      <c r="EUE386"/>
      <c r="EUF386"/>
      <c r="EUG386"/>
      <c r="EUH386"/>
      <c r="EUI386"/>
      <c r="EUJ386"/>
      <c r="EUK386"/>
      <c r="EUL386"/>
      <c r="EUM386"/>
      <c r="EUN386"/>
      <c r="EUO386"/>
      <c r="EUP386"/>
      <c r="EUQ386"/>
      <c r="EUR386"/>
      <c r="EUS386"/>
      <c r="EUT386"/>
      <c r="EUU386"/>
      <c r="EUV386"/>
      <c r="EUW386"/>
      <c r="EUX386"/>
      <c r="EUY386"/>
      <c r="EUZ386"/>
      <c r="EVA386"/>
      <c r="EVB386"/>
      <c r="EVC386"/>
      <c r="EVD386"/>
      <c r="EVE386"/>
      <c r="EVF386"/>
      <c r="EVG386"/>
      <c r="EVH386"/>
      <c r="EVI386"/>
      <c r="EVJ386"/>
      <c r="EVK386"/>
      <c r="EVL386"/>
      <c r="EVM386"/>
      <c r="EVN386"/>
      <c r="EVO386"/>
      <c r="EVP386"/>
      <c r="EVQ386"/>
      <c r="EVR386"/>
      <c r="EVS386"/>
      <c r="EVT386"/>
      <c r="EVU386"/>
      <c r="EVV386"/>
      <c r="EVW386"/>
      <c r="EVX386"/>
      <c r="EVY386"/>
      <c r="EVZ386"/>
      <c r="EWA386"/>
      <c r="EWB386"/>
      <c r="EWC386"/>
      <c r="EWD386"/>
      <c r="EWE386"/>
      <c r="EWF386"/>
      <c r="EWG386"/>
      <c r="EWH386"/>
      <c r="EWI386"/>
      <c r="EWJ386"/>
      <c r="EWK386"/>
      <c r="EWL386"/>
      <c r="EWM386"/>
      <c r="EWN386"/>
      <c r="EWO386"/>
      <c r="EWP386"/>
      <c r="EWQ386"/>
      <c r="EWR386"/>
      <c r="EWS386"/>
      <c r="EWT386"/>
      <c r="EWU386"/>
      <c r="EWV386"/>
      <c r="EWW386"/>
      <c r="EWX386"/>
      <c r="EWY386"/>
      <c r="EWZ386"/>
      <c r="EXA386"/>
      <c r="EXB386"/>
      <c r="EXC386"/>
      <c r="EXD386"/>
      <c r="EXE386"/>
      <c r="EXF386"/>
      <c r="EXG386"/>
      <c r="EXH386"/>
      <c r="EXI386"/>
      <c r="EXJ386"/>
      <c r="EXK386"/>
      <c r="EXL386"/>
      <c r="EXM386"/>
      <c r="EXN386"/>
      <c r="EXO386"/>
      <c r="EXP386"/>
      <c r="EXQ386"/>
      <c r="EXR386"/>
      <c r="EXS386"/>
      <c r="EXT386"/>
      <c r="EXU386"/>
      <c r="EXV386"/>
      <c r="EXW386"/>
      <c r="EXX386"/>
      <c r="EXY386"/>
      <c r="EXZ386"/>
      <c r="EYA386"/>
      <c r="EYB386"/>
      <c r="EYC386"/>
      <c r="EYD386"/>
      <c r="EYE386"/>
      <c r="EYF386"/>
      <c r="EYG386"/>
      <c r="EYH386"/>
      <c r="EYI386"/>
      <c r="EYJ386"/>
      <c r="EYK386"/>
      <c r="EYL386"/>
      <c r="EYM386"/>
      <c r="EYN386"/>
      <c r="EYO386"/>
      <c r="EYP386"/>
      <c r="EYQ386"/>
      <c r="EYR386"/>
      <c r="EYS386"/>
      <c r="EYT386"/>
      <c r="EYU386"/>
      <c r="EYV386"/>
      <c r="EYW386"/>
      <c r="EYX386"/>
      <c r="EYY386"/>
      <c r="EYZ386"/>
      <c r="EZA386"/>
      <c r="EZB386"/>
      <c r="EZC386"/>
      <c r="EZD386"/>
      <c r="EZE386"/>
      <c r="EZF386"/>
      <c r="EZG386"/>
      <c r="EZH386"/>
      <c r="EZI386"/>
      <c r="EZJ386"/>
      <c r="EZK386"/>
      <c r="EZL386"/>
      <c r="EZM386"/>
      <c r="EZN386"/>
      <c r="EZO386"/>
      <c r="EZP386"/>
      <c r="EZQ386"/>
      <c r="EZR386"/>
      <c r="EZS386"/>
      <c r="EZT386"/>
      <c r="EZU386"/>
      <c r="EZV386"/>
      <c r="EZW386"/>
      <c r="EZX386"/>
      <c r="EZY386"/>
      <c r="EZZ386"/>
      <c r="FAA386"/>
      <c r="FAB386"/>
      <c r="FAC386"/>
      <c r="FAD386"/>
      <c r="FAE386"/>
      <c r="FAF386"/>
      <c r="FAG386"/>
      <c r="FAH386"/>
      <c r="FAI386"/>
      <c r="FAJ386"/>
      <c r="FAK386"/>
      <c r="FAL386"/>
      <c r="FAM386"/>
      <c r="FAN386"/>
      <c r="FAO386"/>
      <c r="FAP386"/>
      <c r="FAQ386"/>
      <c r="FAR386"/>
      <c r="FAS386"/>
      <c r="FAT386"/>
      <c r="FAU386"/>
      <c r="FAV386"/>
      <c r="FAW386"/>
      <c r="FAX386"/>
      <c r="FAY386"/>
      <c r="FAZ386"/>
      <c r="FBA386"/>
      <c r="FBB386"/>
      <c r="FBC386"/>
      <c r="FBD386"/>
      <c r="FBE386"/>
      <c r="FBF386"/>
      <c r="FBG386"/>
      <c r="FBH386"/>
      <c r="FBI386"/>
      <c r="FBJ386"/>
      <c r="FBK386"/>
      <c r="FBL386"/>
      <c r="FBM386"/>
      <c r="FBN386"/>
      <c r="FBO386"/>
      <c r="FBP386"/>
      <c r="FBQ386"/>
      <c r="FBR386"/>
      <c r="FBS386"/>
      <c r="FBT386"/>
      <c r="FBU386"/>
      <c r="FBV386"/>
      <c r="FBW386"/>
      <c r="FBX386"/>
      <c r="FBY386"/>
      <c r="FBZ386"/>
      <c r="FCA386"/>
      <c r="FCB386"/>
      <c r="FCC386"/>
      <c r="FCD386"/>
      <c r="FCE386"/>
      <c r="FCF386"/>
      <c r="FCG386"/>
      <c r="FCH386"/>
      <c r="FCI386"/>
      <c r="FCJ386"/>
      <c r="FCK386"/>
      <c r="FCL386"/>
      <c r="FCM386"/>
      <c r="FCN386"/>
      <c r="FCO386"/>
      <c r="FCP386"/>
      <c r="FCQ386"/>
      <c r="FCR386"/>
      <c r="FCS386"/>
      <c r="FCT386"/>
      <c r="FCU386"/>
      <c r="FCV386"/>
      <c r="FCW386"/>
      <c r="FCX386"/>
      <c r="FCY386"/>
      <c r="FCZ386"/>
      <c r="FDA386"/>
      <c r="FDB386"/>
      <c r="FDC386"/>
      <c r="FDD386"/>
      <c r="FDE386"/>
      <c r="FDF386"/>
      <c r="FDG386"/>
      <c r="FDH386"/>
      <c r="FDI386"/>
      <c r="FDJ386"/>
      <c r="FDK386"/>
      <c r="FDL386"/>
      <c r="FDM386"/>
      <c r="FDN386"/>
      <c r="FDO386"/>
      <c r="FDP386"/>
      <c r="FDQ386"/>
      <c r="FDR386"/>
      <c r="FDS386"/>
      <c r="FDT386"/>
      <c r="FDU386"/>
      <c r="FDV386"/>
      <c r="FDW386"/>
      <c r="FDX386"/>
      <c r="FDY386"/>
      <c r="FDZ386"/>
      <c r="FEA386"/>
      <c r="FEB386"/>
      <c r="FEC386"/>
      <c r="FED386"/>
      <c r="FEE386"/>
      <c r="FEF386"/>
      <c r="FEG386"/>
      <c r="FEH386"/>
      <c r="FEI386"/>
      <c r="FEJ386"/>
      <c r="FEK386"/>
      <c r="FEL386"/>
      <c r="FEM386"/>
      <c r="FEN386"/>
      <c r="FEO386"/>
      <c r="FEP386"/>
      <c r="FEQ386"/>
      <c r="FER386"/>
      <c r="FES386"/>
      <c r="FET386"/>
      <c r="FEU386"/>
      <c r="FEV386"/>
      <c r="FEW386"/>
      <c r="FEX386"/>
      <c r="FEY386"/>
      <c r="FEZ386"/>
      <c r="FFA386"/>
      <c r="FFB386"/>
      <c r="FFC386"/>
      <c r="FFD386"/>
      <c r="FFE386"/>
      <c r="FFF386"/>
      <c r="FFG386"/>
      <c r="FFH386"/>
      <c r="FFI386"/>
      <c r="FFJ386"/>
      <c r="FFK386"/>
      <c r="FFL386"/>
      <c r="FFM386"/>
      <c r="FFN386"/>
      <c r="FFO386"/>
      <c r="FFP386"/>
      <c r="FFQ386"/>
      <c r="FFR386"/>
      <c r="FFS386"/>
      <c r="FFT386"/>
      <c r="FFU386"/>
      <c r="FFV386"/>
      <c r="FFW386"/>
      <c r="FFX386"/>
      <c r="FFY386"/>
      <c r="FFZ386"/>
      <c r="FGA386"/>
      <c r="FGB386"/>
      <c r="FGC386"/>
      <c r="FGD386"/>
      <c r="FGE386"/>
      <c r="FGF386"/>
      <c r="FGG386"/>
      <c r="FGH386"/>
      <c r="FGI386"/>
      <c r="FGJ386"/>
      <c r="FGK386"/>
      <c r="FGL386"/>
      <c r="FGM386"/>
      <c r="FGN386"/>
      <c r="FGO386"/>
      <c r="FGP386"/>
      <c r="FGQ386"/>
      <c r="FGR386"/>
      <c r="FGS386"/>
      <c r="FGT386"/>
      <c r="FGU386"/>
      <c r="FGV386"/>
      <c r="FGW386"/>
      <c r="FGX386"/>
      <c r="FGY386"/>
      <c r="FGZ386"/>
      <c r="FHA386"/>
      <c r="FHB386"/>
      <c r="FHC386"/>
      <c r="FHD386"/>
      <c r="FHE386"/>
      <c r="FHF386"/>
      <c r="FHG386"/>
      <c r="FHH386"/>
      <c r="FHI386"/>
      <c r="FHJ386"/>
      <c r="FHK386"/>
      <c r="FHL386"/>
      <c r="FHM386"/>
      <c r="FHN386"/>
      <c r="FHO386"/>
      <c r="FHP386"/>
      <c r="FHQ386"/>
      <c r="FHR386"/>
      <c r="FHS386"/>
      <c r="FHT386"/>
      <c r="FHU386"/>
      <c r="FHV386"/>
      <c r="FHW386"/>
      <c r="FHX386"/>
      <c r="FHY386"/>
      <c r="FHZ386"/>
      <c r="FIA386"/>
      <c r="FIB386"/>
      <c r="FIC386"/>
      <c r="FID386"/>
      <c r="FIE386"/>
      <c r="FIF386"/>
      <c r="FIG386"/>
      <c r="FIH386"/>
      <c r="FII386"/>
      <c r="FIJ386"/>
      <c r="FIK386"/>
      <c r="FIL386"/>
      <c r="FIM386"/>
      <c r="FIN386"/>
      <c r="FIO386"/>
      <c r="FIP386"/>
      <c r="FIQ386"/>
      <c r="FIR386"/>
      <c r="FIS386"/>
      <c r="FIT386"/>
      <c r="FIU386"/>
      <c r="FIV386"/>
      <c r="FIW386"/>
      <c r="FIX386"/>
      <c r="FIY386"/>
      <c r="FIZ386"/>
      <c r="FJA386"/>
      <c r="FJB386"/>
      <c r="FJC386"/>
      <c r="FJD386"/>
      <c r="FJE386"/>
      <c r="FJF386"/>
      <c r="FJG386"/>
      <c r="FJH386"/>
      <c r="FJI386"/>
      <c r="FJJ386"/>
      <c r="FJK386"/>
      <c r="FJL386"/>
      <c r="FJM386"/>
      <c r="FJN386"/>
      <c r="FJO386"/>
      <c r="FJP386"/>
      <c r="FJQ386"/>
      <c r="FJR386"/>
      <c r="FJS386"/>
      <c r="FJT386"/>
      <c r="FJU386"/>
      <c r="FJV386"/>
      <c r="FJW386"/>
      <c r="FJX386"/>
      <c r="FJY386"/>
      <c r="FJZ386"/>
      <c r="FKA386"/>
      <c r="FKB386"/>
      <c r="FKC386"/>
      <c r="FKD386"/>
      <c r="FKE386"/>
      <c r="FKF386"/>
      <c r="FKG386"/>
      <c r="FKH386"/>
      <c r="FKI386"/>
      <c r="FKJ386"/>
      <c r="FKK386"/>
      <c r="FKL386"/>
      <c r="FKM386"/>
      <c r="FKN386"/>
      <c r="FKO386"/>
      <c r="FKP386"/>
      <c r="FKQ386"/>
      <c r="FKR386"/>
      <c r="FKS386"/>
      <c r="FKT386"/>
      <c r="FKU386"/>
      <c r="FKV386"/>
      <c r="FKW386"/>
      <c r="FKX386"/>
      <c r="FKY386"/>
      <c r="FKZ386"/>
      <c r="FLA386"/>
      <c r="FLB386"/>
      <c r="FLC386"/>
      <c r="FLD386"/>
      <c r="FLE386"/>
      <c r="FLF386"/>
      <c r="FLG386"/>
      <c r="FLH386"/>
      <c r="FLI386"/>
      <c r="FLJ386"/>
      <c r="FLK386"/>
      <c r="FLL386"/>
      <c r="FLM386"/>
      <c r="FLN386"/>
      <c r="FLO386"/>
      <c r="FLP386"/>
      <c r="FLQ386"/>
      <c r="FLR386"/>
      <c r="FLS386"/>
      <c r="FLT386"/>
      <c r="FLU386"/>
      <c r="FLV386"/>
      <c r="FLW386"/>
      <c r="FLX386"/>
      <c r="FLY386"/>
      <c r="FLZ386"/>
      <c r="FMA386"/>
      <c r="FMB386"/>
      <c r="FMC386"/>
      <c r="FMD386"/>
      <c r="FME386"/>
      <c r="FMF386"/>
      <c r="FMG386"/>
      <c r="FMH386"/>
      <c r="FMI386"/>
      <c r="FMJ386"/>
      <c r="FMK386"/>
      <c r="FML386"/>
      <c r="FMM386"/>
      <c r="FMN386"/>
      <c r="FMO386"/>
      <c r="FMP386"/>
      <c r="FMQ386"/>
      <c r="FMR386"/>
      <c r="FMS386"/>
      <c r="FMT386"/>
      <c r="FMU386"/>
      <c r="FMV386"/>
      <c r="FMW386"/>
      <c r="FMX386"/>
      <c r="FMY386"/>
      <c r="FMZ386"/>
      <c r="FNA386"/>
      <c r="FNB386"/>
      <c r="FNC386"/>
      <c r="FND386"/>
      <c r="FNE386"/>
      <c r="FNF386"/>
      <c r="FNG386"/>
      <c r="FNH386"/>
      <c r="FNI386"/>
      <c r="FNJ386"/>
      <c r="FNK386"/>
      <c r="FNL386"/>
      <c r="FNM386"/>
      <c r="FNN386"/>
      <c r="FNO386"/>
      <c r="FNP386"/>
      <c r="FNQ386"/>
      <c r="FNR386"/>
      <c r="FNS386"/>
      <c r="FNT386"/>
      <c r="FNU386"/>
      <c r="FNV386"/>
      <c r="FNW386"/>
      <c r="FNX386"/>
      <c r="FNY386"/>
      <c r="FNZ386"/>
      <c r="FOA386"/>
      <c r="FOB386"/>
      <c r="FOC386"/>
      <c r="FOD386"/>
      <c r="FOE386"/>
      <c r="FOF386"/>
      <c r="FOG386"/>
      <c r="FOH386"/>
      <c r="FOI386"/>
      <c r="FOJ386"/>
      <c r="FOK386"/>
      <c r="FOL386"/>
      <c r="FOM386"/>
      <c r="FON386"/>
      <c r="FOO386"/>
      <c r="FOP386"/>
      <c r="FOQ386"/>
      <c r="FOR386"/>
      <c r="FOS386"/>
      <c r="FOT386"/>
      <c r="FOU386"/>
      <c r="FOV386"/>
      <c r="FOW386"/>
      <c r="FOX386"/>
      <c r="FOY386"/>
      <c r="FOZ386"/>
      <c r="FPA386"/>
      <c r="FPB386"/>
      <c r="FPC386"/>
      <c r="FPD386"/>
      <c r="FPE386"/>
      <c r="FPF386"/>
      <c r="FPG386"/>
      <c r="FPH386"/>
      <c r="FPI386"/>
      <c r="FPJ386"/>
      <c r="FPK386"/>
      <c r="FPL386"/>
      <c r="FPM386"/>
      <c r="FPN386"/>
      <c r="FPO386"/>
      <c r="FPP386"/>
      <c r="FPQ386"/>
      <c r="FPR386"/>
      <c r="FPS386"/>
      <c r="FPT386"/>
      <c r="FPU386"/>
      <c r="FPV386"/>
      <c r="FPW386"/>
      <c r="FPX386"/>
      <c r="FPY386"/>
      <c r="FPZ386"/>
      <c r="FQA386"/>
      <c r="FQB386"/>
      <c r="FQC386"/>
      <c r="FQD386"/>
      <c r="FQE386"/>
      <c r="FQF386"/>
      <c r="FQG386"/>
      <c r="FQH386"/>
      <c r="FQI386"/>
      <c r="FQJ386"/>
      <c r="FQK386"/>
      <c r="FQL386"/>
      <c r="FQM386"/>
      <c r="FQN386"/>
      <c r="FQO386"/>
      <c r="FQP386"/>
      <c r="FQQ386"/>
      <c r="FQR386"/>
      <c r="FQS386"/>
      <c r="FQT386"/>
      <c r="FQU386"/>
      <c r="FQV386"/>
      <c r="FQW386"/>
      <c r="FQX386"/>
      <c r="FQY386"/>
      <c r="FQZ386"/>
      <c r="FRA386"/>
      <c r="FRB386"/>
      <c r="FRC386"/>
      <c r="FRD386"/>
      <c r="FRE386"/>
      <c r="FRF386"/>
      <c r="FRG386"/>
      <c r="FRH386"/>
      <c r="FRI386"/>
      <c r="FRJ386"/>
      <c r="FRK386"/>
      <c r="FRL386"/>
      <c r="FRM386"/>
      <c r="FRN386"/>
      <c r="FRO386"/>
      <c r="FRP386"/>
      <c r="FRQ386"/>
      <c r="FRR386"/>
      <c r="FRS386"/>
      <c r="FRT386"/>
      <c r="FRU386"/>
      <c r="FRV386"/>
      <c r="FRW386"/>
      <c r="FRX386"/>
      <c r="FRY386"/>
      <c r="FRZ386"/>
      <c r="FSA386"/>
      <c r="FSB386"/>
      <c r="FSC386"/>
      <c r="FSD386"/>
      <c r="FSE386"/>
      <c r="FSF386"/>
      <c r="FSG386"/>
      <c r="FSH386"/>
      <c r="FSI386"/>
      <c r="FSJ386"/>
      <c r="FSK386"/>
      <c r="FSL386"/>
      <c r="FSM386"/>
      <c r="FSN386"/>
      <c r="FSO386"/>
      <c r="FSP386"/>
      <c r="FSQ386"/>
      <c r="FSR386"/>
      <c r="FSS386"/>
      <c r="FST386"/>
      <c r="FSU386"/>
      <c r="FSV386"/>
      <c r="FSW386"/>
      <c r="FSX386"/>
      <c r="FSY386"/>
      <c r="FSZ386"/>
      <c r="FTA386"/>
      <c r="FTB386"/>
      <c r="FTC386"/>
      <c r="FTD386"/>
      <c r="FTE386"/>
      <c r="FTF386"/>
      <c r="FTG386"/>
      <c r="FTH386"/>
      <c r="FTI386"/>
      <c r="FTJ386"/>
      <c r="FTK386"/>
      <c r="FTL386"/>
      <c r="FTM386"/>
      <c r="FTN386"/>
      <c r="FTO386"/>
      <c r="FTP386"/>
      <c r="FTQ386"/>
      <c r="FTR386"/>
      <c r="FTS386"/>
      <c r="FTT386"/>
      <c r="FTU386"/>
      <c r="FTV386"/>
      <c r="FTW386"/>
      <c r="FTX386"/>
      <c r="FTY386"/>
      <c r="FTZ386"/>
      <c r="FUA386"/>
      <c r="FUB386"/>
      <c r="FUC386"/>
      <c r="FUD386"/>
      <c r="FUE386"/>
      <c r="FUF386"/>
      <c r="FUG386"/>
      <c r="FUH386"/>
      <c r="FUI386"/>
      <c r="FUJ386"/>
      <c r="FUK386"/>
      <c r="FUL386"/>
      <c r="FUM386"/>
      <c r="FUN386"/>
      <c r="FUO386"/>
      <c r="FUP386"/>
      <c r="FUQ386"/>
      <c r="FUR386"/>
      <c r="FUS386"/>
      <c r="FUT386"/>
      <c r="FUU386"/>
      <c r="FUV386"/>
      <c r="FUW386"/>
      <c r="FUX386"/>
      <c r="FUY386"/>
      <c r="FUZ386"/>
      <c r="FVA386"/>
      <c r="FVB386"/>
      <c r="FVC386"/>
      <c r="FVD386"/>
      <c r="FVE386"/>
      <c r="FVF386"/>
      <c r="FVG386"/>
      <c r="FVH386"/>
      <c r="FVI386"/>
      <c r="FVJ386"/>
      <c r="FVK386"/>
      <c r="FVL386"/>
      <c r="FVM386"/>
      <c r="FVN386"/>
      <c r="FVO386"/>
      <c r="FVP386"/>
      <c r="FVQ386"/>
      <c r="FVR386"/>
      <c r="FVS386"/>
      <c r="FVT386"/>
      <c r="FVU386"/>
      <c r="FVV386"/>
      <c r="FVW386"/>
      <c r="FVX386"/>
      <c r="FVY386"/>
      <c r="FVZ386"/>
      <c r="FWA386"/>
      <c r="FWB386"/>
      <c r="FWC386"/>
      <c r="FWD386"/>
      <c r="FWE386"/>
      <c r="FWF386"/>
      <c r="FWG386"/>
      <c r="FWH386"/>
      <c r="FWI386"/>
      <c r="FWJ386"/>
      <c r="FWK386"/>
      <c r="FWL386"/>
      <c r="FWM386"/>
      <c r="FWN386"/>
      <c r="FWO386"/>
      <c r="FWP386"/>
      <c r="FWQ386"/>
      <c r="FWR386"/>
      <c r="FWS386"/>
      <c r="FWT386"/>
      <c r="FWU386"/>
      <c r="FWV386"/>
      <c r="FWW386"/>
      <c r="FWX386"/>
      <c r="FWY386"/>
      <c r="FWZ386"/>
      <c r="FXA386"/>
      <c r="FXB386"/>
      <c r="FXC386"/>
      <c r="FXD386"/>
      <c r="FXE386"/>
      <c r="FXF386"/>
      <c r="FXG386"/>
      <c r="FXH386"/>
      <c r="FXI386"/>
      <c r="FXJ386"/>
      <c r="FXK386"/>
      <c r="FXL386"/>
      <c r="FXM386"/>
      <c r="FXN386"/>
      <c r="FXO386"/>
      <c r="FXP386"/>
      <c r="FXQ386"/>
      <c r="FXR386"/>
      <c r="FXS386"/>
      <c r="FXT386"/>
      <c r="FXU386"/>
      <c r="FXV386"/>
      <c r="FXW386"/>
      <c r="FXX386"/>
      <c r="FXY386"/>
      <c r="FXZ386"/>
      <c r="FYA386"/>
      <c r="FYB386"/>
      <c r="FYC386"/>
      <c r="FYD386"/>
      <c r="FYE386"/>
      <c r="FYF386"/>
      <c r="FYG386"/>
      <c r="FYH386"/>
      <c r="FYI386"/>
      <c r="FYJ386"/>
      <c r="FYK386"/>
      <c r="FYL386"/>
      <c r="FYM386"/>
      <c r="FYN386"/>
      <c r="FYO386"/>
      <c r="FYP386"/>
      <c r="FYQ386"/>
      <c r="FYR386"/>
      <c r="FYS386"/>
      <c r="FYT386"/>
      <c r="FYU386"/>
      <c r="FYV386"/>
      <c r="FYW386"/>
      <c r="FYX386"/>
      <c r="FYY386"/>
      <c r="FYZ386"/>
      <c r="FZA386"/>
      <c r="FZB386"/>
      <c r="FZC386"/>
      <c r="FZD386"/>
      <c r="FZE386"/>
      <c r="FZF386"/>
      <c r="FZG386"/>
      <c r="FZH386"/>
      <c r="FZI386"/>
      <c r="FZJ386"/>
      <c r="FZK386"/>
      <c r="FZL386"/>
      <c r="FZM386"/>
      <c r="FZN386"/>
      <c r="FZO386"/>
      <c r="FZP386"/>
      <c r="FZQ386"/>
      <c r="FZR386"/>
      <c r="FZS386"/>
      <c r="FZT386"/>
      <c r="FZU386"/>
      <c r="FZV386"/>
      <c r="FZW386"/>
      <c r="FZX386"/>
      <c r="FZY386"/>
      <c r="FZZ386"/>
      <c r="GAA386"/>
      <c r="GAB386"/>
      <c r="GAC386"/>
      <c r="GAD386"/>
      <c r="GAE386"/>
      <c r="GAF386"/>
      <c r="GAG386"/>
      <c r="GAH386"/>
      <c r="GAI386"/>
      <c r="GAJ386"/>
      <c r="GAK386"/>
      <c r="GAL386"/>
      <c r="GAM386"/>
      <c r="GAN386"/>
      <c r="GAO386"/>
      <c r="GAP386"/>
      <c r="GAQ386"/>
      <c r="GAR386"/>
      <c r="GAS386"/>
      <c r="GAT386"/>
      <c r="GAU386"/>
      <c r="GAV386"/>
      <c r="GAW386"/>
      <c r="GAX386"/>
      <c r="GAY386"/>
      <c r="GAZ386"/>
      <c r="GBA386"/>
      <c r="GBB386"/>
      <c r="GBC386"/>
      <c r="GBD386"/>
      <c r="GBE386"/>
      <c r="GBF386"/>
      <c r="GBG386"/>
      <c r="GBH386"/>
      <c r="GBI386"/>
      <c r="GBJ386"/>
      <c r="GBK386"/>
      <c r="GBL386"/>
      <c r="GBM386"/>
      <c r="GBN386"/>
      <c r="GBO386"/>
      <c r="GBP386"/>
      <c r="GBQ386"/>
      <c r="GBR386"/>
      <c r="GBS386"/>
      <c r="GBT386"/>
      <c r="GBU386"/>
      <c r="GBV386"/>
      <c r="GBW386"/>
      <c r="GBX386"/>
      <c r="GBY386"/>
      <c r="GBZ386"/>
      <c r="GCA386"/>
      <c r="GCB386"/>
      <c r="GCC386"/>
      <c r="GCD386"/>
      <c r="GCE386"/>
      <c r="GCF386"/>
      <c r="GCG386"/>
      <c r="GCH386"/>
      <c r="GCI386"/>
      <c r="GCJ386"/>
      <c r="GCK386"/>
      <c r="GCL386"/>
      <c r="GCM386"/>
      <c r="GCN386"/>
      <c r="GCO386"/>
      <c r="GCP386"/>
      <c r="GCQ386"/>
      <c r="GCR386"/>
      <c r="GCS386"/>
      <c r="GCT386"/>
      <c r="GCU386"/>
      <c r="GCV386"/>
      <c r="GCW386"/>
      <c r="GCX386"/>
      <c r="GCY386"/>
      <c r="GCZ386"/>
      <c r="GDA386"/>
      <c r="GDB386"/>
      <c r="GDC386"/>
      <c r="GDD386"/>
      <c r="GDE386"/>
      <c r="GDF386"/>
      <c r="GDG386"/>
      <c r="GDH386"/>
      <c r="GDI386"/>
      <c r="GDJ386"/>
      <c r="GDK386"/>
      <c r="GDL386"/>
      <c r="GDM386"/>
      <c r="GDN386"/>
      <c r="GDO386"/>
      <c r="GDP386"/>
      <c r="GDQ386"/>
      <c r="GDR386"/>
      <c r="GDS386"/>
      <c r="GDT386"/>
      <c r="GDU386"/>
      <c r="GDV386"/>
      <c r="GDW386"/>
      <c r="GDX386"/>
      <c r="GDY386"/>
      <c r="GDZ386"/>
      <c r="GEA386"/>
      <c r="GEB386"/>
      <c r="GEC386"/>
      <c r="GED386"/>
      <c r="GEE386"/>
      <c r="GEF386"/>
      <c r="GEG386"/>
      <c r="GEH386"/>
      <c r="GEI386"/>
      <c r="GEJ386"/>
      <c r="GEK386"/>
      <c r="GEL386"/>
      <c r="GEM386"/>
      <c r="GEN386"/>
      <c r="GEO386"/>
      <c r="GEP386"/>
      <c r="GEQ386"/>
      <c r="GER386"/>
      <c r="GES386"/>
      <c r="GET386"/>
      <c r="GEU386"/>
      <c r="GEV386"/>
      <c r="GEW386"/>
      <c r="GEX386"/>
      <c r="GEY386"/>
      <c r="GEZ386"/>
      <c r="GFA386"/>
      <c r="GFB386"/>
      <c r="GFC386"/>
      <c r="GFD386"/>
      <c r="GFE386"/>
      <c r="GFF386"/>
      <c r="GFG386"/>
      <c r="GFH386"/>
      <c r="GFI386"/>
      <c r="GFJ386"/>
      <c r="GFK386"/>
      <c r="GFL386"/>
      <c r="GFM386"/>
      <c r="GFN386"/>
      <c r="GFO386"/>
      <c r="GFP386"/>
      <c r="GFQ386"/>
      <c r="GFR386"/>
      <c r="GFS386"/>
      <c r="GFT386"/>
      <c r="GFU386"/>
      <c r="GFV386"/>
      <c r="GFW386"/>
      <c r="GFX386"/>
      <c r="GFY386"/>
      <c r="GFZ386"/>
      <c r="GGA386"/>
      <c r="GGB386"/>
      <c r="GGC386"/>
      <c r="GGD386"/>
      <c r="GGE386"/>
      <c r="GGF386"/>
      <c r="GGG386"/>
      <c r="GGH386"/>
      <c r="GGI386"/>
      <c r="GGJ386"/>
      <c r="GGK386"/>
      <c r="GGL386"/>
      <c r="GGM386"/>
      <c r="GGN386"/>
      <c r="GGO386"/>
      <c r="GGP386"/>
      <c r="GGQ386"/>
      <c r="GGR386"/>
      <c r="GGS386"/>
      <c r="GGT386"/>
      <c r="GGU386"/>
      <c r="GGV386"/>
      <c r="GGW386"/>
      <c r="GGX386"/>
      <c r="GGY386"/>
      <c r="GGZ386"/>
      <c r="GHA386"/>
      <c r="GHB386"/>
      <c r="GHC386"/>
      <c r="GHD386"/>
      <c r="GHE386"/>
      <c r="GHF386"/>
      <c r="GHG386"/>
      <c r="GHH386"/>
      <c r="GHI386"/>
      <c r="GHJ386"/>
      <c r="GHK386"/>
      <c r="GHL386"/>
      <c r="GHM386"/>
      <c r="GHN386"/>
      <c r="GHO386"/>
      <c r="GHP386"/>
      <c r="GHQ386"/>
      <c r="GHR386"/>
      <c r="GHS386"/>
      <c r="GHT386"/>
      <c r="GHU386"/>
      <c r="GHV386"/>
      <c r="GHW386"/>
      <c r="GHX386"/>
      <c r="GHY386"/>
      <c r="GHZ386"/>
      <c r="GIA386"/>
      <c r="GIB386"/>
      <c r="GIC386"/>
      <c r="GID386"/>
      <c r="GIE386"/>
      <c r="GIF386"/>
      <c r="GIG386"/>
      <c r="GIH386"/>
      <c r="GII386"/>
      <c r="GIJ386"/>
      <c r="GIK386"/>
      <c r="GIL386"/>
      <c r="GIM386"/>
      <c r="GIN386"/>
      <c r="GIO386"/>
      <c r="GIP386"/>
      <c r="GIQ386"/>
      <c r="GIR386"/>
      <c r="GIS386"/>
      <c r="GIT386"/>
      <c r="GIU386"/>
      <c r="GIV386"/>
      <c r="GIW386"/>
      <c r="GIX386"/>
      <c r="GIY386"/>
      <c r="GIZ386"/>
      <c r="GJA386"/>
      <c r="GJB386"/>
      <c r="GJC386"/>
      <c r="GJD386"/>
      <c r="GJE386"/>
      <c r="GJF386"/>
      <c r="GJG386"/>
      <c r="GJH386"/>
      <c r="GJI386"/>
      <c r="GJJ386"/>
      <c r="GJK386"/>
      <c r="GJL386"/>
      <c r="GJM386"/>
      <c r="GJN386"/>
      <c r="GJO386"/>
      <c r="GJP386"/>
      <c r="GJQ386"/>
      <c r="GJR386"/>
      <c r="GJS386"/>
      <c r="GJT386"/>
      <c r="GJU386"/>
      <c r="GJV386"/>
      <c r="GJW386"/>
      <c r="GJX386"/>
      <c r="GJY386"/>
      <c r="GJZ386"/>
      <c r="GKA386"/>
      <c r="GKB386"/>
      <c r="GKC386"/>
      <c r="GKD386"/>
      <c r="GKE386"/>
      <c r="GKF386"/>
      <c r="GKG386"/>
      <c r="GKH386"/>
      <c r="GKI386"/>
      <c r="GKJ386"/>
      <c r="GKK386"/>
      <c r="GKL386"/>
      <c r="GKM386"/>
      <c r="GKN386"/>
      <c r="GKO386"/>
      <c r="GKP386"/>
      <c r="GKQ386"/>
      <c r="GKR386"/>
      <c r="GKS386"/>
      <c r="GKT386"/>
      <c r="GKU386"/>
      <c r="GKV386"/>
      <c r="GKW386"/>
      <c r="GKX386"/>
      <c r="GKY386"/>
      <c r="GKZ386"/>
      <c r="GLA386"/>
      <c r="GLB386"/>
      <c r="GLC386"/>
      <c r="GLD386"/>
      <c r="GLE386"/>
      <c r="GLF386"/>
      <c r="GLG386"/>
      <c r="GLH386"/>
      <c r="GLI386"/>
      <c r="GLJ386"/>
      <c r="GLK386"/>
      <c r="GLL386"/>
      <c r="GLM386"/>
      <c r="GLN386"/>
      <c r="GLO386"/>
      <c r="GLP386"/>
      <c r="GLQ386"/>
      <c r="GLR386"/>
      <c r="GLS386"/>
      <c r="GLT386"/>
      <c r="GLU386"/>
      <c r="GLV386"/>
      <c r="GLW386"/>
      <c r="GLX386"/>
      <c r="GLY386"/>
      <c r="GLZ386"/>
      <c r="GMA386"/>
      <c r="GMB386"/>
      <c r="GMC386"/>
      <c r="GMD386"/>
      <c r="GME386"/>
      <c r="GMF386"/>
      <c r="GMG386"/>
      <c r="GMH386"/>
      <c r="GMI386"/>
      <c r="GMJ386"/>
      <c r="GMK386"/>
      <c r="GML386"/>
      <c r="GMM386"/>
      <c r="GMN386"/>
      <c r="GMO386"/>
      <c r="GMP386"/>
      <c r="GMQ386"/>
      <c r="GMR386"/>
      <c r="GMS386"/>
      <c r="GMT386"/>
      <c r="GMU386"/>
      <c r="GMV386"/>
      <c r="GMW386"/>
      <c r="GMX386"/>
      <c r="GMY386"/>
      <c r="GMZ386"/>
      <c r="GNA386"/>
      <c r="GNB386"/>
      <c r="GNC386"/>
      <c r="GND386"/>
      <c r="GNE386"/>
      <c r="GNF386"/>
      <c r="GNG386"/>
      <c r="GNH386"/>
      <c r="GNI386"/>
      <c r="GNJ386"/>
      <c r="GNK386"/>
      <c r="GNL386"/>
      <c r="GNM386"/>
      <c r="GNN386"/>
      <c r="GNO386"/>
      <c r="GNP386"/>
      <c r="GNQ386"/>
      <c r="GNR386"/>
      <c r="GNS386"/>
      <c r="GNT386"/>
      <c r="GNU386"/>
      <c r="GNV386"/>
      <c r="GNW386"/>
      <c r="GNX386"/>
      <c r="GNY386"/>
      <c r="GNZ386"/>
      <c r="GOA386"/>
      <c r="GOB386"/>
      <c r="GOC386"/>
      <c r="GOD386"/>
      <c r="GOE386"/>
      <c r="GOF386"/>
      <c r="GOG386"/>
      <c r="GOH386"/>
      <c r="GOI386"/>
      <c r="GOJ386"/>
      <c r="GOK386"/>
      <c r="GOL386"/>
      <c r="GOM386"/>
      <c r="GON386"/>
      <c r="GOO386"/>
      <c r="GOP386"/>
      <c r="GOQ386"/>
      <c r="GOR386"/>
      <c r="GOS386"/>
      <c r="GOT386"/>
      <c r="GOU386"/>
      <c r="GOV386"/>
      <c r="GOW386"/>
      <c r="GOX386"/>
      <c r="GOY386"/>
      <c r="GOZ386"/>
      <c r="GPA386"/>
      <c r="GPB386"/>
      <c r="GPC386"/>
      <c r="GPD386"/>
      <c r="GPE386"/>
      <c r="GPF386"/>
      <c r="GPG386"/>
      <c r="GPH386"/>
      <c r="GPI386"/>
      <c r="GPJ386"/>
      <c r="GPK386"/>
      <c r="GPL386"/>
      <c r="GPM386"/>
      <c r="GPN386"/>
      <c r="GPO386"/>
      <c r="GPP386"/>
      <c r="GPQ386"/>
      <c r="GPR386"/>
      <c r="GPS386"/>
      <c r="GPT386"/>
      <c r="GPU386"/>
      <c r="GPV386"/>
      <c r="GPW386"/>
      <c r="GPX386"/>
      <c r="GPY386"/>
      <c r="GPZ386"/>
      <c r="GQA386"/>
      <c r="GQB386"/>
      <c r="GQC386"/>
      <c r="GQD386"/>
      <c r="GQE386"/>
      <c r="GQF386"/>
      <c r="GQG386"/>
      <c r="GQH386"/>
      <c r="GQI386"/>
      <c r="GQJ386"/>
      <c r="GQK386"/>
      <c r="GQL386"/>
      <c r="GQM386"/>
      <c r="GQN386"/>
      <c r="GQO386"/>
      <c r="GQP386"/>
      <c r="GQQ386"/>
      <c r="GQR386"/>
      <c r="GQS386"/>
      <c r="GQT386"/>
      <c r="GQU386"/>
      <c r="GQV386"/>
      <c r="GQW386"/>
      <c r="GQX386"/>
      <c r="GQY386"/>
      <c r="GQZ386"/>
      <c r="GRA386"/>
      <c r="GRB386"/>
      <c r="GRC386"/>
      <c r="GRD386"/>
      <c r="GRE386"/>
      <c r="GRF386"/>
      <c r="GRG386"/>
      <c r="GRH386"/>
      <c r="GRI386"/>
      <c r="GRJ386"/>
      <c r="GRK386"/>
      <c r="GRL386"/>
      <c r="GRM386"/>
      <c r="GRN386"/>
      <c r="GRO386"/>
      <c r="GRP386"/>
      <c r="GRQ386"/>
      <c r="GRR386"/>
      <c r="GRS386"/>
      <c r="GRT386"/>
      <c r="GRU386"/>
      <c r="GRV386"/>
      <c r="GRW386"/>
      <c r="GRX386"/>
      <c r="GRY386"/>
      <c r="GRZ386"/>
      <c r="GSA386"/>
      <c r="GSB386"/>
      <c r="GSC386"/>
      <c r="GSD386"/>
      <c r="GSE386"/>
      <c r="GSF386"/>
      <c r="GSG386"/>
      <c r="GSH386"/>
      <c r="GSI386"/>
      <c r="GSJ386"/>
      <c r="GSK386"/>
      <c r="GSL386"/>
      <c r="GSM386"/>
      <c r="GSN386"/>
      <c r="GSO386"/>
      <c r="GSP386"/>
      <c r="GSQ386"/>
      <c r="GSR386"/>
      <c r="GSS386"/>
      <c r="GST386"/>
      <c r="GSU386"/>
      <c r="GSV386"/>
      <c r="GSW386"/>
      <c r="GSX386"/>
      <c r="GSY386"/>
      <c r="GSZ386"/>
      <c r="GTA386"/>
      <c r="GTB386"/>
      <c r="GTC386"/>
      <c r="GTD386"/>
      <c r="GTE386"/>
      <c r="GTF386"/>
      <c r="GTG386"/>
      <c r="GTH386"/>
      <c r="GTI386"/>
      <c r="GTJ386"/>
      <c r="GTK386"/>
      <c r="GTL386"/>
      <c r="GTM386"/>
      <c r="GTN386"/>
      <c r="GTO386"/>
      <c r="GTP386"/>
      <c r="GTQ386"/>
      <c r="GTR386"/>
      <c r="GTS386"/>
      <c r="GTT386"/>
      <c r="GTU386"/>
      <c r="GTV386"/>
      <c r="GTW386"/>
      <c r="GTX386"/>
      <c r="GTY386"/>
      <c r="GTZ386"/>
      <c r="GUA386"/>
      <c r="GUB386"/>
      <c r="GUC386"/>
      <c r="GUD386"/>
      <c r="GUE386"/>
      <c r="GUF386"/>
      <c r="GUG386"/>
      <c r="GUH386"/>
      <c r="GUI386"/>
      <c r="GUJ386"/>
      <c r="GUK386"/>
      <c r="GUL386"/>
      <c r="GUM386"/>
      <c r="GUN386"/>
      <c r="GUO386"/>
      <c r="GUP386"/>
      <c r="GUQ386"/>
      <c r="GUR386"/>
      <c r="GUS386"/>
      <c r="GUT386"/>
      <c r="GUU386"/>
      <c r="GUV386"/>
      <c r="GUW386"/>
      <c r="GUX386"/>
      <c r="GUY386"/>
      <c r="GUZ386"/>
      <c r="GVA386"/>
      <c r="GVB386"/>
      <c r="GVC386"/>
      <c r="GVD386"/>
      <c r="GVE386"/>
      <c r="GVF386"/>
      <c r="GVG386"/>
      <c r="GVH386"/>
      <c r="GVI386"/>
      <c r="GVJ386"/>
      <c r="GVK386"/>
      <c r="GVL386"/>
      <c r="GVM386"/>
      <c r="GVN386"/>
      <c r="GVO386"/>
      <c r="GVP386"/>
      <c r="GVQ386"/>
      <c r="GVR386"/>
      <c r="GVS386"/>
      <c r="GVT386"/>
      <c r="GVU386"/>
      <c r="GVV386"/>
      <c r="GVW386"/>
      <c r="GVX386"/>
      <c r="GVY386"/>
      <c r="GVZ386"/>
      <c r="GWA386"/>
      <c r="GWB386"/>
      <c r="GWC386"/>
      <c r="GWD386"/>
      <c r="GWE386"/>
      <c r="GWF386"/>
      <c r="GWG386"/>
      <c r="GWH386"/>
      <c r="GWI386"/>
      <c r="GWJ386"/>
      <c r="GWK386"/>
      <c r="GWL386"/>
      <c r="GWM386"/>
      <c r="GWN386"/>
      <c r="GWO386"/>
      <c r="GWP386"/>
      <c r="GWQ386"/>
      <c r="GWR386"/>
      <c r="GWS386"/>
      <c r="GWT386"/>
      <c r="GWU386"/>
      <c r="GWV386"/>
      <c r="GWW386"/>
      <c r="GWX386"/>
      <c r="GWY386"/>
      <c r="GWZ386"/>
      <c r="GXA386"/>
      <c r="GXB386"/>
      <c r="GXC386"/>
      <c r="GXD386"/>
      <c r="GXE386"/>
      <c r="GXF386"/>
      <c r="GXG386"/>
      <c r="GXH386"/>
      <c r="GXI386"/>
      <c r="GXJ386"/>
      <c r="GXK386"/>
      <c r="GXL386"/>
      <c r="GXM386"/>
      <c r="GXN386"/>
      <c r="GXO386"/>
      <c r="GXP386"/>
      <c r="GXQ386"/>
      <c r="GXR386"/>
      <c r="GXS386"/>
      <c r="GXT386"/>
      <c r="GXU386"/>
      <c r="GXV386"/>
      <c r="GXW386"/>
      <c r="GXX386"/>
      <c r="GXY386"/>
      <c r="GXZ386"/>
      <c r="GYA386"/>
      <c r="GYB386"/>
      <c r="GYC386"/>
      <c r="GYD386"/>
      <c r="GYE386"/>
      <c r="GYF386"/>
      <c r="GYG386"/>
      <c r="GYH386"/>
      <c r="GYI386"/>
      <c r="GYJ386"/>
      <c r="GYK386"/>
      <c r="GYL386"/>
      <c r="GYM386"/>
      <c r="GYN386"/>
      <c r="GYO386"/>
      <c r="GYP386"/>
      <c r="GYQ386"/>
      <c r="GYR386"/>
      <c r="GYS386"/>
      <c r="GYT386"/>
      <c r="GYU386"/>
      <c r="GYV386"/>
      <c r="GYW386"/>
      <c r="GYX386"/>
      <c r="GYY386"/>
      <c r="GYZ386"/>
      <c r="GZA386"/>
      <c r="GZB386"/>
      <c r="GZC386"/>
      <c r="GZD386"/>
      <c r="GZE386"/>
      <c r="GZF386"/>
      <c r="GZG386"/>
      <c r="GZH386"/>
      <c r="GZI386"/>
      <c r="GZJ386"/>
      <c r="GZK386"/>
      <c r="GZL386"/>
      <c r="GZM386"/>
      <c r="GZN386"/>
      <c r="GZO386"/>
      <c r="GZP386"/>
      <c r="GZQ386"/>
      <c r="GZR386"/>
      <c r="GZS386"/>
      <c r="GZT386"/>
      <c r="GZU386"/>
      <c r="GZV386"/>
      <c r="GZW386"/>
      <c r="GZX386"/>
      <c r="GZY386"/>
      <c r="GZZ386"/>
      <c r="HAA386"/>
      <c r="HAB386"/>
      <c r="HAC386"/>
      <c r="HAD386"/>
      <c r="HAE386"/>
      <c r="HAF386"/>
      <c r="HAG386"/>
      <c r="HAH386"/>
      <c r="HAI386"/>
      <c r="HAJ386"/>
      <c r="HAK386"/>
      <c r="HAL386"/>
      <c r="HAM386"/>
      <c r="HAN386"/>
      <c r="HAO386"/>
      <c r="HAP386"/>
      <c r="HAQ386"/>
      <c r="HAR386"/>
      <c r="HAS386"/>
      <c r="HAT386"/>
      <c r="HAU386"/>
      <c r="HAV386"/>
      <c r="HAW386"/>
      <c r="HAX386"/>
      <c r="HAY386"/>
      <c r="HAZ386"/>
      <c r="HBA386"/>
      <c r="HBB386"/>
      <c r="HBC386"/>
      <c r="HBD386"/>
      <c r="HBE386"/>
      <c r="HBF386"/>
      <c r="HBG386"/>
      <c r="HBH386"/>
      <c r="HBI386"/>
      <c r="HBJ386"/>
      <c r="HBK386"/>
      <c r="HBL386"/>
      <c r="HBM386"/>
      <c r="HBN386"/>
      <c r="HBO386"/>
      <c r="HBP386"/>
      <c r="HBQ386"/>
      <c r="HBR386"/>
      <c r="HBS386"/>
      <c r="HBT386"/>
      <c r="HBU386"/>
      <c r="HBV386"/>
      <c r="HBW386"/>
      <c r="HBX386"/>
      <c r="HBY386"/>
      <c r="HBZ386"/>
      <c r="HCA386"/>
      <c r="HCB386"/>
      <c r="HCC386"/>
      <c r="HCD386"/>
      <c r="HCE386"/>
      <c r="HCF386"/>
      <c r="HCG386"/>
      <c r="HCH386"/>
      <c r="HCI386"/>
      <c r="HCJ386"/>
      <c r="HCK386"/>
      <c r="HCL386"/>
      <c r="HCM386"/>
      <c r="HCN386"/>
      <c r="HCO386"/>
      <c r="HCP386"/>
      <c r="HCQ386"/>
      <c r="HCR386"/>
      <c r="HCS386"/>
      <c r="HCT386"/>
      <c r="HCU386"/>
      <c r="HCV386"/>
      <c r="HCW386"/>
      <c r="HCX386"/>
      <c r="HCY386"/>
      <c r="HCZ386"/>
      <c r="HDA386"/>
      <c r="HDB386"/>
      <c r="HDC386"/>
      <c r="HDD386"/>
      <c r="HDE386"/>
      <c r="HDF386"/>
      <c r="HDG386"/>
      <c r="HDH386"/>
      <c r="HDI386"/>
      <c r="HDJ386"/>
      <c r="HDK386"/>
      <c r="HDL386"/>
      <c r="HDM386"/>
      <c r="HDN386"/>
      <c r="HDO386"/>
      <c r="HDP386"/>
      <c r="HDQ386"/>
      <c r="HDR386"/>
      <c r="HDS386"/>
      <c r="HDT386"/>
      <c r="HDU386"/>
      <c r="HDV386"/>
      <c r="HDW386"/>
      <c r="HDX386"/>
      <c r="HDY386"/>
      <c r="HDZ386"/>
      <c r="HEA386"/>
      <c r="HEB386"/>
      <c r="HEC386"/>
      <c r="HED386"/>
      <c r="HEE386"/>
      <c r="HEF386"/>
      <c r="HEG386"/>
      <c r="HEH386"/>
      <c r="HEI386"/>
      <c r="HEJ386"/>
      <c r="HEK386"/>
      <c r="HEL386"/>
      <c r="HEM386"/>
      <c r="HEN386"/>
      <c r="HEO386"/>
      <c r="HEP386"/>
      <c r="HEQ386"/>
      <c r="HER386"/>
      <c r="HES386"/>
      <c r="HET386"/>
      <c r="HEU386"/>
      <c r="HEV386"/>
      <c r="HEW386"/>
      <c r="HEX386"/>
      <c r="HEY386"/>
      <c r="HEZ386"/>
      <c r="HFA386"/>
      <c r="HFB386"/>
      <c r="HFC386"/>
      <c r="HFD386"/>
      <c r="HFE386"/>
      <c r="HFF386"/>
      <c r="HFG386"/>
      <c r="HFH386"/>
      <c r="HFI386"/>
      <c r="HFJ386"/>
      <c r="HFK386"/>
      <c r="HFL386"/>
      <c r="HFM386"/>
      <c r="HFN386"/>
      <c r="HFO386"/>
      <c r="HFP386"/>
      <c r="HFQ386"/>
      <c r="HFR386"/>
      <c r="HFS386"/>
      <c r="HFT386"/>
      <c r="HFU386"/>
      <c r="HFV386"/>
      <c r="HFW386"/>
      <c r="HFX386"/>
      <c r="HFY386"/>
      <c r="HFZ386"/>
      <c r="HGA386"/>
      <c r="HGB386"/>
      <c r="HGC386"/>
      <c r="HGD386"/>
      <c r="HGE386"/>
      <c r="HGF386"/>
      <c r="HGG386"/>
      <c r="HGH386"/>
      <c r="HGI386"/>
      <c r="HGJ386"/>
      <c r="HGK386"/>
      <c r="HGL386"/>
      <c r="HGM386"/>
      <c r="HGN386"/>
      <c r="HGO386"/>
      <c r="HGP386"/>
      <c r="HGQ386"/>
      <c r="HGR386"/>
      <c r="HGS386"/>
      <c r="HGT386"/>
      <c r="HGU386"/>
      <c r="HGV386"/>
      <c r="HGW386"/>
      <c r="HGX386"/>
      <c r="HGY386"/>
      <c r="HGZ386"/>
      <c r="HHA386"/>
      <c r="HHB386"/>
      <c r="HHC386"/>
      <c r="HHD386"/>
      <c r="HHE386"/>
      <c r="HHF386"/>
      <c r="HHG386"/>
      <c r="HHH386"/>
      <c r="HHI386"/>
      <c r="HHJ386"/>
      <c r="HHK386"/>
      <c r="HHL386"/>
      <c r="HHM386"/>
      <c r="HHN386"/>
      <c r="HHO386"/>
      <c r="HHP386"/>
      <c r="HHQ386"/>
      <c r="HHR386"/>
      <c r="HHS386"/>
      <c r="HHT386"/>
      <c r="HHU386"/>
      <c r="HHV386"/>
      <c r="HHW386"/>
      <c r="HHX386"/>
      <c r="HHY386"/>
      <c r="HHZ386"/>
      <c r="HIA386"/>
      <c r="HIB386"/>
      <c r="HIC386"/>
      <c r="HID386"/>
      <c r="HIE386"/>
      <c r="HIF386"/>
      <c r="HIG386"/>
      <c r="HIH386"/>
      <c r="HII386"/>
      <c r="HIJ386"/>
      <c r="HIK386"/>
      <c r="HIL386"/>
      <c r="HIM386"/>
      <c r="HIN386"/>
      <c r="HIO386"/>
      <c r="HIP386"/>
      <c r="HIQ386"/>
      <c r="HIR386"/>
      <c r="HIS386"/>
      <c r="HIT386"/>
      <c r="HIU386"/>
      <c r="HIV386"/>
      <c r="HIW386"/>
      <c r="HIX386"/>
      <c r="HIY386"/>
      <c r="HIZ386"/>
      <c r="HJA386"/>
      <c r="HJB386"/>
      <c r="HJC386"/>
      <c r="HJD386"/>
      <c r="HJE386"/>
      <c r="HJF386"/>
      <c r="HJG386"/>
      <c r="HJH386"/>
      <c r="HJI386"/>
      <c r="HJJ386"/>
      <c r="HJK386"/>
      <c r="HJL386"/>
      <c r="HJM386"/>
      <c r="HJN386"/>
      <c r="HJO386"/>
      <c r="HJP386"/>
      <c r="HJQ386"/>
      <c r="HJR386"/>
      <c r="HJS386"/>
      <c r="HJT386"/>
      <c r="HJU386"/>
      <c r="HJV386"/>
      <c r="HJW386"/>
      <c r="HJX386"/>
      <c r="HJY386"/>
      <c r="HJZ386"/>
      <c r="HKA386"/>
      <c r="HKB386"/>
      <c r="HKC386"/>
      <c r="HKD386"/>
      <c r="HKE386"/>
      <c r="HKF386"/>
      <c r="HKG386"/>
      <c r="HKH386"/>
      <c r="HKI386"/>
      <c r="HKJ386"/>
      <c r="HKK386"/>
      <c r="HKL386"/>
      <c r="HKM386"/>
      <c r="HKN386"/>
      <c r="HKO386"/>
      <c r="HKP386"/>
      <c r="HKQ386"/>
      <c r="HKR386"/>
      <c r="HKS386"/>
      <c r="HKT386"/>
      <c r="HKU386"/>
      <c r="HKV386"/>
      <c r="HKW386"/>
      <c r="HKX386"/>
      <c r="HKY386"/>
      <c r="HKZ386"/>
      <c r="HLA386"/>
      <c r="HLB386"/>
      <c r="HLC386"/>
      <c r="HLD386"/>
      <c r="HLE386"/>
      <c r="HLF386"/>
      <c r="HLG386"/>
      <c r="HLH386"/>
      <c r="HLI386"/>
      <c r="HLJ386"/>
      <c r="HLK386"/>
      <c r="HLL386"/>
      <c r="HLM386"/>
      <c r="HLN386"/>
      <c r="HLO386"/>
      <c r="HLP386"/>
      <c r="HLQ386"/>
      <c r="HLR386"/>
      <c r="HLS386"/>
      <c r="HLT386"/>
      <c r="HLU386"/>
      <c r="HLV386"/>
      <c r="HLW386"/>
      <c r="HLX386"/>
      <c r="HLY386"/>
      <c r="HLZ386"/>
      <c r="HMA386"/>
      <c r="HMB386"/>
      <c r="HMC386"/>
      <c r="HMD386"/>
      <c r="HME386"/>
      <c r="HMF386"/>
      <c r="HMG386"/>
      <c r="HMH386"/>
      <c r="HMI386"/>
      <c r="HMJ386"/>
      <c r="HMK386"/>
      <c r="HML386"/>
      <c r="HMM386"/>
      <c r="HMN386"/>
      <c r="HMO386"/>
      <c r="HMP386"/>
      <c r="HMQ386"/>
      <c r="HMR386"/>
      <c r="HMS386"/>
      <c r="HMT386"/>
      <c r="HMU386"/>
      <c r="HMV386"/>
      <c r="HMW386"/>
      <c r="HMX386"/>
      <c r="HMY386"/>
      <c r="HMZ386"/>
      <c r="HNA386"/>
      <c r="HNB386"/>
      <c r="HNC386"/>
      <c r="HND386"/>
      <c r="HNE386"/>
      <c r="HNF386"/>
      <c r="HNG386"/>
      <c r="HNH386"/>
      <c r="HNI386"/>
      <c r="HNJ386"/>
      <c r="HNK386"/>
      <c r="HNL386"/>
      <c r="HNM386"/>
      <c r="HNN386"/>
      <c r="HNO386"/>
      <c r="HNP386"/>
      <c r="HNQ386"/>
      <c r="HNR386"/>
      <c r="HNS386"/>
      <c r="HNT386"/>
      <c r="HNU386"/>
      <c r="HNV386"/>
      <c r="HNW386"/>
      <c r="HNX386"/>
      <c r="HNY386"/>
      <c r="HNZ386"/>
      <c r="HOA386"/>
      <c r="HOB386"/>
      <c r="HOC386"/>
      <c r="HOD386"/>
      <c r="HOE386"/>
      <c r="HOF386"/>
      <c r="HOG386"/>
      <c r="HOH386"/>
      <c r="HOI386"/>
      <c r="HOJ386"/>
      <c r="HOK386"/>
      <c r="HOL386"/>
      <c r="HOM386"/>
      <c r="HON386"/>
      <c r="HOO386"/>
      <c r="HOP386"/>
      <c r="HOQ386"/>
      <c r="HOR386"/>
      <c r="HOS386"/>
      <c r="HOT386"/>
      <c r="HOU386"/>
      <c r="HOV386"/>
      <c r="HOW386"/>
      <c r="HOX386"/>
      <c r="HOY386"/>
      <c r="HOZ386"/>
      <c r="HPA386"/>
      <c r="HPB386"/>
      <c r="HPC386"/>
      <c r="HPD386"/>
      <c r="HPE386"/>
      <c r="HPF386"/>
      <c r="HPG386"/>
      <c r="HPH386"/>
      <c r="HPI386"/>
      <c r="HPJ386"/>
      <c r="HPK386"/>
      <c r="HPL386"/>
      <c r="HPM386"/>
      <c r="HPN386"/>
      <c r="HPO386"/>
      <c r="HPP386"/>
      <c r="HPQ386"/>
      <c r="HPR386"/>
      <c r="HPS386"/>
      <c r="HPT386"/>
      <c r="HPU386"/>
      <c r="HPV386"/>
      <c r="HPW386"/>
      <c r="HPX386"/>
      <c r="HPY386"/>
      <c r="HPZ386"/>
      <c r="HQA386"/>
      <c r="HQB386"/>
      <c r="HQC386"/>
      <c r="HQD386"/>
      <c r="HQE386"/>
      <c r="HQF386"/>
      <c r="HQG386"/>
      <c r="HQH386"/>
      <c r="HQI386"/>
      <c r="HQJ386"/>
      <c r="HQK386"/>
      <c r="HQL386"/>
      <c r="HQM386"/>
      <c r="HQN386"/>
      <c r="HQO386"/>
      <c r="HQP386"/>
      <c r="HQQ386"/>
      <c r="HQR386"/>
      <c r="HQS386"/>
      <c r="HQT386"/>
      <c r="HQU386"/>
      <c r="HQV386"/>
      <c r="HQW386"/>
      <c r="HQX386"/>
      <c r="HQY386"/>
      <c r="HQZ386"/>
      <c r="HRA386"/>
      <c r="HRB386"/>
      <c r="HRC386"/>
      <c r="HRD386"/>
      <c r="HRE386"/>
      <c r="HRF386"/>
      <c r="HRG386"/>
      <c r="HRH386"/>
      <c r="HRI386"/>
      <c r="HRJ386"/>
      <c r="HRK386"/>
      <c r="HRL386"/>
      <c r="HRM386"/>
      <c r="HRN386"/>
      <c r="HRO386"/>
      <c r="HRP386"/>
      <c r="HRQ386"/>
      <c r="HRR386"/>
      <c r="HRS386"/>
      <c r="HRT386"/>
      <c r="HRU386"/>
      <c r="HRV386"/>
      <c r="HRW386"/>
      <c r="HRX386"/>
      <c r="HRY386"/>
      <c r="HRZ386"/>
      <c r="HSA386"/>
      <c r="HSB386"/>
      <c r="HSC386"/>
      <c r="HSD386"/>
      <c r="HSE386"/>
      <c r="HSF386"/>
      <c r="HSG386"/>
      <c r="HSH386"/>
      <c r="HSI386"/>
      <c r="HSJ386"/>
      <c r="HSK386"/>
      <c r="HSL386"/>
      <c r="HSM386"/>
      <c r="HSN386"/>
      <c r="HSO386"/>
      <c r="HSP386"/>
      <c r="HSQ386"/>
      <c r="HSR386"/>
      <c r="HSS386"/>
      <c r="HST386"/>
      <c r="HSU386"/>
      <c r="HSV386"/>
      <c r="HSW386"/>
      <c r="HSX386"/>
      <c r="HSY386"/>
      <c r="HSZ386"/>
      <c r="HTA386"/>
      <c r="HTB386"/>
      <c r="HTC386"/>
      <c r="HTD386"/>
      <c r="HTE386"/>
      <c r="HTF386"/>
      <c r="HTG386"/>
      <c r="HTH386"/>
      <c r="HTI386"/>
      <c r="HTJ386"/>
      <c r="HTK386"/>
      <c r="HTL386"/>
      <c r="HTM386"/>
      <c r="HTN386"/>
      <c r="HTO386"/>
      <c r="HTP386"/>
      <c r="HTQ386"/>
      <c r="HTR386"/>
      <c r="HTS386"/>
      <c r="HTT386"/>
      <c r="HTU386"/>
      <c r="HTV386"/>
      <c r="HTW386"/>
      <c r="HTX386"/>
      <c r="HTY386"/>
      <c r="HTZ386"/>
      <c r="HUA386"/>
      <c r="HUB386"/>
      <c r="HUC386"/>
      <c r="HUD386"/>
      <c r="HUE386"/>
      <c r="HUF386"/>
      <c r="HUG386"/>
      <c r="HUH386"/>
      <c r="HUI386"/>
      <c r="HUJ386"/>
      <c r="HUK386"/>
      <c r="HUL386"/>
      <c r="HUM386"/>
      <c r="HUN386"/>
      <c r="HUO386"/>
      <c r="HUP386"/>
      <c r="HUQ386"/>
      <c r="HUR386"/>
      <c r="HUS386"/>
      <c r="HUT386"/>
      <c r="HUU386"/>
      <c r="HUV386"/>
      <c r="HUW386"/>
      <c r="HUX386"/>
      <c r="HUY386"/>
      <c r="HUZ386"/>
      <c r="HVA386"/>
      <c r="HVB386"/>
      <c r="HVC386"/>
      <c r="HVD386"/>
      <c r="HVE386"/>
      <c r="HVF386"/>
      <c r="HVG386"/>
      <c r="HVH386"/>
      <c r="HVI386"/>
      <c r="HVJ386"/>
      <c r="HVK386"/>
      <c r="HVL386"/>
      <c r="HVM386"/>
      <c r="HVN386"/>
      <c r="HVO386"/>
      <c r="HVP386"/>
      <c r="HVQ386"/>
      <c r="HVR386"/>
      <c r="HVS386"/>
      <c r="HVT386"/>
      <c r="HVU386"/>
      <c r="HVV386"/>
      <c r="HVW386"/>
      <c r="HVX386"/>
      <c r="HVY386"/>
      <c r="HVZ386"/>
      <c r="HWA386"/>
      <c r="HWB386"/>
      <c r="HWC386"/>
      <c r="HWD386"/>
      <c r="HWE386"/>
      <c r="HWF386"/>
      <c r="HWG386"/>
      <c r="HWH386"/>
      <c r="HWI386"/>
      <c r="HWJ386"/>
      <c r="HWK386"/>
      <c r="HWL386"/>
      <c r="HWM386"/>
      <c r="HWN386"/>
      <c r="HWO386"/>
      <c r="HWP386"/>
      <c r="HWQ386"/>
      <c r="HWR386"/>
      <c r="HWS386"/>
      <c r="HWT386"/>
      <c r="HWU386"/>
      <c r="HWV386"/>
      <c r="HWW386"/>
      <c r="HWX386"/>
      <c r="HWY386"/>
      <c r="HWZ386"/>
      <c r="HXA386"/>
      <c r="HXB386"/>
      <c r="HXC386"/>
      <c r="HXD386"/>
      <c r="HXE386"/>
      <c r="HXF386"/>
      <c r="HXG386"/>
      <c r="HXH386"/>
      <c r="HXI386"/>
      <c r="HXJ386"/>
      <c r="HXK386"/>
      <c r="HXL386"/>
      <c r="HXM386"/>
      <c r="HXN386"/>
      <c r="HXO386"/>
      <c r="HXP386"/>
      <c r="HXQ386"/>
      <c r="HXR386"/>
      <c r="HXS386"/>
      <c r="HXT386"/>
      <c r="HXU386"/>
      <c r="HXV386"/>
      <c r="HXW386"/>
      <c r="HXX386"/>
      <c r="HXY386"/>
      <c r="HXZ386"/>
      <c r="HYA386"/>
      <c r="HYB386"/>
      <c r="HYC386"/>
      <c r="HYD386"/>
      <c r="HYE386"/>
      <c r="HYF386"/>
      <c r="HYG386"/>
      <c r="HYH386"/>
      <c r="HYI386"/>
      <c r="HYJ386"/>
      <c r="HYK386"/>
      <c r="HYL386"/>
      <c r="HYM386"/>
      <c r="HYN386"/>
      <c r="HYO386"/>
      <c r="HYP386"/>
      <c r="HYQ386"/>
      <c r="HYR386"/>
      <c r="HYS386"/>
      <c r="HYT386"/>
      <c r="HYU386"/>
      <c r="HYV386"/>
      <c r="HYW386"/>
      <c r="HYX386"/>
      <c r="HYY386"/>
      <c r="HYZ386"/>
      <c r="HZA386"/>
      <c r="HZB386"/>
      <c r="HZC386"/>
      <c r="HZD386"/>
      <c r="HZE386"/>
      <c r="HZF386"/>
      <c r="HZG386"/>
      <c r="HZH386"/>
      <c r="HZI386"/>
      <c r="HZJ386"/>
      <c r="HZK386"/>
      <c r="HZL386"/>
      <c r="HZM386"/>
      <c r="HZN386"/>
      <c r="HZO386"/>
      <c r="HZP386"/>
      <c r="HZQ386"/>
      <c r="HZR386"/>
      <c r="HZS386"/>
      <c r="HZT386"/>
      <c r="HZU386"/>
      <c r="HZV386"/>
      <c r="HZW386"/>
      <c r="HZX386"/>
      <c r="HZY386"/>
      <c r="HZZ386"/>
      <c r="IAA386"/>
      <c r="IAB386"/>
      <c r="IAC386"/>
      <c r="IAD386"/>
      <c r="IAE386"/>
      <c r="IAF386"/>
      <c r="IAG386"/>
      <c r="IAH386"/>
      <c r="IAI386"/>
      <c r="IAJ386"/>
      <c r="IAK386"/>
      <c r="IAL386"/>
      <c r="IAM386"/>
      <c r="IAN386"/>
      <c r="IAO386"/>
      <c r="IAP386"/>
      <c r="IAQ386"/>
      <c r="IAR386"/>
      <c r="IAS386"/>
      <c r="IAT386"/>
      <c r="IAU386"/>
      <c r="IAV386"/>
      <c r="IAW386"/>
      <c r="IAX386"/>
      <c r="IAY386"/>
      <c r="IAZ386"/>
      <c r="IBA386"/>
      <c r="IBB386"/>
      <c r="IBC386"/>
      <c r="IBD386"/>
      <c r="IBE386"/>
      <c r="IBF386"/>
      <c r="IBG386"/>
      <c r="IBH386"/>
      <c r="IBI386"/>
      <c r="IBJ386"/>
      <c r="IBK386"/>
      <c r="IBL386"/>
      <c r="IBM386"/>
      <c r="IBN386"/>
      <c r="IBO386"/>
      <c r="IBP386"/>
      <c r="IBQ386"/>
      <c r="IBR386"/>
      <c r="IBS386"/>
      <c r="IBT386"/>
      <c r="IBU386"/>
      <c r="IBV386"/>
      <c r="IBW386"/>
      <c r="IBX386"/>
      <c r="IBY386"/>
      <c r="IBZ386"/>
      <c r="ICA386"/>
      <c r="ICB386"/>
      <c r="ICC386"/>
      <c r="ICD386"/>
      <c r="ICE386"/>
      <c r="ICF386"/>
      <c r="ICG386"/>
      <c r="ICH386"/>
      <c r="ICI386"/>
      <c r="ICJ386"/>
      <c r="ICK386"/>
      <c r="ICL386"/>
      <c r="ICM386"/>
      <c r="ICN386"/>
      <c r="ICO386"/>
      <c r="ICP386"/>
      <c r="ICQ386"/>
      <c r="ICR386"/>
      <c r="ICS386"/>
      <c r="ICT386"/>
      <c r="ICU386"/>
      <c r="ICV386"/>
      <c r="ICW386"/>
      <c r="ICX386"/>
      <c r="ICY386"/>
      <c r="ICZ386"/>
      <c r="IDA386"/>
      <c r="IDB386"/>
      <c r="IDC386"/>
      <c r="IDD386"/>
      <c r="IDE386"/>
      <c r="IDF386"/>
      <c r="IDG386"/>
      <c r="IDH386"/>
      <c r="IDI386"/>
      <c r="IDJ386"/>
      <c r="IDK386"/>
      <c r="IDL386"/>
      <c r="IDM386"/>
      <c r="IDN386"/>
      <c r="IDO386"/>
      <c r="IDP386"/>
      <c r="IDQ386"/>
      <c r="IDR386"/>
      <c r="IDS386"/>
      <c r="IDT386"/>
      <c r="IDU386"/>
      <c r="IDV386"/>
      <c r="IDW386"/>
      <c r="IDX386"/>
      <c r="IDY386"/>
      <c r="IDZ386"/>
      <c r="IEA386"/>
      <c r="IEB386"/>
      <c r="IEC386"/>
      <c r="IED386"/>
      <c r="IEE386"/>
      <c r="IEF386"/>
      <c r="IEG386"/>
      <c r="IEH386"/>
      <c r="IEI386"/>
      <c r="IEJ386"/>
      <c r="IEK386"/>
      <c r="IEL386"/>
      <c r="IEM386"/>
      <c r="IEN386"/>
      <c r="IEO386"/>
      <c r="IEP386"/>
      <c r="IEQ386"/>
      <c r="IER386"/>
      <c r="IES386"/>
      <c r="IET386"/>
      <c r="IEU386"/>
      <c r="IEV386"/>
      <c r="IEW386"/>
      <c r="IEX386"/>
      <c r="IEY386"/>
      <c r="IEZ386"/>
      <c r="IFA386"/>
      <c r="IFB386"/>
      <c r="IFC386"/>
      <c r="IFD386"/>
      <c r="IFE386"/>
      <c r="IFF386"/>
      <c r="IFG386"/>
      <c r="IFH386"/>
      <c r="IFI386"/>
      <c r="IFJ386"/>
      <c r="IFK386"/>
      <c r="IFL386"/>
      <c r="IFM386"/>
      <c r="IFN386"/>
      <c r="IFO386"/>
      <c r="IFP386"/>
      <c r="IFQ386"/>
      <c r="IFR386"/>
      <c r="IFS386"/>
      <c r="IFT386"/>
      <c r="IFU386"/>
      <c r="IFV386"/>
      <c r="IFW386"/>
      <c r="IFX386"/>
      <c r="IFY386"/>
      <c r="IFZ386"/>
      <c r="IGA386"/>
      <c r="IGB386"/>
      <c r="IGC386"/>
      <c r="IGD386"/>
      <c r="IGE386"/>
      <c r="IGF386"/>
      <c r="IGG386"/>
      <c r="IGH386"/>
      <c r="IGI386"/>
      <c r="IGJ386"/>
      <c r="IGK386"/>
      <c r="IGL386"/>
      <c r="IGM386"/>
      <c r="IGN386"/>
      <c r="IGO386"/>
      <c r="IGP386"/>
      <c r="IGQ386"/>
      <c r="IGR386"/>
      <c r="IGS386"/>
      <c r="IGT386"/>
      <c r="IGU386"/>
      <c r="IGV386"/>
      <c r="IGW386"/>
      <c r="IGX386"/>
      <c r="IGY386"/>
      <c r="IGZ386"/>
      <c r="IHA386"/>
      <c r="IHB386"/>
      <c r="IHC386"/>
      <c r="IHD386"/>
      <c r="IHE386"/>
      <c r="IHF386"/>
      <c r="IHG386"/>
      <c r="IHH386"/>
      <c r="IHI386"/>
      <c r="IHJ386"/>
      <c r="IHK386"/>
      <c r="IHL386"/>
      <c r="IHM386"/>
      <c r="IHN386"/>
      <c r="IHO386"/>
      <c r="IHP386"/>
      <c r="IHQ386"/>
      <c r="IHR386"/>
      <c r="IHS386"/>
      <c r="IHT386"/>
      <c r="IHU386"/>
      <c r="IHV386"/>
      <c r="IHW386"/>
      <c r="IHX386"/>
      <c r="IHY386"/>
      <c r="IHZ386"/>
      <c r="IIA386"/>
      <c r="IIB386"/>
      <c r="IIC386"/>
      <c r="IID386"/>
      <c r="IIE386"/>
      <c r="IIF386"/>
      <c r="IIG386"/>
      <c r="IIH386"/>
      <c r="III386"/>
      <c r="IIJ386"/>
      <c r="IIK386"/>
      <c r="IIL386"/>
      <c r="IIM386"/>
      <c r="IIN386"/>
      <c r="IIO386"/>
      <c r="IIP386"/>
      <c r="IIQ386"/>
      <c r="IIR386"/>
      <c r="IIS386"/>
      <c r="IIT386"/>
      <c r="IIU386"/>
      <c r="IIV386"/>
      <c r="IIW386"/>
      <c r="IIX386"/>
      <c r="IIY386"/>
      <c r="IIZ386"/>
      <c r="IJA386"/>
      <c r="IJB386"/>
      <c r="IJC386"/>
      <c r="IJD386"/>
      <c r="IJE386"/>
      <c r="IJF386"/>
      <c r="IJG386"/>
      <c r="IJH386"/>
      <c r="IJI386"/>
      <c r="IJJ386"/>
      <c r="IJK386"/>
      <c r="IJL386"/>
      <c r="IJM386"/>
      <c r="IJN386"/>
      <c r="IJO386"/>
      <c r="IJP386"/>
      <c r="IJQ386"/>
      <c r="IJR386"/>
      <c r="IJS386"/>
      <c r="IJT386"/>
      <c r="IJU386"/>
      <c r="IJV386"/>
      <c r="IJW386"/>
      <c r="IJX386"/>
      <c r="IJY386"/>
      <c r="IJZ386"/>
      <c r="IKA386"/>
      <c r="IKB386"/>
      <c r="IKC386"/>
      <c r="IKD386"/>
      <c r="IKE386"/>
      <c r="IKF386"/>
      <c r="IKG386"/>
      <c r="IKH386"/>
      <c r="IKI386"/>
      <c r="IKJ386"/>
      <c r="IKK386"/>
      <c r="IKL386"/>
      <c r="IKM386"/>
      <c r="IKN386"/>
      <c r="IKO386"/>
      <c r="IKP386"/>
      <c r="IKQ386"/>
      <c r="IKR386"/>
      <c r="IKS386"/>
      <c r="IKT386"/>
      <c r="IKU386"/>
      <c r="IKV386"/>
      <c r="IKW386"/>
      <c r="IKX386"/>
      <c r="IKY386"/>
      <c r="IKZ386"/>
      <c r="ILA386"/>
      <c r="ILB386"/>
      <c r="ILC386"/>
      <c r="ILD386"/>
      <c r="ILE386"/>
      <c r="ILF386"/>
      <c r="ILG386"/>
      <c r="ILH386"/>
      <c r="ILI386"/>
      <c r="ILJ386"/>
      <c r="ILK386"/>
      <c r="ILL386"/>
      <c r="ILM386"/>
      <c r="ILN386"/>
      <c r="ILO386"/>
      <c r="ILP386"/>
      <c r="ILQ386"/>
      <c r="ILR386"/>
      <c r="ILS386"/>
      <c r="ILT386"/>
      <c r="ILU386"/>
      <c r="ILV386"/>
      <c r="ILW386"/>
      <c r="ILX386"/>
      <c r="ILY386"/>
      <c r="ILZ386"/>
      <c r="IMA386"/>
      <c r="IMB386"/>
      <c r="IMC386"/>
      <c r="IMD386"/>
      <c r="IME386"/>
      <c r="IMF386"/>
      <c r="IMG386"/>
      <c r="IMH386"/>
      <c r="IMI386"/>
      <c r="IMJ386"/>
      <c r="IMK386"/>
      <c r="IML386"/>
      <c r="IMM386"/>
      <c r="IMN386"/>
      <c r="IMO386"/>
      <c r="IMP386"/>
      <c r="IMQ386"/>
      <c r="IMR386"/>
      <c r="IMS386"/>
      <c r="IMT386"/>
      <c r="IMU386"/>
      <c r="IMV386"/>
      <c r="IMW386"/>
      <c r="IMX386"/>
      <c r="IMY386"/>
      <c r="IMZ386"/>
      <c r="INA386"/>
      <c r="INB386"/>
      <c r="INC386"/>
      <c r="IND386"/>
      <c r="INE386"/>
      <c r="INF386"/>
      <c r="ING386"/>
      <c r="INH386"/>
      <c r="INI386"/>
      <c r="INJ386"/>
      <c r="INK386"/>
      <c r="INL386"/>
      <c r="INM386"/>
      <c r="INN386"/>
      <c r="INO386"/>
      <c r="INP386"/>
      <c r="INQ386"/>
      <c r="INR386"/>
      <c r="INS386"/>
      <c r="INT386"/>
      <c r="INU386"/>
      <c r="INV386"/>
      <c r="INW386"/>
      <c r="INX386"/>
      <c r="INY386"/>
      <c r="INZ386"/>
      <c r="IOA386"/>
      <c r="IOB386"/>
      <c r="IOC386"/>
      <c r="IOD386"/>
      <c r="IOE386"/>
      <c r="IOF386"/>
      <c r="IOG386"/>
      <c r="IOH386"/>
      <c r="IOI386"/>
      <c r="IOJ386"/>
      <c r="IOK386"/>
      <c r="IOL386"/>
      <c r="IOM386"/>
      <c r="ION386"/>
      <c r="IOO386"/>
      <c r="IOP386"/>
      <c r="IOQ386"/>
      <c r="IOR386"/>
      <c r="IOS386"/>
      <c r="IOT386"/>
      <c r="IOU386"/>
      <c r="IOV386"/>
      <c r="IOW386"/>
      <c r="IOX386"/>
      <c r="IOY386"/>
      <c r="IOZ386"/>
      <c r="IPA386"/>
      <c r="IPB386"/>
      <c r="IPC386"/>
      <c r="IPD386"/>
      <c r="IPE386"/>
      <c r="IPF386"/>
      <c r="IPG386"/>
      <c r="IPH386"/>
      <c r="IPI386"/>
      <c r="IPJ386"/>
      <c r="IPK386"/>
      <c r="IPL386"/>
      <c r="IPM386"/>
      <c r="IPN386"/>
      <c r="IPO386"/>
      <c r="IPP386"/>
      <c r="IPQ386"/>
      <c r="IPR386"/>
      <c r="IPS386"/>
      <c r="IPT386"/>
      <c r="IPU386"/>
      <c r="IPV386"/>
      <c r="IPW386"/>
      <c r="IPX386"/>
      <c r="IPY386"/>
      <c r="IPZ386"/>
      <c r="IQA386"/>
      <c r="IQB386"/>
      <c r="IQC386"/>
      <c r="IQD386"/>
      <c r="IQE386"/>
      <c r="IQF386"/>
      <c r="IQG386"/>
      <c r="IQH386"/>
      <c r="IQI386"/>
      <c r="IQJ386"/>
      <c r="IQK386"/>
      <c r="IQL386"/>
      <c r="IQM386"/>
      <c r="IQN386"/>
      <c r="IQO386"/>
      <c r="IQP386"/>
      <c r="IQQ386"/>
      <c r="IQR386"/>
      <c r="IQS386"/>
      <c r="IQT386"/>
      <c r="IQU386"/>
      <c r="IQV386"/>
      <c r="IQW386"/>
      <c r="IQX386"/>
      <c r="IQY386"/>
      <c r="IQZ386"/>
      <c r="IRA386"/>
      <c r="IRB386"/>
      <c r="IRC386"/>
      <c r="IRD386"/>
      <c r="IRE386"/>
      <c r="IRF386"/>
      <c r="IRG386"/>
      <c r="IRH386"/>
      <c r="IRI386"/>
      <c r="IRJ386"/>
      <c r="IRK386"/>
      <c r="IRL386"/>
      <c r="IRM386"/>
      <c r="IRN386"/>
      <c r="IRO386"/>
      <c r="IRP386"/>
      <c r="IRQ386"/>
      <c r="IRR386"/>
      <c r="IRS386"/>
      <c r="IRT386"/>
      <c r="IRU386"/>
      <c r="IRV386"/>
      <c r="IRW386"/>
      <c r="IRX386"/>
      <c r="IRY386"/>
      <c r="IRZ386"/>
      <c r="ISA386"/>
      <c r="ISB386"/>
      <c r="ISC386"/>
      <c r="ISD386"/>
      <c r="ISE386"/>
      <c r="ISF386"/>
      <c r="ISG386"/>
      <c r="ISH386"/>
      <c r="ISI386"/>
      <c r="ISJ386"/>
      <c r="ISK386"/>
      <c r="ISL386"/>
      <c r="ISM386"/>
      <c r="ISN386"/>
      <c r="ISO386"/>
      <c r="ISP386"/>
      <c r="ISQ386"/>
      <c r="ISR386"/>
      <c r="ISS386"/>
      <c r="IST386"/>
      <c r="ISU386"/>
      <c r="ISV386"/>
      <c r="ISW386"/>
      <c r="ISX386"/>
      <c r="ISY386"/>
      <c r="ISZ386"/>
      <c r="ITA386"/>
      <c r="ITB386"/>
      <c r="ITC386"/>
      <c r="ITD386"/>
      <c r="ITE386"/>
      <c r="ITF386"/>
      <c r="ITG386"/>
      <c r="ITH386"/>
      <c r="ITI386"/>
      <c r="ITJ386"/>
      <c r="ITK386"/>
      <c r="ITL386"/>
      <c r="ITM386"/>
      <c r="ITN386"/>
      <c r="ITO386"/>
      <c r="ITP386"/>
      <c r="ITQ386"/>
      <c r="ITR386"/>
      <c r="ITS386"/>
      <c r="ITT386"/>
      <c r="ITU386"/>
      <c r="ITV386"/>
      <c r="ITW386"/>
      <c r="ITX386"/>
      <c r="ITY386"/>
      <c r="ITZ386"/>
      <c r="IUA386"/>
      <c r="IUB386"/>
      <c r="IUC386"/>
      <c r="IUD386"/>
      <c r="IUE386"/>
      <c r="IUF386"/>
      <c r="IUG386"/>
      <c r="IUH386"/>
      <c r="IUI386"/>
      <c r="IUJ386"/>
      <c r="IUK386"/>
      <c r="IUL386"/>
      <c r="IUM386"/>
      <c r="IUN386"/>
      <c r="IUO386"/>
      <c r="IUP386"/>
      <c r="IUQ386"/>
      <c r="IUR386"/>
      <c r="IUS386"/>
      <c r="IUT386"/>
      <c r="IUU386"/>
      <c r="IUV386"/>
      <c r="IUW386"/>
      <c r="IUX386"/>
      <c r="IUY386"/>
      <c r="IUZ386"/>
      <c r="IVA386"/>
      <c r="IVB386"/>
      <c r="IVC386"/>
      <c r="IVD386"/>
      <c r="IVE386"/>
      <c r="IVF386"/>
      <c r="IVG386"/>
      <c r="IVH386"/>
      <c r="IVI386"/>
      <c r="IVJ386"/>
      <c r="IVK386"/>
      <c r="IVL386"/>
      <c r="IVM386"/>
      <c r="IVN386"/>
      <c r="IVO386"/>
      <c r="IVP386"/>
      <c r="IVQ386"/>
      <c r="IVR386"/>
      <c r="IVS386"/>
      <c r="IVT386"/>
      <c r="IVU386"/>
      <c r="IVV386"/>
      <c r="IVW386"/>
      <c r="IVX386"/>
      <c r="IVY386"/>
      <c r="IVZ386"/>
      <c r="IWA386"/>
      <c r="IWB386"/>
      <c r="IWC386"/>
      <c r="IWD386"/>
      <c r="IWE386"/>
      <c r="IWF386"/>
      <c r="IWG386"/>
      <c r="IWH386"/>
      <c r="IWI386"/>
      <c r="IWJ386"/>
      <c r="IWK386"/>
      <c r="IWL386"/>
      <c r="IWM386"/>
      <c r="IWN386"/>
      <c r="IWO386"/>
      <c r="IWP386"/>
      <c r="IWQ386"/>
      <c r="IWR386"/>
      <c r="IWS386"/>
      <c r="IWT386"/>
      <c r="IWU386"/>
      <c r="IWV386"/>
      <c r="IWW386"/>
      <c r="IWX386"/>
      <c r="IWY386"/>
      <c r="IWZ386"/>
      <c r="IXA386"/>
      <c r="IXB386"/>
      <c r="IXC386"/>
      <c r="IXD386"/>
      <c r="IXE386"/>
      <c r="IXF386"/>
      <c r="IXG386"/>
      <c r="IXH386"/>
      <c r="IXI386"/>
      <c r="IXJ386"/>
      <c r="IXK386"/>
      <c r="IXL386"/>
      <c r="IXM386"/>
      <c r="IXN386"/>
      <c r="IXO386"/>
      <c r="IXP386"/>
      <c r="IXQ386"/>
      <c r="IXR386"/>
      <c r="IXS386"/>
      <c r="IXT386"/>
      <c r="IXU386"/>
      <c r="IXV386"/>
      <c r="IXW386"/>
      <c r="IXX386"/>
      <c r="IXY386"/>
      <c r="IXZ386"/>
      <c r="IYA386"/>
      <c r="IYB386"/>
      <c r="IYC386"/>
      <c r="IYD386"/>
      <c r="IYE386"/>
      <c r="IYF386"/>
      <c r="IYG386"/>
      <c r="IYH386"/>
      <c r="IYI386"/>
      <c r="IYJ386"/>
      <c r="IYK386"/>
      <c r="IYL386"/>
      <c r="IYM386"/>
      <c r="IYN386"/>
      <c r="IYO386"/>
      <c r="IYP386"/>
      <c r="IYQ386"/>
      <c r="IYR386"/>
      <c r="IYS386"/>
      <c r="IYT386"/>
      <c r="IYU386"/>
      <c r="IYV386"/>
      <c r="IYW386"/>
      <c r="IYX386"/>
      <c r="IYY386"/>
      <c r="IYZ386"/>
      <c r="IZA386"/>
      <c r="IZB386"/>
      <c r="IZC386"/>
      <c r="IZD386"/>
      <c r="IZE386"/>
      <c r="IZF386"/>
      <c r="IZG386"/>
      <c r="IZH386"/>
      <c r="IZI386"/>
      <c r="IZJ386"/>
      <c r="IZK386"/>
      <c r="IZL386"/>
      <c r="IZM386"/>
      <c r="IZN386"/>
      <c r="IZO386"/>
      <c r="IZP386"/>
      <c r="IZQ386"/>
      <c r="IZR386"/>
      <c r="IZS386"/>
      <c r="IZT386"/>
      <c r="IZU386"/>
      <c r="IZV386"/>
      <c r="IZW386"/>
      <c r="IZX386"/>
      <c r="IZY386"/>
      <c r="IZZ386"/>
      <c r="JAA386"/>
      <c r="JAB386"/>
      <c r="JAC386"/>
      <c r="JAD386"/>
      <c r="JAE386"/>
      <c r="JAF386"/>
      <c r="JAG386"/>
      <c r="JAH386"/>
      <c r="JAI386"/>
      <c r="JAJ386"/>
      <c r="JAK386"/>
      <c r="JAL386"/>
      <c r="JAM386"/>
      <c r="JAN386"/>
      <c r="JAO386"/>
      <c r="JAP386"/>
      <c r="JAQ386"/>
      <c r="JAR386"/>
      <c r="JAS386"/>
      <c r="JAT386"/>
      <c r="JAU386"/>
      <c r="JAV386"/>
      <c r="JAW386"/>
      <c r="JAX386"/>
      <c r="JAY386"/>
      <c r="JAZ386"/>
      <c r="JBA386"/>
      <c r="JBB386"/>
      <c r="JBC386"/>
      <c r="JBD386"/>
      <c r="JBE386"/>
      <c r="JBF386"/>
      <c r="JBG386"/>
      <c r="JBH386"/>
      <c r="JBI386"/>
      <c r="JBJ386"/>
      <c r="JBK386"/>
      <c r="JBL386"/>
      <c r="JBM386"/>
      <c r="JBN386"/>
      <c r="JBO386"/>
      <c r="JBP386"/>
      <c r="JBQ386"/>
      <c r="JBR386"/>
      <c r="JBS386"/>
      <c r="JBT386"/>
      <c r="JBU386"/>
      <c r="JBV386"/>
      <c r="JBW386"/>
      <c r="JBX386"/>
      <c r="JBY386"/>
      <c r="JBZ386"/>
      <c r="JCA386"/>
      <c r="JCB386"/>
      <c r="JCC386"/>
      <c r="JCD386"/>
      <c r="JCE386"/>
      <c r="JCF386"/>
      <c r="JCG386"/>
      <c r="JCH386"/>
      <c r="JCI386"/>
      <c r="JCJ386"/>
      <c r="JCK386"/>
      <c r="JCL386"/>
      <c r="JCM386"/>
      <c r="JCN386"/>
      <c r="JCO386"/>
      <c r="JCP386"/>
      <c r="JCQ386"/>
      <c r="JCR386"/>
      <c r="JCS386"/>
      <c r="JCT386"/>
      <c r="JCU386"/>
      <c r="JCV386"/>
      <c r="JCW386"/>
      <c r="JCX386"/>
      <c r="JCY386"/>
      <c r="JCZ386"/>
      <c r="JDA386"/>
      <c r="JDB386"/>
      <c r="JDC386"/>
      <c r="JDD386"/>
      <c r="JDE386"/>
      <c r="JDF386"/>
      <c r="JDG386"/>
      <c r="JDH386"/>
      <c r="JDI386"/>
      <c r="JDJ386"/>
      <c r="JDK386"/>
      <c r="JDL386"/>
      <c r="JDM386"/>
      <c r="JDN386"/>
      <c r="JDO386"/>
      <c r="JDP386"/>
      <c r="JDQ386"/>
      <c r="JDR386"/>
      <c r="JDS386"/>
      <c r="JDT386"/>
      <c r="JDU386"/>
      <c r="JDV386"/>
      <c r="JDW386"/>
      <c r="JDX386"/>
      <c r="JDY386"/>
      <c r="JDZ386"/>
      <c r="JEA386"/>
      <c r="JEB386"/>
      <c r="JEC386"/>
      <c r="JED386"/>
      <c r="JEE386"/>
      <c r="JEF386"/>
      <c r="JEG386"/>
      <c r="JEH386"/>
      <c r="JEI386"/>
      <c r="JEJ386"/>
      <c r="JEK386"/>
      <c r="JEL386"/>
      <c r="JEM386"/>
      <c r="JEN386"/>
      <c r="JEO386"/>
      <c r="JEP386"/>
      <c r="JEQ386"/>
      <c r="JER386"/>
      <c r="JES386"/>
      <c r="JET386"/>
      <c r="JEU386"/>
      <c r="JEV386"/>
      <c r="JEW386"/>
      <c r="JEX386"/>
      <c r="JEY386"/>
      <c r="JEZ386"/>
      <c r="JFA386"/>
      <c r="JFB386"/>
      <c r="JFC386"/>
      <c r="JFD386"/>
      <c r="JFE386"/>
      <c r="JFF386"/>
      <c r="JFG386"/>
      <c r="JFH386"/>
      <c r="JFI386"/>
      <c r="JFJ386"/>
      <c r="JFK386"/>
      <c r="JFL386"/>
      <c r="JFM386"/>
      <c r="JFN386"/>
      <c r="JFO386"/>
      <c r="JFP386"/>
      <c r="JFQ386"/>
      <c r="JFR386"/>
      <c r="JFS386"/>
      <c r="JFT386"/>
      <c r="JFU386"/>
      <c r="JFV386"/>
      <c r="JFW386"/>
      <c r="JFX386"/>
      <c r="JFY386"/>
      <c r="JFZ386"/>
      <c r="JGA386"/>
      <c r="JGB386"/>
      <c r="JGC386"/>
      <c r="JGD386"/>
      <c r="JGE386"/>
      <c r="JGF386"/>
      <c r="JGG386"/>
      <c r="JGH386"/>
      <c r="JGI386"/>
      <c r="JGJ386"/>
      <c r="JGK386"/>
      <c r="JGL386"/>
      <c r="JGM386"/>
      <c r="JGN386"/>
      <c r="JGO386"/>
      <c r="JGP386"/>
      <c r="JGQ386"/>
      <c r="JGR386"/>
      <c r="JGS386"/>
      <c r="JGT386"/>
      <c r="JGU386"/>
      <c r="JGV386"/>
      <c r="JGW386"/>
      <c r="JGX386"/>
      <c r="JGY386"/>
      <c r="JGZ386"/>
      <c r="JHA386"/>
      <c r="JHB386"/>
      <c r="JHC386"/>
      <c r="JHD386"/>
      <c r="JHE386"/>
      <c r="JHF386"/>
      <c r="JHG386"/>
      <c r="JHH386"/>
      <c r="JHI386"/>
      <c r="JHJ386"/>
      <c r="JHK386"/>
      <c r="JHL386"/>
      <c r="JHM386"/>
      <c r="JHN386"/>
      <c r="JHO386"/>
      <c r="JHP386"/>
      <c r="JHQ386"/>
      <c r="JHR386"/>
      <c r="JHS386"/>
      <c r="JHT386"/>
      <c r="JHU386"/>
      <c r="JHV386"/>
      <c r="JHW386"/>
      <c r="JHX386"/>
      <c r="JHY386"/>
      <c r="JHZ386"/>
      <c r="JIA386"/>
      <c r="JIB386"/>
      <c r="JIC386"/>
      <c r="JID386"/>
      <c r="JIE386"/>
      <c r="JIF386"/>
      <c r="JIG386"/>
      <c r="JIH386"/>
      <c r="JII386"/>
      <c r="JIJ386"/>
      <c r="JIK386"/>
      <c r="JIL386"/>
      <c r="JIM386"/>
      <c r="JIN386"/>
      <c r="JIO386"/>
      <c r="JIP386"/>
      <c r="JIQ386"/>
      <c r="JIR386"/>
      <c r="JIS386"/>
      <c r="JIT386"/>
      <c r="JIU386"/>
      <c r="JIV386"/>
      <c r="JIW386"/>
      <c r="JIX386"/>
      <c r="JIY386"/>
      <c r="JIZ386"/>
      <c r="JJA386"/>
      <c r="JJB386"/>
      <c r="JJC386"/>
      <c r="JJD386"/>
      <c r="JJE386"/>
      <c r="JJF386"/>
      <c r="JJG386"/>
      <c r="JJH386"/>
      <c r="JJI386"/>
      <c r="JJJ386"/>
      <c r="JJK386"/>
      <c r="JJL386"/>
      <c r="JJM386"/>
      <c r="JJN386"/>
      <c r="JJO386"/>
      <c r="JJP386"/>
      <c r="JJQ386"/>
      <c r="JJR386"/>
      <c r="JJS386"/>
      <c r="JJT386"/>
      <c r="JJU386"/>
      <c r="JJV386"/>
      <c r="JJW386"/>
      <c r="JJX386"/>
      <c r="JJY386"/>
      <c r="JJZ386"/>
      <c r="JKA386"/>
      <c r="JKB386"/>
      <c r="JKC386"/>
      <c r="JKD386"/>
      <c r="JKE386"/>
      <c r="JKF386"/>
      <c r="JKG386"/>
      <c r="JKH386"/>
      <c r="JKI386"/>
      <c r="JKJ386"/>
      <c r="JKK386"/>
      <c r="JKL386"/>
      <c r="JKM386"/>
      <c r="JKN386"/>
      <c r="JKO386"/>
      <c r="JKP386"/>
      <c r="JKQ386"/>
      <c r="JKR386"/>
      <c r="JKS386"/>
      <c r="JKT386"/>
      <c r="JKU386"/>
      <c r="JKV386"/>
      <c r="JKW386"/>
      <c r="JKX386"/>
      <c r="JKY386"/>
      <c r="JKZ386"/>
      <c r="JLA386"/>
      <c r="JLB386"/>
      <c r="JLC386"/>
      <c r="JLD386"/>
      <c r="JLE386"/>
      <c r="JLF386"/>
      <c r="JLG386"/>
      <c r="JLH386"/>
      <c r="JLI386"/>
      <c r="JLJ386"/>
      <c r="JLK386"/>
      <c r="JLL386"/>
      <c r="JLM386"/>
      <c r="JLN386"/>
      <c r="JLO386"/>
      <c r="JLP386"/>
      <c r="JLQ386"/>
      <c r="JLR386"/>
      <c r="JLS386"/>
      <c r="JLT386"/>
      <c r="JLU386"/>
      <c r="JLV386"/>
      <c r="JLW386"/>
      <c r="JLX386"/>
      <c r="JLY386"/>
      <c r="JLZ386"/>
      <c r="JMA386"/>
      <c r="JMB386"/>
      <c r="JMC386"/>
      <c r="JMD386"/>
      <c r="JME386"/>
      <c r="JMF386"/>
      <c r="JMG386"/>
      <c r="JMH386"/>
      <c r="JMI386"/>
      <c r="JMJ386"/>
      <c r="JMK386"/>
      <c r="JML386"/>
      <c r="JMM386"/>
      <c r="JMN386"/>
      <c r="JMO386"/>
      <c r="JMP386"/>
      <c r="JMQ386"/>
      <c r="JMR386"/>
      <c r="JMS386"/>
      <c r="JMT386"/>
      <c r="JMU386"/>
      <c r="JMV386"/>
      <c r="JMW386"/>
      <c r="JMX386"/>
      <c r="JMY386"/>
      <c r="JMZ386"/>
      <c r="JNA386"/>
      <c r="JNB386"/>
      <c r="JNC386"/>
      <c r="JND386"/>
      <c r="JNE386"/>
      <c r="JNF386"/>
      <c r="JNG386"/>
      <c r="JNH386"/>
      <c r="JNI386"/>
      <c r="JNJ386"/>
      <c r="JNK386"/>
      <c r="JNL386"/>
      <c r="JNM386"/>
      <c r="JNN386"/>
      <c r="JNO386"/>
      <c r="JNP386"/>
      <c r="JNQ386"/>
      <c r="JNR386"/>
      <c r="JNS386"/>
      <c r="JNT386"/>
      <c r="JNU386"/>
      <c r="JNV386"/>
      <c r="JNW386"/>
      <c r="JNX386"/>
      <c r="JNY386"/>
      <c r="JNZ386"/>
      <c r="JOA386"/>
      <c r="JOB386"/>
      <c r="JOC386"/>
      <c r="JOD386"/>
      <c r="JOE386"/>
      <c r="JOF386"/>
      <c r="JOG386"/>
      <c r="JOH386"/>
      <c r="JOI386"/>
      <c r="JOJ386"/>
      <c r="JOK386"/>
      <c r="JOL386"/>
      <c r="JOM386"/>
      <c r="JON386"/>
      <c r="JOO386"/>
      <c r="JOP386"/>
      <c r="JOQ386"/>
      <c r="JOR386"/>
      <c r="JOS386"/>
      <c r="JOT386"/>
      <c r="JOU386"/>
      <c r="JOV386"/>
      <c r="JOW386"/>
      <c r="JOX386"/>
      <c r="JOY386"/>
      <c r="JOZ386"/>
      <c r="JPA386"/>
      <c r="JPB386"/>
      <c r="JPC386"/>
      <c r="JPD386"/>
      <c r="JPE386"/>
      <c r="JPF386"/>
      <c r="JPG386"/>
      <c r="JPH386"/>
      <c r="JPI386"/>
      <c r="JPJ386"/>
      <c r="JPK386"/>
      <c r="JPL386"/>
      <c r="JPM386"/>
      <c r="JPN386"/>
      <c r="JPO386"/>
      <c r="JPP386"/>
      <c r="JPQ386"/>
      <c r="JPR386"/>
      <c r="JPS386"/>
      <c r="JPT386"/>
      <c r="JPU386"/>
      <c r="JPV386"/>
      <c r="JPW386"/>
      <c r="JPX386"/>
      <c r="JPY386"/>
      <c r="JPZ386"/>
      <c r="JQA386"/>
      <c r="JQB386"/>
      <c r="JQC386"/>
      <c r="JQD386"/>
      <c r="JQE386"/>
      <c r="JQF386"/>
      <c r="JQG386"/>
      <c r="JQH386"/>
      <c r="JQI386"/>
      <c r="JQJ386"/>
      <c r="JQK386"/>
      <c r="JQL386"/>
      <c r="JQM386"/>
      <c r="JQN386"/>
      <c r="JQO386"/>
      <c r="JQP386"/>
      <c r="JQQ386"/>
      <c r="JQR386"/>
      <c r="JQS386"/>
      <c r="JQT386"/>
      <c r="JQU386"/>
      <c r="JQV386"/>
      <c r="JQW386"/>
      <c r="JQX386"/>
      <c r="JQY386"/>
      <c r="JQZ386"/>
      <c r="JRA386"/>
      <c r="JRB386"/>
      <c r="JRC386"/>
      <c r="JRD386"/>
      <c r="JRE386"/>
      <c r="JRF386"/>
      <c r="JRG386"/>
      <c r="JRH386"/>
      <c r="JRI386"/>
      <c r="JRJ386"/>
      <c r="JRK386"/>
      <c r="JRL386"/>
      <c r="JRM386"/>
      <c r="JRN386"/>
      <c r="JRO386"/>
      <c r="JRP386"/>
      <c r="JRQ386"/>
      <c r="JRR386"/>
      <c r="JRS386"/>
      <c r="JRT386"/>
      <c r="JRU386"/>
      <c r="JRV386"/>
      <c r="JRW386"/>
      <c r="JRX386"/>
      <c r="JRY386"/>
      <c r="JRZ386"/>
      <c r="JSA386"/>
      <c r="JSB386"/>
      <c r="JSC386"/>
      <c r="JSD386"/>
      <c r="JSE386"/>
      <c r="JSF386"/>
      <c r="JSG386"/>
      <c r="JSH386"/>
      <c r="JSI386"/>
      <c r="JSJ386"/>
      <c r="JSK386"/>
      <c r="JSL386"/>
      <c r="JSM386"/>
      <c r="JSN386"/>
      <c r="JSO386"/>
      <c r="JSP386"/>
      <c r="JSQ386"/>
      <c r="JSR386"/>
      <c r="JSS386"/>
      <c r="JST386"/>
      <c r="JSU386"/>
      <c r="JSV386"/>
      <c r="JSW386"/>
      <c r="JSX386"/>
      <c r="JSY386"/>
      <c r="JSZ386"/>
      <c r="JTA386"/>
      <c r="JTB386"/>
      <c r="JTC386"/>
      <c r="JTD386"/>
      <c r="JTE386"/>
      <c r="JTF386"/>
      <c r="JTG386"/>
      <c r="JTH386"/>
      <c r="JTI386"/>
      <c r="JTJ386"/>
      <c r="JTK386"/>
      <c r="JTL386"/>
      <c r="JTM386"/>
      <c r="JTN386"/>
      <c r="JTO386"/>
      <c r="JTP386"/>
      <c r="JTQ386"/>
      <c r="JTR386"/>
      <c r="JTS386"/>
      <c r="JTT386"/>
      <c r="JTU386"/>
      <c r="JTV386"/>
      <c r="JTW386"/>
      <c r="JTX386"/>
      <c r="JTY386"/>
      <c r="JTZ386"/>
      <c r="JUA386"/>
      <c r="JUB386"/>
      <c r="JUC386"/>
      <c r="JUD386"/>
      <c r="JUE386"/>
      <c r="JUF386"/>
      <c r="JUG386"/>
      <c r="JUH386"/>
      <c r="JUI386"/>
      <c r="JUJ386"/>
      <c r="JUK386"/>
      <c r="JUL386"/>
      <c r="JUM386"/>
      <c r="JUN386"/>
      <c r="JUO386"/>
      <c r="JUP386"/>
      <c r="JUQ386"/>
      <c r="JUR386"/>
      <c r="JUS386"/>
      <c r="JUT386"/>
      <c r="JUU386"/>
      <c r="JUV386"/>
      <c r="JUW386"/>
      <c r="JUX386"/>
      <c r="JUY386"/>
      <c r="JUZ386"/>
      <c r="JVA386"/>
      <c r="JVB386"/>
      <c r="JVC386"/>
      <c r="JVD386"/>
      <c r="JVE386"/>
      <c r="JVF386"/>
      <c r="JVG386"/>
      <c r="JVH386"/>
      <c r="JVI386"/>
      <c r="JVJ386"/>
      <c r="JVK386"/>
      <c r="JVL386"/>
      <c r="JVM386"/>
      <c r="JVN386"/>
      <c r="JVO386"/>
      <c r="JVP386"/>
      <c r="JVQ386"/>
      <c r="JVR386"/>
      <c r="JVS386"/>
      <c r="JVT386"/>
      <c r="JVU386"/>
      <c r="JVV386"/>
      <c r="JVW386"/>
      <c r="JVX386"/>
      <c r="JVY386"/>
      <c r="JVZ386"/>
      <c r="JWA386"/>
      <c r="JWB386"/>
      <c r="JWC386"/>
      <c r="JWD386"/>
      <c r="JWE386"/>
      <c r="JWF386"/>
      <c r="JWG386"/>
      <c r="JWH386"/>
      <c r="JWI386"/>
      <c r="JWJ386"/>
      <c r="JWK386"/>
      <c r="JWL386"/>
      <c r="JWM386"/>
      <c r="JWN386"/>
      <c r="JWO386"/>
      <c r="JWP386"/>
      <c r="JWQ386"/>
      <c r="JWR386"/>
      <c r="JWS386"/>
      <c r="JWT386"/>
      <c r="JWU386"/>
      <c r="JWV386"/>
      <c r="JWW386"/>
      <c r="JWX386"/>
      <c r="JWY386"/>
      <c r="JWZ386"/>
      <c r="JXA386"/>
      <c r="JXB386"/>
      <c r="JXC386"/>
      <c r="JXD386"/>
      <c r="JXE386"/>
      <c r="JXF386"/>
      <c r="JXG386"/>
      <c r="JXH386"/>
      <c r="JXI386"/>
      <c r="JXJ386"/>
      <c r="JXK386"/>
      <c r="JXL386"/>
      <c r="JXM386"/>
      <c r="JXN386"/>
      <c r="JXO386"/>
      <c r="JXP386"/>
      <c r="JXQ386"/>
      <c r="JXR386"/>
      <c r="JXS386"/>
      <c r="JXT386"/>
      <c r="JXU386"/>
      <c r="JXV386"/>
      <c r="JXW386"/>
      <c r="JXX386"/>
      <c r="JXY386"/>
      <c r="JXZ386"/>
      <c r="JYA386"/>
      <c r="JYB386"/>
      <c r="JYC386"/>
      <c r="JYD386"/>
      <c r="JYE386"/>
      <c r="JYF386"/>
      <c r="JYG386"/>
      <c r="JYH386"/>
      <c r="JYI386"/>
      <c r="JYJ386"/>
      <c r="JYK386"/>
      <c r="JYL386"/>
      <c r="JYM386"/>
      <c r="JYN386"/>
      <c r="JYO386"/>
      <c r="JYP386"/>
      <c r="JYQ386"/>
      <c r="JYR386"/>
      <c r="JYS386"/>
      <c r="JYT386"/>
      <c r="JYU386"/>
      <c r="JYV386"/>
      <c r="JYW386"/>
      <c r="JYX386"/>
      <c r="JYY386"/>
      <c r="JYZ386"/>
      <c r="JZA386"/>
      <c r="JZB386"/>
      <c r="JZC386"/>
      <c r="JZD386"/>
      <c r="JZE386"/>
      <c r="JZF386"/>
      <c r="JZG386"/>
      <c r="JZH386"/>
      <c r="JZI386"/>
      <c r="JZJ386"/>
      <c r="JZK386"/>
      <c r="JZL386"/>
      <c r="JZM386"/>
      <c r="JZN386"/>
      <c r="JZO386"/>
      <c r="JZP386"/>
      <c r="JZQ386"/>
      <c r="JZR386"/>
      <c r="JZS386"/>
      <c r="JZT386"/>
      <c r="JZU386"/>
      <c r="JZV386"/>
      <c r="JZW386"/>
      <c r="JZX386"/>
      <c r="JZY386"/>
      <c r="JZZ386"/>
      <c r="KAA386"/>
      <c r="KAB386"/>
      <c r="KAC386"/>
      <c r="KAD386"/>
      <c r="KAE386"/>
      <c r="KAF386"/>
      <c r="KAG386"/>
      <c r="KAH386"/>
      <c r="KAI386"/>
      <c r="KAJ386"/>
      <c r="KAK386"/>
      <c r="KAL386"/>
      <c r="KAM386"/>
      <c r="KAN386"/>
      <c r="KAO386"/>
      <c r="KAP386"/>
      <c r="KAQ386"/>
      <c r="KAR386"/>
      <c r="KAS386"/>
      <c r="KAT386"/>
      <c r="KAU386"/>
      <c r="KAV386"/>
      <c r="KAW386"/>
      <c r="KAX386"/>
      <c r="KAY386"/>
      <c r="KAZ386"/>
      <c r="KBA386"/>
      <c r="KBB386"/>
      <c r="KBC386"/>
      <c r="KBD386"/>
      <c r="KBE386"/>
      <c r="KBF386"/>
      <c r="KBG386"/>
      <c r="KBH386"/>
      <c r="KBI386"/>
      <c r="KBJ386"/>
      <c r="KBK386"/>
      <c r="KBL386"/>
      <c r="KBM386"/>
      <c r="KBN386"/>
      <c r="KBO386"/>
      <c r="KBP386"/>
      <c r="KBQ386"/>
      <c r="KBR386"/>
      <c r="KBS386"/>
      <c r="KBT386"/>
      <c r="KBU386"/>
      <c r="KBV386"/>
      <c r="KBW386"/>
      <c r="KBX386"/>
      <c r="KBY386"/>
      <c r="KBZ386"/>
      <c r="KCA386"/>
      <c r="KCB386"/>
      <c r="KCC386"/>
      <c r="KCD386"/>
      <c r="KCE386"/>
      <c r="KCF386"/>
      <c r="KCG386"/>
      <c r="KCH386"/>
      <c r="KCI386"/>
      <c r="KCJ386"/>
      <c r="KCK386"/>
      <c r="KCL386"/>
      <c r="KCM386"/>
      <c r="KCN386"/>
      <c r="KCO386"/>
      <c r="KCP386"/>
      <c r="KCQ386"/>
      <c r="KCR386"/>
      <c r="KCS386"/>
      <c r="KCT386"/>
      <c r="KCU386"/>
      <c r="KCV386"/>
      <c r="KCW386"/>
      <c r="KCX386"/>
      <c r="KCY386"/>
      <c r="KCZ386"/>
      <c r="KDA386"/>
      <c r="KDB386"/>
      <c r="KDC386"/>
      <c r="KDD386"/>
      <c r="KDE386"/>
      <c r="KDF386"/>
      <c r="KDG386"/>
      <c r="KDH386"/>
      <c r="KDI386"/>
      <c r="KDJ386"/>
      <c r="KDK386"/>
      <c r="KDL386"/>
      <c r="KDM386"/>
      <c r="KDN386"/>
      <c r="KDO386"/>
      <c r="KDP386"/>
      <c r="KDQ386"/>
      <c r="KDR386"/>
      <c r="KDS386"/>
      <c r="KDT386"/>
      <c r="KDU386"/>
      <c r="KDV386"/>
      <c r="KDW386"/>
      <c r="KDX386"/>
      <c r="KDY386"/>
      <c r="KDZ386"/>
      <c r="KEA386"/>
      <c r="KEB386"/>
      <c r="KEC386"/>
      <c r="KED386"/>
      <c r="KEE386"/>
      <c r="KEF386"/>
      <c r="KEG386"/>
      <c r="KEH386"/>
      <c r="KEI386"/>
      <c r="KEJ386"/>
      <c r="KEK386"/>
      <c r="KEL386"/>
      <c r="KEM386"/>
      <c r="KEN386"/>
      <c r="KEO386"/>
      <c r="KEP386"/>
      <c r="KEQ386"/>
      <c r="KER386"/>
      <c r="KES386"/>
      <c r="KET386"/>
      <c r="KEU386"/>
      <c r="KEV386"/>
      <c r="KEW386"/>
      <c r="KEX386"/>
      <c r="KEY386"/>
      <c r="KEZ386"/>
      <c r="KFA386"/>
      <c r="KFB386"/>
      <c r="KFC386"/>
      <c r="KFD386"/>
      <c r="KFE386"/>
      <c r="KFF386"/>
      <c r="KFG386"/>
      <c r="KFH386"/>
      <c r="KFI386"/>
      <c r="KFJ386"/>
      <c r="KFK386"/>
      <c r="KFL386"/>
      <c r="KFM386"/>
      <c r="KFN386"/>
      <c r="KFO386"/>
      <c r="KFP386"/>
      <c r="KFQ386"/>
      <c r="KFR386"/>
      <c r="KFS386"/>
      <c r="KFT386"/>
      <c r="KFU386"/>
      <c r="KFV386"/>
      <c r="KFW386"/>
      <c r="KFX386"/>
      <c r="KFY386"/>
      <c r="KFZ386"/>
      <c r="KGA386"/>
      <c r="KGB386"/>
      <c r="KGC386"/>
      <c r="KGD386"/>
      <c r="KGE386"/>
      <c r="KGF386"/>
      <c r="KGG386"/>
      <c r="KGH386"/>
      <c r="KGI386"/>
      <c r="KGJ386"/>
      <c r="KGK386"/>
      <c r="KGL386"/>
      <c r="KGM386"/>
      <c r="KGN386"/>
      <c r="KGO386"/>
      <c r="KGP386"/>
      <c r="KGQ386"/>
      <c r="KGR386"/>
      <c r="KGS386"/>
      <c r="KGT386"/>
      <c r="KGU386"/>
      <c r="KGV386"/>
      <c r="KGW386"/>
      <c r="KGX386"/>
      <c r="KGY386"/>
      <c r="KGZ386"/>
      <c r="KHA386"/>
      <c r="KHB386"/>
      <c r="KHC386"/>
      <c r="KHD386"/>
      <c r="KHE386"/>
      <c r="KHF386"/>
      <c r="KHG386"/>
      <c r="KHH386"/>
      <c r="KHI386"/>
      <c r="KHJ386"/>
      <c r="KHK386"/>
      <c r="KHL386"/>
      <c r="KHM386"/>
      <c r="KHN386"/>
      <c r="KHO386"/>
      <c r="KHP386"/>
      <c r="KHQ386"/>
      <c r="KHR386"/>
      <c r="KHS386"/>
      <c r="KHT386"/>
      <c r="KHU386"/>
      <c r="KHV386"/>
      <c r="KHW386"/>
      <c r="KHX386"/>
      <c r="KHY386"/>
      <c r="KHZ386"/>
      <c r="KIA386"/>
      <c r="KIB386"/>
      <c r="KIC386"/>
      <c r="KID386"/>
      <c r="KIE386"/>
      <c r="KIF386"/>
      <c r="KIG386"/>
      <c r="KIH386"/>
      <c r="KII386"/>
      <c r="KIJ386"/>
      <c r="KIK386"/>
      <c r="KIL386"/>
      <c r="KIM386"/>
      <c r="KIN386"/>
      <c r="KIO386"/>
      <c r="KIP386"/>
      <c r="KIQ386"/>
      <c r="KIR386"/>
      <c r="KIS386"/>
      <c r="KIT386"/>
      <c r="KIU386"/>
      <c r="KIV386"/>
      <c r="KIW386"/>
      <c r="KIX386"/>
      <c r="KIY386"/>
      <c r="KIZ386"/>
      <c r="KJA386"/>
      <c r="KJB386"/>
      <c r="KJC386"/>
      <c r="KJD386"/>
      <c r="KJE386"/>
      <c r="KJF386"/>
      <c r="KJG386"/>
      <c r="KJH386"/>
      <c r="KJI386"/>
      <c r="KJJ386"/>
      <c r="KJK386"/>
      <c r="KJL386"/>
      <c r="KJM386"/>
      <c r="KJN386"/>
      <c r="KJO386"/>
      <c r="KJP386"/>
      <c r="KJQ386"/>
      <c r="KJR386"/>
      <c r="KJS386"/>
      <c r="KJT386"/>
      <c r="KJU386"/>
      <c r="KJV386"/>
      <c r="KJW386"/>
      <c r="KJX386"/>
      <c r="KJY386"/>
      <c r="KJZ386"/>
      <c r="KKA386"/>
      <c r="KKB386"/>
      <c r="KKC386"/>
      <c r="KKD386"/>
      <c r="KKE386"/>
      <c r="KKF386"/>
      <c r="KKG386"/>
      <c r="KKH386"/>
      <c r="KKI386"/>
      <c r="KKJ386"/>
      <c r="KKK386"/>
      <c r="KKL386"/>
      <c r="KKM386"/>
      <c r="KKN386"/>
      <c r="KKO386"/>
      <c r="KKP386"/>
      <c r="KKQ386"/>
      <c r="KKR386"/>
      <c r="KKS386"/>
      <c r="KKT386"/>
      <c r="KKU386"/>
      <c r="KKV386"/>
      <c r="KKW386"/>
      <c r="KKX386"/>
      <c r="KKY386"/>
      <c r="KKZ386"/>
      <c r="KLA386"/>
      <c r="KLB386"/>
      <c r="KLC386"/>
      <c r="KLD386"/>
      <c r="KLE386"/>
      <c r="KLF386"/>
      <c r="KLG386"/>
      <c r="KLH386"/>
      <c r="KLI386"/>
      <c r="KLJ386"/>
      <c r="KLK386"/>
      <c r="KLL386"/>
      <c r="KLM386"/>
      <c r="KLN386"/>
      <c r="KLO386"/>
      <c r="KLP386"/>
      <c r="KLQ386"/>
      <c r="KLR386"/>
      <c r="KLS386"/>
      <c r="KLT386"/>
      <c r="KLU386"/>
      <c r="KLV386"/>
      <c r="KLW386"/>
      <c r="KLX386"/>
      <c r="KLY386"/>
      <c r="KLZ386"/>
      <c r="KMA386"/>
      <c r="KMB386"/>
      <c r="KMC386"/>
      <c r="KMD386"/>
      <c r="KME386"/>
      <c r="KMF386"/>
      <c r="KMG386"/>
      <c r="KMH386"/>
      <c r="KMI386"/>
      <c r="KMJ386"/>
      <c r="KMK386"/>
      <c r="KML386"/>
      <c r="KMM386"/>
      <c r="KMN386"/>
      <c r="KMO386"/>
      <c r="KMP386"/>
      <c r="KMQ386"/>
      <c r="KMR386"/>
      <c r="KMS386"/>
      <c r="KMT386"/>
      <c r="KMU386"/>
      <c r="KMV386"/>
      <c r="KMW386"/>
      <c r="KMX386"/>
      <c r="KMY386"/>
      <c r="KMZ386"/>
      <c r="KNA386"/>
      <c r="KNB386"/>
      <c r="KNC386"/>
      <c r="KND386"/>
      <c r="KNE386"/>
      <c r="KNF386"/>
      <c r="KNG386"/>
      <c r="KNH386"/>
      <c r="KNI386"/>
      <c r="KNJ386"/>
      <c r="KNK386"/>
      <c r="KNL386"/>
      <c r="KNM386"/>
      <c r="KNN386"/>
      <c r="KNO386"/>
      <c r="KNP386"/>
      <c r="KNQ386"/>
      <c r="KNR386"/>
      <c r="KNS386"/>
      <c r="KNT386"/>
      <c r="KNU386"/>
      <c r="KNV386"/>
      <c r="KNW386"/>
      <c r="KNX386"/>
      <c r="KNY386"/>
      <c r="KNZ386"/>
      <c r="KOA386"/>
      <c r="KOB386"/>
      <c r="KOC386"/>
      <c r="KOD386"/>
      <c r="KOE386"/>
      <c r="KOF386"/>
      <c r="KOG386"/>
      <c r="KOH386"/>
      <c r="KOI386"/>
      <c r="KOJ386"/>
      <c r="KOK386"/>
      <c r="KOL386"/>
      <c r="KOM386"/>
      <c r="KON386"/>
      <c r="KOO386"/>
      <c r="KOP386"/>
      <c r="KOQ386"/>
      <c r="KOR386"/>
      <c r="KOS386"/>
      <c r="KOT386"/>
      <c r="KOU386"/>
      <c r="KOV386"/>
      <c r="KOW386"/>
      <c r="KOX386"/>
      <c r="KOY386"/>
      <c r="KOZ386"/>
      <c r="KPA386"/>
      <c r="KPB386"/>
      <c r="KPC386"/>
      <c r="KPD386"/>
      <c r="KPE386"/>
      <c r="KPF386"/>
      <c r="KPG386"/>
      <c r="KPH386"/>
      <c r="KPI386"/>
      <c r="KPJ386"/>
      <c r="KPK386"/>
      <c r="KPL386"/>
      <c r="KPM386"/>
      <c r="KPN386"/>
      <c r="KPO386"/>
      <c r="KPP386"/>
      <c r="KPQ386"/>
      <c r="KPR386"/>
      <c r="KPS386"/>
      <c r="KPT386"/>
      <c r="KPU386"/>
      <c r="KPV386"/>
      <c r="KPW386"/>
      <c r="KPX386"/>
      <c r="KPY386"/>
      <c r="KPZ386"/>
      <c r="KQA386"/>
      <c r="KQB386"/>
      <c r="KQC386"/>
      <c r="KQD386"/>
      <c r="KQE386"/>
      <c r="KQF386"/>
      <c r="KQG386"/>
      <c r="KQH386"/>
      <c r="KQI386"/>
      <c r="KQJ386"/>
      <c r="KQK386"/>
      <c r="KQL386"/>
      <c r="KQM386"/>
      <c r="KQN386"/>
      <c r="KQO386"/>
      <c r="KQP386"/>
      <c r="KQQ386"/>
      <c r="KQR386"/>
      <c r="KQS386"/>
      <c r="KQT386"/>
      <c r="KQU386"/>
      <c r="KQV386"/>
      <c r="KQW386"/>
      <c r="KQX386"/>
      <c r="KQY386"/>
      <c r="KQZ386"/>
      <c r="KRA386"/>
      <c r="KRB386"/>
      <c r="KRC386"/>
      <c r="KRD386"/>
      <c r="KRE386"/>
      <c r="KRF386"/>
      <c r="KRG386"/>
      <c r="KRH386"/>
      <c r="KRI386"/>
      <c r="KRJ386"/>
      <c r="KRK386"/>
      <c r="KRL386"/>
      <c r="KRM386"/>
      <c r="KRN386"/>
      <c r="KRO386"/>
      <c r="KRP386"/>
      <c r="KRQ386"/>
      <c r="KRR386"/>
      <c r="KRS386"/>
      <c r="KRT386"/>
      <c r="KRU386"/>
      <c r="KRV386"/>
      <c r="KRW386"/>
      <c r="KRX386"/>
      <c r="KRY386"/>
      <c r="KRZ386"/>
      <c r="KSA386"/>
      <c r="KSB386"/>
      <c r="KSC386"/>
      <c r="KSD386"/>
      <c r="KSE386"/>
      <c r="KSF386"/>
      <c r="KSG386"/>
      <c r="KSH386"/>
      <c r="KSI386"/>
      <c r="KSJ386"/>
      <c r="KSK386"/>
      <c r="KSL386"/>
      <c r="KSM386"/>
      <c r="KSN386"/>
      <c r="KSO386"/>
      <c r="KSP386"/>
      <c r="KSQ386"/>
      <c r="KSR386"/>
      <c r="KSS386"/>
      <c r="KST386"/>
      <c r="KSU386"/>
      <c r="KSV386"/>
      <c r="KSW386"/>
      <c r="KSX386"/>
      <c r="KSY386"/>
      <c r="KSZ386"/>
      <c r="KTA386"/>
      <c r="KTB386"/>
      <c r="KTC386"/>
      <c r="KTD386"/>
      <c r="KTE386"/>
      <c r="KTF386"/>
      <c r="KTG386"/>
      <c r="KTH386"/>
      <c r="KTI386"/>
      <c r="KTJ386"/>
      <c r="KTK386"/>
      <c r="KTL386"/>
      <c r="KTM386"/>
      <c r="KTN386"/>
      <c r="KTO386"/>
      <c r="KTP386"/>
      <c r="KTQ386"/>
      <c r="KTR386"/>
      <c r="KTS386"/>
      <c r="KTT386"/>
      <c r="KTU386"/>
      <c r="KTV386"/>
      <c r="KTW386"/>
      <c r="KTX386"/>
      <c r="KTY386"/>
      <c r="KTZ386"/>
      <c r="KUA386"/>
      <c r="KUB386"/>
      <c r="KUC386"/>
      <c r="KUD386"/>
      <c r="KUE386"/>
      <c r="KUF386"/>
      <c r="KUG386"/>
      <c r="KUH386"/>
      <c r="KUI386"/>
      <c r="KUJ386"/>
      <c r="KUK386"/>
      <c r="KUL386"/>
      <c r="KUM386"/>
      <c r="KUN386"/>
      <c r="KUO386"/>
      <c r="KUP386"/>
      <c r="KUQ386"/>
      <c r="KUR386"/>
      <c r="KUS386"/>
      <c r="KUT386"/>
      <c r="KUU386"/>
      <c r="KUV386"/>
      <c r="KUW386"/>
      <c r="KUX386"/>
      <c r="KUY386"/>
      <c r="KUZ386"/>
      <c r="KVA386"/>
      <c r="KVB386"/>
      <c r="KVC386"/>
      <c r="KVD386"/>
      <c r="KVE386"/>
      <c r="KVF386"/>
      <c r="KVG386"/>
      <c r="KVH386"/>
      <c r="KVI386"/>
      <c r="KVJ386"/>
      <c r="KVK386"/>
      <c r="KVL386"/>
      <c r="KVM386"/>
      <c r="KVN386"/>
      <c r="KVO386"/>
      <c r="KVP386"/>
      <c r="KVQ386"/>
      <c r="KVR386"/>
      <c r="KVS386"/>
      <c r="KVT386"/>
      <c r="KVU386"/>
      <c r="KVV386"/>
      <c r="KVW386"/>
      <c r="KVX386"/>
      <c r="KVY386"/>
      <c r="KVZ386"/>
      <c r="KWA386"/>
      <c r="KWB386"/>
      <c r="KWC386"/>
      <c r="KWD386"/>
      <c r="KWE386"/>
      <c r="KWF386"/>
      <c r="KWG386"/>
      <c r="KWH386"/>
      <c r="KWI386"/>
      <c r="KWJ386"/>
      <c r="KWK386"/>
      <c r="KWL386"/>
      <c r="KWM386"/>
      <c r="KWN386"/>
      <c r="KWO386"/>
      <c r="KWP386"/>
      <c r="KWQ386"/>
      <c r="KWR386"/>
      <c r="KWS386"/>
      <c r="KWT386"/>
      <c r="KWU386"/>
      <c r="KWV386"/>
      <c r="KWW386"/>
      <c r="KWX386"/>
      <c r="KWY386"/>
      <c r="KWZ386"/>
      <c r="KXA386"/>
      <c r="KXB386"/>
      <c r="KXC386"/>
      <c r="KXD386"/>
      <c r="KXE386"/>
      <c r="KXF386"/>
      <c r="KXG386"/>
      <c r="KXH386"/>
      <c r="KXI386"/>
      <c r="KXJ386"/>
      <c r="KXK386"/>
      <c r="KXL386"/>
      <c r="KXM386"/>
      <c r="KXN386"/>
      <c r="KXO386"/>
      <c r="KXP386"/>
      <c r="KXQ386"/>
      <c r="KXR386"/>
      <c r="KXS386"/>
      <c r="KXT386"/>
      <c r="KXU386"/>
      <c r="KXV386"/>
      <c r="KXW386"/>
      <c r="KXX386"/>
      <c r="KXY386"/>
      <c r="KXZ386"/>
      <c r="KYA386"/>
      <c r="KYB386"/>
      <c r="KYC386"/>
      <c r="KYD386"/>
      <c r="KYE386"/>
      <c r="KYF386"/>
      <c r="KYG386"/>
      <c r="KYH386"/>
      <c r="KYI386"/>
      <c r="KYJ386"/>
      <c r="KYK386"/>
      <c r="KYL386"/>
      <c r="KYM386"/>
      <c r="KYN386"/>
      <c r="KYO386"/>
      <c r="KYP386"/>
      <c r="KYQ386"/>
      <c r="KYR386"/>
      <c r="KYS386"/>
      <c r="KYT386"/>
      <c r="KYU386"/>
      <c r="KYV386"/>
      <c r="KYW386"/>
      <c r="KYX386"/>
      <c r="KYY386"/>
      <c r="KYZ386"/>
      <c r="KZA386"/>
      <c r="KZB386"/>
      <c r="KZC386"/>
      <c r="KZD386"/>
      <c r="KZE386"/>
      <c r="KZF386"/>
      <c r="KZG386"/>
      <c r="KZH386"/>
      <c r="KZI386"/>
      <c r="KZJ386"/>
      <c r="KZK386"/>
      <c r="KZL386"/>
      <c r="KZM386"/>
      <c r="KZN386"/>
      <c r="KZO386"/>
      <c r="KZP386"/>
      <c r="KZQ386"/>
      <c r="KZR386"/>
      <c r="KZS386"/>
      <c r="KZT386"/>
      <c r="KZU386"/>
      <c r="KZV386"/>
      <c r="KZW386"/>
      <c r="KZX386"/>
      <c r="KZY386"/>
      <c r="KZZ386"/>
      <c r="LAA386"/>
      <c r="LAB386"/>
      <c r="LAC386"/>
      <c r="LAD386"/>
      <c r="LAE386"/>
      <c r="LAF386"/>
      <c r="LAG386"/>
      <c r="LAH386"/>
      <c r="LAI386"/>
      <c r="LAJ386"/>
      <c r="LAK386"/>
      <c r="LAL386"/>
      <c r="LAM386"/>
      <c r="LAN386"/>
      <c r="LAO386"/>
      <c r="LAP386"/>
      <c r="LAQ386"/>
      <c r="LAR386"/>
      <c r="LAS386"/>
      <c r="LAT386"/>
      <c r="LAU386"/>
      <c r="LAV386"/>
      <c r="LAW386"/>
      <c r="LAX386"/>
      <c r="LAY386"/>
      <c r="LAZ386"/>
      <c r="LBA386"/>
      <c r="LBB386"/>
      <c r="LBC386"/>
      <c r="LBD386"/>
      <c r="LBE386"/>
      <c r="LBF386"/>
      <c r="LBG386"/>
      <c r="LBH386"/>
      <c r="LBI386"/>
      <c r="LBJ386"/>
      <c r="LBK386"/>
      <c r="LBL386"/>
      <c r="LBM386"/>
      <c r="LBN386"/>
      <c r="LBO386"/>
      <c r="LBP386"/>
      <c r="LBQ386"/>
      <c r="LBR386"/>
      <c r="LBS386"/>
      <c r="LBT386"/>
      <c r="LBU386"/>
      <c r="LBV386"/>
      <c r="LBW386"/>
      <c r="LBX386"/>
      <c r="LBY386"/>
      <c r="LBZ386"/>
      <c r="LCA386"/>
      <c r="LCB386"/>
      <c r="LCC386"/>
      <c r="LCD386"/>
      <c r="LCE386"/>
      <c r="LCF386"/>
      <c r="LCG386"/>
      <c r="LCH386"/>
      <c r="LCI386"/>
      <c r="LCJ386"/>
      <c r="LCK386"/>
      <c r="LCL386"/>
      <c r="LCM386"/>
      <c r="LCN386"/>
      <c r="LCO386"/>
      <c r="LCP386"/>
      <c r="LCQ386"/>
      <c r="LCR386"/>
      <c r="LCS386"/>
      <c r="LCT386"/>
      <c r="LCU386"/>
      <c r="LCV386"/>
      <c r="LCW386"/>
      <c r="LCX386"/>
      <c r="LCY386"/>
      <c r="LCZ386"/>
      <c r="LDA386"/>
      <c r="LDB386"/>
      <c r="LDC386"/>
      <c r="LDD386"/>
      <c r="LDE386"/>
      <c r="LDF386"/>
      <c r="LDG386"/>
      <c r="LDH386"/>
      <c r="LDI386"/>
      <c r="LDJ386"/>
      <c r="LDK386"/>
      <c r="LDL386"/>
      <c r="LDM386"/>
      <c r="LDN386"/>
      <c r="LDO386"/>
      <c r="LDP386"/>
      <c r="LDQ386"/>
      <c r="LDR386"/>
      <c r="LDS386"/>
      <c r="LDT386"/>
      <c r="LDU386"/>
      <c r="LDV386"/>
      <c r="LDW386"/>
      <c r="LDX386"/>
      <c r="LDY386"/>
      <c r="LDZ386"/>
      <c r="LEA386"/>
      <c r="LEB386"/>
      <c r="LEC386"/>
      <c r="LED386"/>
      <c r="LEE386"/>
      <c r="LEF386"/>
      <c r="LEG386"/>
      <c r="LEH386"/>
      <c r="LEI386"/>
      <c r="LEJ386"/>
      <c r="LEK386"/>
      <c r="LEL386"/>
      <c r="LEM386"/>
      <c r="LEN386"/>
      <c r="LEO386"/>
      <c r="LEP386"/>
      <c r="LEQ386"/>
      <c r="LER386"/>
      <c r="LES386"/>
      <c r="LET386"/>
      <c r="LEU386"/>
      <c r="LEV386"/>
      <c r="LEW386"/>
      <c r="LEX386"/>
      <c r="LEY386"/>
      <c r="LEZ386"/>
      <c r="LFA386"/>
      <c r="LFB386"/>
      <c r="LFC386"/>
      <c r="LFD386"/>
      <c r="LFE386"/>
      <c r="LFF386"/>
      <c r="LFG386"/>
      <c r="LFH386"/>
      <c r="LFI386"/>
      <c r="LFJ386"/>
      <c r="LFK386"/>
      <c r="LFL386"/>
      <c r="LFM386"/>
      <c r="LFN386"/>
      <c r="LFO386"/>
      <c r="LFP386"/>
      <c r="LFQ386"/>
      <c r="LFR386"/>
      <c r="LFS386"/>
      <c r="LFT386"/>
      <c r="LFU386"/>
      <c r="LFV386"/>
      <c r="LFW386"/>
      <c r="LFX386"/>
      <c r="LFY386"/>
      <c r="LFZ386"/>
      <c r="LGA386"/>
      <c r="LGB386"/>
      <c r="LGC386"/>
      <c r="LGD386"/>
      <c r="LGE386"/>
      <c r="LGF386"/>
      <c r="LGG386"/>
      <c r="LGH386"/>
      <c r="LGI386"/>
      <c r="LGJ386"/>
      <c r="LGK386"/>
      <c r="LGL386"/>
      <c r="LGM386"/>
      <c r="LGN386"/>
      <c r="LGO386"/>
      <c r="LGP386"/>
      <c r="LGQ386"/>
      <c r="LGR386"/>
      <c r="LGS386"/>
      <c r="LGT386"/>
      <c r="LGU386"/>
      <c r="LGV386"/>
      <c r="LGW386"/>
      <c r="LGX386"/>
      <c r="LGY386"/>
      <c r="LGZ386"/>
      <c r="LHA386"/>
      <c r="LHB386"/>
      <c r="LHC386"/>
      <c r="LHD386"/>
      <c r="LHE386"/>
      <c r="LHF386"/>
      <c r="LHG386"/>
      <c r="LHH386"/>
      <c r="LHI386"/>
      <c r="LHJ386"/>
      <c r="LHK386"/>
      <c r="LHL386"/>
      <c r="LHM386"/>
      <c r="LHN386"/>
      <c r="LHO386"/>
      <c r="LHP386"/>
      <c r="LHQ386"/>
      <c r="LHR386"/>
      <c r="LHS386"/>
      <c r="LHT386"/>
      <c r="LHU386"/>
      <c r="LHV386"/>
      <c r="LHW386"/>
      <c r="LHX386"/>
      <c r="LHY386"/>
      <c r="LHZ386"/>
      <c r="LIA386"/>
      <c r="LIB386"/>
      <c r="LIC386"/>
      <c r="LID386"/>
      <c r="LIE386"/>
      <c r="LIF386"/>
      <c r="LIG386"/>
      <c r="LIH386"/>
      <c r="LII386"/>
      <c r="LIJ386"/>
      <c r="LIK386"/>
      <c r="LIL386"/>
      <c r="LIM386"/>
      <c r="LIN386"/>
      <c r="LIO386"/>
      <c r="LIP386"/>
      <c r="LIQ386"/>
      <c r="LIR386"/>
      <c r="LIS386"/>
      <c r="LIT386"/>
      <c r="LIU386"/>
      <c r="LIV386"/>
      <c r="LIW386"/>
      <c r="LIX386"/>
      <c r="LIY386"/>
      <c r="LIZ386"/>
      <c r="LJA386"/>
      <c r="LJB386"/>
      <c r="LJC386"/>
      <c r="LJD386"/>
      <c r="LJE386"/>
      <c r="LJF386"/>
      <c r="LJG386"/>
      <c r="LJH386"/>
      <c r="LJI386"/>
      <c r="LJJ386"/>
      <c r="LJK386"/>
      <c r="LJL386"/>
      <c r="LJM386"/>
      <c r="LJN386"/>
      <c r="LJO386"/>
      <c r="LJP386"/>
      <c r="LJQ386"/>
      <c r="LJR386"/>
      <c r="LJS386"/>
      <c r="LJT386"/>
      <c r="LJU386"/>
      <c r="LJV386"/>
      <c r="LJW386"/>
      <c r="LJX386"/>
      <c r="LJY386"/>
      <c r="LJZ386"/>
      <c r="LKA386"/>
      <c r="LKB386"/>
      <c r="LKC386"/>
      <c r="LKD386"/>
      <c r="LKE386"/>
      <c r="LKF386"/>
      <c r="LKG386"/>
      <c r="LKH386"/>
      <c r="LKI386"/>
      <c r="LKJ386"/>
      <c r="LKK386"/>
      <c r="LKL386"/>
      <c r="LKM386"/>
      <c r="LKN386"/>
      <c r="LKO386"/>
      <c r="LKP386"/>
      <c r="LKQ386"/>
      <c r="LKR386"/>
      <c r="LKS386"/>
      <c r="LKT386"/>
      <c r="LKU386"/>
      <c r="LKV386"/>
      <c r="LKW386"/>
      <c r="LKX386"/>
      <c r="LKY386"/>
      <c r="LKZ386"/>
      <c r="LLA386"/>
      <c r="LLB386"/>
      <c r="LLC386"/>
      <c r="LLD386"/>
      <c r="LLE386"/>
      <c r="LLF386"/>
      <c r="LLG386"/>
      <c r="LLH386"/>
      <c r="LLI386"/>
      <c r="LLJ386"/>
      <c r="LLK386"/>
      <c r="LLL386"/>
      <c r="LLM386"/>
      <c r="LLN386"/>
      <c r="LLO386"/>
      <c r="LLP386"/>
      <c r="LLQ386"/>
      <c r="LLR386"/>
      <c r="LLS386"/>
      <c r="LLT386"/>
      <c r="LLU386"/>
      <c r="LLV386"/>
      <c r="LLW386"/>
      <c r="LLX386"/>
      <c r="LLY386"/>
      <c r="LLZ386"/>
      <c r="LMA386"/>
      <c r="LMB386"/>
      <c r="LMC386"/>
      <c r="LMD386"/>
      <c r="LME386"/>
      <c r="LMF386"/>
      <c r="LMG386"/>
      <c r="LMH386"/>
      <c r="LMI386"/>
      <c r="LMJ386"/>
      <c r="LMK386"/>
      <c r="LML386"/>
      <c r="LMM386"/>
      <c r="LMN386"/>
      <c r="LMO386"/>
      <c r="LMP386"/>
      <c r="LMQ386"/>
      <c r="LMR386"/>
      <c r="LMS386"/>
      <c r="LMT386"/>
      <c r="LMU386"/>
      <c r="LMV386"/>
      <c r="LMW386"/>
      <c r="LMX386"/>
      <c r="LMY386"/>
      <c r="LMZ386"/>
      <c r="LNA386"/>
      <c r="LNB386"/>
      <c r="LNC386"/>
      <c r="LND386"/>
      <c r="LNE386"/>
      <c r="LNF386"/>
      <c r="LNG386"/>
      <c r="LNH386"/>
      <c r="LNI386"/>
      <c r="LNJ386"/>
      <c r="LNK386"/>
      <c r="LNL386"/>
      <c r="LNM386"/>
      <c r="LNN386"/>
      <c r="LNO386"/>
      <c r="LNP386"/>
      <c r="LNQ386"/>
      <c r="LNR386"/>
      <c r="LNS386"/>
      <c r="LNT386"/>
      <c r="LNU386"/>
      <c r="LNV386"/>
      <c r="LNW386"/>
      <c r="LNX386"/>
      <c r="LNY386"/>
      <c r="LNZ386"/>
      <c r="LOA386"/>
      <c r="LOB386"/>
      <c r="LOC386"/>
      <c r="LOD386"/>
      <c r="LOE386"/>
      <c r="LOF386"/>
      <c r="LOG386"/>
      <c r="LOH386"/>
      <c r="LOI386"/>
      <c r="LOJ386"/>
      <c r="LOK386"/>
      <c r="LOL386"/>
      <c r="LOM386"/>
      <c r="LON386"/>
      <c r="LOO386"/>
      <c r="LOP386"/>
      <c r="LOQ386"/>
      <c r="LOR386"/>
      <c r="LOS386"/>
      <c r="LOT386"/>
      <c r="LOU386"/>
      <c r="LOV386"/>
      <c r="LOW386"/>
      <c r="LOX386"/>
      <c r="LOY386"/>
      <c r="LOZ386"/>
      <c r="LPA386"/>
      <c r="LPB386"/>
      <c r="LPC386"/>
      <c r="LPD386"/>
      <c r="LPE386"/>
      <c r="LPF386"/>
      <c r="LPG386"/>
      <c r="LPH386"/>
      <c r="LPI386"/>
      <c r="LPJ386"/>
      <c r="LPK386"/>
      <c r="LPL386"/>
      <c r="LPM386"/>
      <c r="LPN386"/>
      <c r="LPO386"/>
      <c r="LPP386"/>
      <c r="LPQ386"/>
      <c r="LPR386"/>
      <c r="LPS386"/>
      <c r="LPT386"/>
      <c r="LPU386"/>
      <c r="LPV386"/>
      <c r="LPW386"/>
      <c r="LPX386"/>
      <c r="LPY386"/>
      <c r="LPZ386"/>
      <c r="LQA386"/>
      <c r="LQB386"/>
      <c r="LQC386"/>
      <c r="LQD386"/>
      <c r="LQE386"/>
      <c r="LQF386"/>
      <c r="LQG386"/>
      <c r="LQH386"/>
      <c r="LQI386"/>
      <c r="LQJ386"/>
      <c r="LQK386"/>
      <c r="LQL386"/>
      <c r="LQM386"/>
      <c r="LQN386"/>
      <c r="LQO386"/>
      <c r="LQP386"/>
      <c r="LQQ386"/>
      <c r="LQR386"/>
      <c r="LQS386"/>
      <c r="LQT386"/>
      <c r="LQU386"/>
      <c r="LQV386"/>
      <c r="LQW386"/>
      <c r="LQX386"/>
      <c r="LQY386"/>
      <c r="LQZ386"/>
      <c r="LRA386"/>
      <c r="LRB386"/>
      <c r="LRC386"/>
      <c r="LRD386"/>
      <c r="LRE386"/>
      <c r="LRF386"/>
      <c r="LRG386"/>
      <c r="LRH386"/>
      <c r="LRI386"/>
      <c r="LRJ386"/>
      <c r="LRK386"/>
      <c r="LRL386"/>
      <c r="LRM386"/>
      <c r="LRN386"/>
      <c r="LRO386"/>
      <c r="LRP386"/>
      <c r="LRQ386"/>
      <c r="LRR386"/>
      <c r="LRS386"/>
      <c r="LRT386"/>
      <c r="LRU386"/>
      <c r="LRV386"/>
      <c r="LRW386"/>
      <c r="LRX386"/>
      <c r="LRY386"/>
      <c r="LRZ386"/>
      <c r="LSA386"/>
      <c r="LSB386"/>
      <c r="LSC386"/>
      <c r="LSD386"/>
      <c r="LSE386"/>
      <c r="LSF386"/>
      <c r="LSG386"/>
      <c r="LSH386"/>
      <c r="LSI386"/>
      <c r="LSJ386"/>
      <c r="LSK386"/>
      <c r="LSL386"/>
      <c r="LSM386"/>
      <c r="LSN386"/>
      <c r="LSO386"/>
      <c r="LSP386"/>
      <c r="LSQ386"/>
      <c r="LSR386"/>
      <c r="LSS386"/>
      <c r="LST386"/>
      <c r="LSU386"/>
      <c r="LSV386"/>
      <c r="LSW386"/>
      <c r="LSX386"/>
      <c r="LSY386"/>
      <c r="LSZ386"/>
      <c r="LTA386"/>
      <c r="LTB386"/>
      <c r="LTC386"/>
      <c r="LTD386"/>
      <c r="LTE386"/>
      <c r="LTF386"/>
      <c r="LTG386"/>
      <c r="LTH386"/>
      <c r="LTI386"/>
      <c r="LTJ386"/>
      <c r="LTK386"/>
      <c r="LTL386"/>
      <c r="LTM386"/>
      <c r="LTN386"/>
      <c r="LTO386"/>
      <c r="LTP386"/>
      <c r="LTQ386"/>
      <c r="LTR386"/>
      <c r="LTS386"/>
      <c r="LTT386"/>
      <c r="LTU386"/>
      <c r="LTV386"/>
      <c r="LTW386"/>
      <c r="LTX386"/>
      <c r="LTY386"/>
      <c r="LTZ386"/>
      <c r="LUA386"/>
      <c r="LUB386"/>
      <c r="LUC386"/>
      <c r="LUD386"/>
      <c r="LUE386"/>
      <c r="LUF386"/>
      <c r="LUG386"/>
      <c r="LUH386"/>
      <c r="LUI386"/>
      <c r="LUJ386"/>
      <c r="LUK386"/>
      <c r="LUL386"/>
      <c r="LUM386"/>
      <c r="LUN386"/>
      <c r="LUO386"/>
      <c r="LUP386"/>
      <c r="LUQ386"/>
      <c r="LUR386"/>
      <c r="LUS386"/>
      <c r="LUT386"/>
      <c r="LUU386"/>
      <c r="LUV386"/>
      <c r="LUW386"/>
      <c r="LUX386"/>
      <c r="LUY386"/>
      <c r="LUZ386"/>
      <c r="LVA386"/>
      <c r="LVB386"/>
      <c r="LVC386"/>
      <c r="LVD386"/>
      <c r="LVE386"/>
      <c r="LVF386"/>
      <c r="LVG386"/>
      <c r="LVH386"/>
      <c r="LVI386"/>
      <c r="LVJ386"/>
      <c r="LVK386"/>
      <c r="LVL386"/>
      <c r="LVM386"/>
      <c r="LVN386"/>
      <c r="LVO386"/>
      <c r="LVP386"/>
      <c r="LVQ386"/>
      <c r="LVR386"/>
      <c r="LVS386"/>
      <c r="LVT386"/>
      <c r="LVU386"/>
      <c r="LVV386"/>
      <c r="LVW386"/>
      <c r="LVX386"/>
      <c r="LVY386"/>
      <c r="LVZ386"/>
      <c r="LWA386"/>
      <c r="LWB386"/>
      <c r="LWC386"/>
      <c r="LWD386"/>
      <c r="LWE386"/>
      <c r="LWF386"/>
      <c r="LWG386"/>
      <c r="LWH386"/>
      <c r="LWI386"/>
      <c r="LWJ386"/>
      <c r="LWK386"/>
      <c r="LWL386"/>
      <c r="LWM386"/>
      <c r="LWN386"/>
      <c r="LWO386"/>
      <c r="LWP386"/>
      <c r="LWQ386"/>
      <c r="LWR386"/>
      <c r="LWS386"/>
      <c r="LWT386"/>
      <c r="LWU386"/>
      <c r="LWV386"/>
      <c r="LWW386"/>
      <c r="LWX386"/>
      <c r="LWY386"/>
      <c r="LWZ386"/>
      <c r="LXA386"/>
      <c r="LXB386"/>
      <c r="LXC386"/>
      <c r="LXD386"/>
      <c r="LXE386"/>
      <c r="LXF386"/>
      <c r="LXG386"/>
      <c r="LXH386"/>
      <c r="LXI386"/>
      <c r="LXJ386"/>
      <c r="LXK386"/>
      <c r="LXL386"/>
      <c r="LXM386"/>
      <c r="LXN386"/>
      <c r="LXO386"/>
      <c r="LXP386"/>
      <c r="LXQ386"/>
      <c r="LXR386"/>
      <c r="LXS386"/>
      <c r="LXT386"/>
      <c r="LXU386"/>
      <c r="LXV386"/>
      <c r="LXW386"/>
      <c r="LXX386"/>
      <c r="LXY386"/>
      <c r="LXZ386"/>
      <c r="LYA386"/>
      <c r="LYB386"/>
      <c r="LYC386"/>
      <c r="LYD386"/>
      <c r="LYE386"/>
      <c r="LYF386"/>
      <c r="LYG386"/>
      <c r="LYH386"/>
      <c r="LYI386"/>
      <c r="LYJ386"/>
      <c r="LYK386"/>
      <c r="LYL386"/>
      <c r="LYM386"/>
      <c r="LYN386"/>
      <c r="LYO386"/>
      <c r="LYP386"/>
      <c r="LYQ386"/>
      <c r="LYR386"/>
      <c r="LYS386"/>
      <c r="LYT386"/>
      <c r="LYU386"/>
      <c r="LYV386"/>
      <c r="LYW386"/>
      <c r="LYX386"/>
      <c r="LYY386"/>
      <c r="LYZ386"/>
      <c r="LZA386"/>
      <c r="LZB386"/>
      <c r="LZC386"/>
      <c r="LZD386"/>
      <c r="LZE386"/>
      <c r="LZF386"/>
      <c r="LZG386"/>
      <c r="LZH386"/>
      <c r="LZI386"/>
      <c r="LZJ386"/>
      <c r="LZK386"/>
      <c r="LZL386"/>
      <c r="LZM386"/>
      <c r="LZN386"/>
      <c r="LZO386"/>
      <c r="LZP386"/>
      <c r="LZQ386"/>
      <c r="LZR386"/>
      <c r="LZS386"/>
      <c r="LZT386"/>
      <c r="LZU386"/>
      <c r="LZV386"/>
      <c r="LZW386"/>
      <c r="LZX386"/>
      <c r="LZY386"/>
      <c r="LZZ386"/>
      <c r="MAA386"/>
      <c r="MAB386"/>
      <c r="MAC386"/>
      <c r="MAD386"/>
      <c r="MAE386"/>
      <c r="MAF386"/>
      <c r="MAG386"/>
      <c r="MAH386"/>
      <c r="MAI386"/>
      <c r="MAJ386"/>
      <c r="MAK386"/>
      <c r="MAL386"/>
      <c r="MAM386"/>
      <c r="MAN386"/>
      <c r="MAO386"/>
      <c r="MAP386"/>
      <c r="MAQ386"/>
      <c r="MAR386"/>
      <c r="MAS386"/>
      <c r="MAT386"/>
      <c r="MAU386"/>
      <c r="MAV386"/>
      <c r="MAW386"/>
      <c r="MAX386"/>
      <c r="MAY386"/>
      <c r="MAZ386"/>
      <c r="MBA386"/>
      <c r="MBB386"/>
      <c r="MBC386"/>
      <c r="MBD386"/>
      <c r="MBE386"/>
      <c r="MBF386"/>
      <c r="MBG386"/>
      <c r="MBH386"/>
      <c r="MBI386"/>
      <c r="MBJ386"/>
      <c r="MBK386"/>
      <c r="MBL386"/>
      <c r="MBM386"/>
      <c r="MBN386"/>
      <c r="MBO386"/>
      <c r="MBP386"/>
      <c r="MBQ386"/>
      <c r="MBR386"/>
      <c r="MBS386"/>
      <c r="MBT386"/>
      <c r="MBU386"/>
      <c r="MBV386"/>
      <c r="MBW386"/>
      <c r="MBX386"/>
      <c r="MBY386"/>
      <c r="MBZ386"/>
      <c r="MCA386"/>
      <c r="MCB386"/>
      <c r="MCC386"/>
      <c r="MCD386"/>
      <c r="MCE386"/>
      <c r="MCF386"/>
      <c r="MCG386"/>
      <c r="MCH386"/>
      <c r="MCI386"/>
      <c r="MCJ386"/>
      <c r="MCK386"/>
      <c r="MCL386"/>
      <c r="MCM386"/>
      <c r="MCN386"/>
      <c r="MCO386"/>
      <c r="MCP386"/>
      <c r="MCQ386"/>
      <c r="MCR386"/>
      <c r="MCS386"/>
      <c r="MCT386"/>
      <c r="MCU386"/>
      <c r="MCV386"/>
      <c r="MCW386"/>
      <c r="MCX386"/>
      <c r="MCY386"/>
      <c r="MCZ386"/>
      <c r="MDA386"/>
      <c r="MDB386"/>
      <c r="MDC386"/>
      <c r="MDD386"/>
      <c r="MDE386"/>
      <c r="MDF386"/>
      <c r="MDG386"/>
      <c r="MDH386"/>
      <c r="MDI386"/>
      <c r="MDJ386"/>
      <c r="MDK386"/>
      <c r="MDL386"/>
      <c r="MDM386"/>
      <c r="MDN386"/>
      <c r="MDO386"/>
      <c r="MDP386"/>
      <c r="MDQ386"/>
      <c r="MDR386"/>
      <c r="MDS386"/>
      <c r="MDT386"/>
      <c r="MDU386"/>
      <c r="MDV386"/>
      <c r="MDW386"/>
      <c r="MDX386"/>
      <c r="MDY386"/>
      <c r="MDZ386"/>
      <c r="MEA386"/>
      <c r="MEB386"/>
      <c r="MEC386"/>
      <c r="MED386"/>
      <c r="MEE386"/>
      <c r="MEF386"/>
      <c r="MEG386"/>
      <c r="MEH386"/>
      <c r="MEI386"/>
      <c r="MEJ386"/>
      <c r="MEK386"/>
      <c r="MEL386"/>
      <c r="MEM386"/>
      <c r="MEN386"/>
      <c r="MEO386"/>
      <c r="MEP386"/>
      <c r="MEQ386"/>
      <c r="MER386"/>
      <c r="MES386"/>
      <c r="MET386"/>
      <c r="MEU386"/>
      <c r="MEV386"/>
      <c r="MEW386"/>
      <c r="MEX386"/>
      <c r="MEY386"/>
      <c r="MEZ386"/>
      <c r="MFA386"/>
      <c r="MFB386"/>
      <c r="MFC386"/>
      <c r="MFD386"/>
      <c r="MFE386"/>
      <c r="MFF386"/>
      <c r="MFG386"/>
      <c r="MFH386"/>
      <c r="MFI386"/>
      <c r="MFJ386"/>
      <c r="MFK386"/>
      <c r="MFL386"/>
      <c r="MFM386"/>
      <c r="MFN386"/>
      <c r="MFO386"/>
      <c r="MFP386"/>
      <c r="MFQ386"/>
      <c r="MFR386"/>
      <c r="MFS386"/>
      <c r="MFT386"/>
      <c r="MFU386"/>
      <c r="MFV386"/>
      <c r="MFW386"/>
      <c r="MFX386"/>
      <c r="MFY386"/>
      <c r="MFZ386"/>
      <c r="MGA386"/>
      <c r="MGB386"/>
      <c r="MGC386"/>
      <c r="MGD386"/>
      <c r="MGE386"/>
      <c r="MGF386"/>
      <c r="MGG386"/>
      <c r="MGH386"/>
      <c r="MGI386"/>
      <c r="MGJ386"/>
      <c r="MGK386"/>
      <c r="MGL386"/>
      <c r="MGM386"/>
      <c r="MGN386"/>
      <c r="MGO386"/>
      <c r="MGP386"/>
      <c r="MGQ386"/>
      <c r="MGR386"/>
      <c r="MGS386"/>
      <c r="MGT386"/>
      <c r="MGU386"/>
      <c r="MGV386"/>
      <c r="MGW386"/>
      <c r="MGX386"/>
      <c r="MGY386"/>
      <c r="MGZ386"/>
      <c r="MHA386"/>
      <c r="MHB386"/>
      <c r="MHC386"/>
      <c r="MHD386"/>
      <c r="MHE386"/>
      <c r="MHF386"/>
      <c r="MHG386"/>
      <c r="MHH386"/>
      <c r="MHI386"/>
      <c r="MHJ386"/>
      <c r="MHK386"/>
      <c r="MHL386"/>
      <c r="MHM386"/>
      <c r="MHN386"/>
      <c r="MHO386"/>
      <c r="MHP386"/>
      <c r="MHQ386"/>
      <c r="MHR386"/>
      <c r="MHS386"/>
      <c r="MHT386"/>
      <c r="MHU386"/>
      <c r="MHV386"/>
      <c r="MHW386"/>
      <c r="MHX386"/>
      <c r="MHY386"/>
      <c r="MHZ386"/>
      <c r="MIA386"/>
      <c r="MIB386"/>
      <c r="MIC386"/>
      <c r="MID386"/>
      <c r="MIE386"/>
      <c r="MIF386"/>
      <c r="MIG386"/>
      <c r="MIH386"/>
      <c r="MII386"/>
      <c r="MIJ386"/>
      <c r="MIK386"/>
      <c r="MIL386"/>
      <c r="MIM386"/>
      <c r="MIN386"/>
      <c r="MIO386"/>
      <c r="MIP386"/>
      <c r="MIQ386"/>
      <c r="MIR386"/>
      <c r="MIS386"/>
      <c r="MIT386"/>
      <c r="MIU386"/>
      <c r="MIV386"/>
      <c r="MIW386"/>
      <c r="MIX386"/>
      <c r="MIY386"/>
      <c r="MIZ386"/>
      <c r="MJA386"/>
      <c r="MJB386"/>
      <c r="MJC386"/>
      <c r="MJD386"/>
      <c r="MJE386"/>
      <c r="MJF386"/>
      <c r="MJG386"/>
      <c r="MJH386"/>
      <c r="MJI386"/>
      <c r="MJJ386"/>
      <c r="MJK386"/>
      <c r="MJL386"/>
      <c r="MJM386"/>
      <c r="MJN386"/>
      <c r="MJO386"/>
      <c r="MJP386"/>
      <c r="MJQ386"/>
      <c r="MJR386"/>
      <c r="MJS386"/>
      <c r="MJT386"/>
      <c r="MJU386"/>
      <c r="MJV386"/>
      <c r="MJW386"/>
      <c r="MJX386"/>
      <c r="MJY386"/>
      <c r="MJZ386"/>
      <c r="MKA386"/>
      <c r="MKB386"/>
      <c r="MKC386"/>
      <c r="MKD386"/>
      <c r="MKE386"/>
      <c r="MKF386"/>
      <c r="MKG386"/>
      <c r="MKH386"/>
      <c r="MKI386"/>
      <c r="MKJ386"/>
      <c r="MKK386"/>
      <c r="MKL386"/>
      <c r="MKM386"/>
      <c r="MKN386"/>
      <c r="MKO386"/>
      <c r="MKP386"/>
      <c r="MKQ386"/>
      <c r="MKR386"/>
      <c r="MKS386"/>
      <c r="MKT386"/>
      <c r="MKU386"/>
      <c r="MKV386"/>
      <c r="MKW386"/>
      <c r="MKX386"/>
      <c r="MKY386"/>
      <c r="MKZ386"/>
      <c r="MLA386"/>
      <c r="MLB386"/>
      <c r="MLC386"/>
      <c r="MLD386"/>
      <c r="MLE386"/>
      <c r="MLF386"/>
      <c r="MLG386"/>
      <c r="MLH386"/>
      <c r="MLI386"/>
      <c r="MLJ386"/>
      <c r="MLK386"/>
      <c r="MLL386"/>
      <c r="MLM386"/>
      <c r="MLN386"/>
      <c r="MLO386"/>
      <c r="MLP386"/>
      <c r="MLQ386"/>
      <c r="MLR386"/>
      <c r="MLS386"/>
      <c r="MLT386"/>
      <c r="MLU386"/>
      <c r="MLV386"/>
      <c r="MLW386"/>
      <c r="MLX386"/>
      <c r="MLY386"/>
      <c r="MLZ386"/>
      <c r="MMA386"/>
      <c r="MMB386"/>
      <c r="MMC386"/>
      <c r="MMD386"/>
      <c r="MME386"/>
      <c r="MMF386"/>
      <c r="MMG386"/>
      <c r="MMH386"/>
      <c r="MMI386"/>
      <c r="MMJ386"/>
      <c r="MMK386"/>
      <c r="MML386"/>
      <c r="MMM386"/>
      <c r="MMN386"/>
      <c r="MMO386"/>
      <c r="MMP386"/>
      <c r="MMQ386"/>
      <c r="MMR386"/>
      <c r="MMS386"/>
      <c r="MMT386"/>
      <c r="MMU386"/>
      <c r="MMV386"/>
      <c r="MMW386"/>
      <c r="MMX386"/>
      <c r="MMY386"/>
      <c r="MMZ386"/>
      <c r="MNA386"/>
      <c r="MNB386"/>
      <c r="MNC386"/>
      <c r="MND386"/>
      <c r="MNE386"/>
      <c r="MNF386"/>
      <c r="MNG386"/>
      <c r="MNH386"/>
      <c r="MNI386"/>
      <c r="MNJ386"/>
      <c r="MNK386"/>
      <c r="MNL386"/>
      <c r="MNM386"/>
      <c r="MNN386"/>
      <c r="MNO386"/>
      <c r="MNP386"/>
      <c r="MNQ386"/>
      <c r="MNR386"/>
      <c r="MNS386"/>
      <c r="MNT386"/>
      <c r="MNU386"/>
      <c r="MNV386"/>
      <c r="MNW386"/>
      <c r="MNX386"/>
      <c r="MNY386"/>
      <c r="MNZ386"/>
      <c r="MOA386"/>
      <c r="MOB386"/>
      <c r="MOC386"/>
      <c r="MOD386"/>
      <c r="MOE386"/>
      <c r="MOF386"/>
      <c r="MOG386"/>
      <c r="MOH386"/>
      <c r="MOI386"/>
      <c r="MOJ386"/>
      <c r="MOK386"/>
      <c r="MOL386"/>
      <c r="MOM386"/>
      <c r="MON386"/>
      <c r="MOO386"/>
      <c r="MOP386"/>
      <c r="MOQ386"/>
      <c r="MOR386"/>
      <c r="MOS386"/>
      <c r="MOT386"/>
      <c r="MOU386"/>
      <c r="MOV386"/>
      <c r="MOW386"/>
      <c r="MOX386"/>
      <c r="MOY386"/>
      <c r="MOZ386"/>
      <c r="MPA386"/>
      <c r="MPB386"/>
      <c r="MPC386"/>
      <c r="MPD386"/>
      <c r="MPE386"/>
      <c r="MPF386"/>
      <c r="MPG386"/>
      <c r="MPH386"/>
      <c r="MPI386"/>
      <c r="MPJ386"/>
      <c r="MPK386"/>
      <c r="MPL386"/>
      <c r="MPM386"/>
      <c r="MPN386"/>
      <c r="MPO386"/>
      <c r="MPP386"/>
      <c r="MPQ386"/>
      <c r="MPR386"/>
      <c r="MPS386"/>
      <c r="MPT386"/>
      <c r="MPU386"/>
      <c r="MPV386"/>
      <c r="MPW386"/>
      <c r="MPX386"/>
      <c r="MPY386"/>
      <c r="MPZ386"/>
      <c r="MQA386"/>
      <c r="MQB386"/>
      <c r="MQC386"/>
      <c r="MQD386"/>
      <c r="MQE386"/>
      <c r="MQF386"/>
      <c r="MQG386"/>
      <c r="MQH386"/>
      <c r="MQI386"/>
      <c r="MQJ386"/>
      <c r="MQK386"/>
      <c r="MQL386"/>
      <c r="MQM386"/>
      <c r="MQN386"/>
      <c r="MQO386"/>
      <c r="MQP386"/>
      <c r="MQQ386"/>
      <c r="MQR386"/>
      <c r="MQS386"/>
      <c r="MQT386"/>
      <c r="MQU386"/>
      <c r="MQV386"/>
      <c r="MQW386"/>
      <c r="MQX386"/>
      <c r="MQY386"/>
      <c r="MQZ386"/>
      <c r="MRA386"/>
      <c r="MRB386"/>
      <c r="MRC386"/>
      <c r="MRD386"/>
      <c r="MRE386"/>
      <c r="MRF386"/>
      <c r="MRG386"/>
      <c r="MRH386"/>
      <c r="MRI386"/>
      <c r="MRJ386"/>
      <c r="MRK386"/>
      <c r="MRL386"/>
      <c r="MRM386"/>
      <c r="MRN386"/>
      <c r="MRO386"/>
      <c r="MRP386"/>
      <c r="MRQ386"/>
      <c r="MRR386"/>
      <c r="MRS386"/>
      <c r="MRT386"/>
      <c r="MRU386"/>
      <c r="MRV386"/>
      <c r="MRW386"/>
      <c r="MRX386"/>
      <c r="MRY386"/>
      <c r="MRZ386"/>
      <c r="MSA386"/>
      <c r="MSB386"/>
      <c r="MSC386"/>
      <c r="MSD386"/>
      <c r="MSE386"/>
      <c r="MSF386"/>
      <c r="MSG386"/>
      <c r="MSH386"/>
      <c r="MSI386"/>
      <c r="MSJ386"/>
      <c r="MSK386"/>
      <c r="MSL386"/>
      <c r="MSM386"/>
      <c r="MSN386"/>
      <c r="MSO386"/>
      <c r="MSP386"/>
      <c r="MSQ386"/>
      <c r="MSR386"/>
      <c r="MSS386"/>
      <c r="MST386"/>
      <c r="MSU386"/>
      <c r="MSV386"/>
      <c r="MSW386"/>
      <c r="MSX386"/>
      <c r="MSY386"/>
      <c r="MSZ386"/>
      <c r="MTA386"/>
      <c r="MTB386"/>
      <c r="MTC386"/>
      <c r="MTD386"/>
      <c r="MTE386"/>
      <c r="MTF386"/>
      <c r="MTG386"/>
      <c r="MTH386"/>
      <c r="MTI386"/>
      <c r="MTJ386"/>
      <c r="MTK386"/>
      <c r="MTL386"/>
      <c r="MTM386"/>
      <c r="MTN386"/>
      <c r="MTO386"/>
      <c r="MTP386"/>
      <c r="MTQ386"/>
      <c r="MTR386"/>
      <c r="MTS386"/>
      <c r="MTT386"/>
      <c r="MTU386"/>
      <c r="MTV386"/>
      <c r="MTW386"/>
      <c r="MTX386"/>
      <c r="MTY386"/>
      <c r="MTZ386"/>
      <c r="MUA386"/>
      <c r="MUB386"/>
      <c r="MUC386"/>
      <c r="MUD386"/>
      <c r="MUE386"/>
      <c r="MUF386"/>
      <c r="MUG386"/>
      <c r="MUH386"/>
      <c r="MUI386"/>
      <c r="MUJ386"/>
      <c r="MUK386"/>
      <c r="MUL386"/>
      <c r="MUM386"/>
      <c r="MUN386"/>
      <c r="MUO386"/>
      <c r="MUP386"/>
      <c r="MUQ386"/>
      <c r="MUR386"/>
      <c r="MUS386"/>
      <c r="MUT386"/>
      <c r="MUU386"/>
      <c r="MUV386"/>
      <c r="MUW386"/>
      <c r="MUX386"/>
      <c r="MUY386"/>
      <c r="MUZ386"/>
      <c r="MVA386"/>
      <c r="MVB386"/>
      <c r="MVC386"/>
      <c r="MVD386"/>
      <c r="MVE386"/>
      <c r="MVF386"/>
      <c r="MVG386"/>
      <c r="MVH386"/>
      <c r="MVI386"/>
      <c r="MVJ386"/>
      <c r="MVK386"/>
      <c r="MVL386"/>
      <c r="MVM386"/>
      <c r="MVN386"/>
      <c r="MVO386"/>
      <c r="MVP386"/>
      <c r="MVQ386"/>
      <c r="MVR386"/>
      <c r="MVS386"/>
      <c r="MVT386"/>
      <c r="MVU386"/>
      <c r="MVV386"/>
      <c r="MVW386"/>
      <c r="MVX386"/>
      <c r="MVY386"/>
      <c r="MVZ386"/>
      <c r="MWA386"/>
      <c r="MWB386"/>
      <c r="MWC386"/>
      <c r="MWD386"/>
      <c r="MWE386"/>
      <c r="MWF386"/>
      <c r="MWG386"/>
      <c r="MWH386"/>
      <c r="MWI386"/>
      <c r="MWJ386"/>
      <c r="MWK386"/>
      <c r="MWL386"/>
      <c r="MWM386"/>
      <c r="MWN386"/>
      <c r="MWO386"/>
      <c r="MWP386"/>
      <c r="MWQ386"/>
      <c r="MWR386"/>
      <c r="MWS386"/>
      <c r="MWT386"/>
      <c r="MWU386"/>
      <c r="MWV386"/>
      <c r="MWW386"/>
      <c r="MWX386"/>
      <c r="MWY386"/>
      <c r="MWZ386"/>
      <c r="MXA386"/>
      <c r="MXB386"/>
      <c r="MXC386"/>
      <c r="MXD386"/>
      <c r="MXE386"/>
      <c r="MXF386"/>
      <c r="MXG386"/>
      <c r="MXH386"/>
      <c r="MXI386"/>
      <c r="MXJ386"/>
      <c r="MXK386"/>
      <c r="MXL386"/>
      <c r="MXM386"/>
      <c r="MXN386"/>
      <c r="MXO386"/>
      <c r="MXP386"/>
      <c r="MXQ386"/>
      <c r="MXR386"/>
      <c r="MXS386"/>
      <c r="MXT386"/>
      <c r="MXU386"/>
      <c r="MXV386"/>
      <c r="MXW386"/>
      <c r="MXX386"/>
      <c r="MXY386"/>
      <c r="MXZ386"/>
      <c r="MYA386"/>
      <c r="MYB386"/>
      <c r="MYC386"/>
      <c r="MYD386"/>
      <c r="MYE386"/>
      <c r="MYF386"/>
      <c r="MYG386"/>
      <c r="MYH386"/>
      <c r="MYI386"/>
      <c r="MYJ386"/>
      <c r="MYK386"/>
      <c r="MYL386"/>
      <c r="MYM386"/>
      <c r="MYN386"/>
      <c r="MYO386"/>
      <c r="MYP386"/>
      <c r="MYQ386"/>
      <c r="MYR386"/>
      <c r="MYS386"/>
      <c r="MYT386"/>
      <c r="MYU386"/>
      <c r="MYV386"/>
      <c r="MYW386"/>
      <c r="MYX386"/>
      <c r="MYY386"/>
      <c r="MYZ386"/>
      <c r="MZA386"/>
      <c r="MZB386"/>
      <c r="MZC386"/>
      <c r="MZD386"/>
      <c r="MZE386"/>
      <c r="MZF386"/>
      <c r="MZG386"/>
      <c r="MZH386"/>
      <c r="MZI386"/>
      <c r="MZJ386"/>
      <c r="MZK386"/>
      <c r="MZL386"/>
      <c r="MZM386"/>
      <c r="MZN386"/>
      <c r="MZO386"/>
      <c r="MZP386"/>
      <c r="MZQ386"/>
      <c r="MZR386"/>
      <c r="MZS386"/>
      <c r="MZT386"/>
      <c r="MZU386"/>
      <c r="MZV386"/>
      <c r="MZW386"/>
      <c r="MZX386"/>
      <c r="MZY386"/>
      <c r="MZZ386"/>
      <c r="NAA386"/>
      <c r="NAB386"/>
      <c r="NAC386"/>
      <c r="NAD386"/>
      <c r="NAE386"/>
      <c r="NAF386"/>
      <c r="NAG386"/>
      <c r="NAH386"/>
      <c r="NAI386"/>
      <c r="NAJ386"/>
      <c r="NAK386"/>
      <c r="NAL386"/>
      <c r="NAM386"/>
      <c r="NAN386"/>
      <c r="NAO386"/>
      <c r="NAP386"/>
      <c r="NAQ386"/>
      <c r="NAR386"/>
      <c r="NAS386"/>
      <c r="NAT386"/>
      <c r="NAU386"/>
      <c r="NAV386"/>
      <c r="NAW386"/>
      <c r="NAX386"/>
      <c r="NAY386"/>
      <c r="NAZ386"/>
      <c r="NBA386"/>
      <c r="NBB386"/>
      <c r="NBC386"/>
      <c r="NBD386"/>
      <c r="NBE386"/>
      <c r="NBF386"/>
      <c r="NBG386"/>
      <c r="NBH386"/>
      <c r="NBI386"/>
      <c r="NBJ386"/>
      <c r="NBK386"/>
      <c r="NBL386"/>
      <c r="NBM386"/>
      <c r="NBN386"/>
      <c r="NBO386"/>
      <c r="NBP386"/>
      <c r="NBQ386"/>
      <c r="NBR386"/>
      <c r="NBS386"/>
      <c r="NBT386"/>
      <c r="NBU386"/>
      <c r="NBV386"/>
      <c r="NBW386"/>
      <c r="NBX386"/>
      <c r="NBY386"/>
      <c r="NBZ386"/>
      <c r="NCA386"/>
      <c r="NCB386"/>
      <c r="NCC386"/>
      <c r="NCD386"/>
      <c r="NCE386"/>
      <c r="NCF386"/>
      <c r="NCG386"/>
      <c r="NCH386"/>
      <c r="NCI386"/>
      <c r="NCJ386"/>
      <c r="NCK386"/>
      <c r="NCL386"/>
      <c r="NCM386"/>
      <c r="NCN386"/>
      <c r="NCO386"/>
      <c r="NCP386"/>
      <c r="NCQ386"/>
      <c r="NCR386"/>
      <c r="NCS386"/>
      <c r="NCT386"/>
      <c r="NCU386"/>
      <c r="NCV386"/>
      <c r="NCW386"/>
      <c r="NCX386"/>
      <c r="NCY386"/>
      <c r="NCZ386"/>
      <c r="NDA386"/>
      <c r="NDB386"/>
      <c r="NDC386"/>
      <c r="NDD386"/>
      <c r="NDE386"/>
      <c r="NDF386"/>
      <c r="NDG386"/>
      <c r="NDH386"/>
      <c r="NDI386"/>
      <c r="NDJ386"/>
      <c r="NDK386"/>
      <c r="NDL386"/>
      <c r="NDM386"/>
      <c r="NDN386"/>
      <c r="NDO386"/>
      <c r="NDP386"/>
      <c r="NDQ386"/>
      <c r="NDR386"/>
      <c r="NDS386"/>
      <c r="NDT386"/>
      <c r="NDU386"/>
      <c r="NDV386"/>
      <c r="NDW386"/>
      <c r="NDX386"/>
      <c r="NDY386"/>
      <c r="NDZ386"/>
      <c r="NEA386"/>
      <c r="NEB386"/>
      <c r="NEC386"/>
      <c r="NED386"/>
      <c r="NEE386"/>
      <c r="NEF386"/>
      <c r="NEG386"/>
      <c r="NEH386"/>
      <c r="NEI386"/>
      <c r="NEJ386"/>
      <c r="NEK386"/>
      <c r="NEL386"/>
      <c r="NEM386"/>
      <c r="NEN386"/>
      <c r="NEO386"/>
      <c r="NEP386"/>
      <c r="NEQ386"/>
      <c r="NER386"/>
      <c r="NES386"/>
      <c r="NET386"/>
      <c r="NEU386"/>
      <c r="NEV386"/>
      <c r="NEW386"/>
      <c r="NEX386"/>
      <c r="NEY386"/>
      <c r="NEZ386"/>
      <c r="NFA386"/>
      <c r="NFB386"/>
      <c r="NFC386"/>
      <c r="NFD386"/>
      <c r="NFE386"/>
      <c r="NFF386"/>
      <c r="NFG386"/>
      <c r="NFH386"/>
      <c r="NFI386"/>
      <c r="NFJ386"/>
      <c r="NFK386"/>
      <c r="NFL386"/>
      <c r="NFM386"/>
      <c r="NFN386"/>
      <c r="NFO386"/>
      <c r="NFP386"/>
      <c r="NFQ386"/>
      <c r="NFR386"/>
      <c r="NFS386"/>
      <c r="NFT386"/>
      <c r="NFU386"/>
      <c r="NFV386"/>
      <c r="NFW386"/>
      <c r="NFX386"/>
      <c r="NFY386"/>
      <c r="NFZ386"/>
      <c r="NGA386"/>
      <c r="NGB386"/>
      <c r="NGC386"/>
      <c r="NGD386"/>
      <c r="NGE386"/>
      <c r="NGF386"/>
      <c r="NGG386"/>
      <c r="NGH386"/>
      <c r="NGI386"/>
      <c r="NGJ386"/>
      <c r="NGK386"/>
      <c r="NGL386"/>
      <c r="NGM386"/>
      <c r="NGN386"/>
      <c r="NGO386"/>
      <c r="NGP386"/>
      <c r="NGQ386"/>
      <c r="NGR386"/>
      <c r="NGS386"/>
      <c r="NGT386"/>
      <c r="NGU386"/>
      <c r="NGV386"/>
      <c r="NGW386"/>
      <c r="NGX386"/>
      <c r="NGY386"/>
      <c r="NGZ386"/>
      <c r="NHA386"/>
      <c r="NHB386"/>
      <c r="NHC386"/>
      <c r="NHD386"/>
      <c r="NHE386"/>
      <c r="NHF386"/>
      <c r="NHG386"/>
      <c r="NHH386"/>
      <c r="NHI386"/>
      <c r="NHJ386"/>
      <c r="NHK386"/>
      <c r="NHL386"/>
      <c r="NHM386"/>
      <c r="NHN386"/>
      <c r="NHO386"/>
      <c r="NHP386"/>
      <c r="NHQ386"/>
      <c r="NHR386"/>
      <c r="NHS386"/>
      <c r="NHT386"/>
      <c r="NHU386"/>
      <c r="NHV386"/>
      <c r="NHW386"/>
      <c r="NHX386"/>
      <c r="NHY386"/>
      <c r="NHZ386"/>
      <c r="NIA386"/>
      <c r="NIB386"/>
      <c r="NIC386"/>
      <c r="NID386"/>
      <c r="NIE386"/>
      <c r="NIF386"/>
      <c r="NIG386"/>
      <c r="NIH386"/>
      <c r="NII386"/>
      <c r="NIJ386"/>
      <c r="NIK386"/>
      <c r="NIL386"/>
      <c r="NIM386"/>
      <c r="NIN386"/>
      <c r="NIO386"/>
      <c r="NIP386"/>
      <c r="NIQ386"/>
      <c r="NIR386"/>
      <c r="NIS386"/>
      <c r="NIT386"/>
      <c r="NIU386"/>
      <c r="NIV386"/>
      <c r="NIW386"/>
      <c r="NIX386"/>
      <c r="NIY386"/>
      <c r="NIZ386"/>
      <c r="NJA386"/>
      <c r="NJB386"/>
      <c r="NJC386"/>
      <c r="NJD386"/>
      <c r="NJE386"/>
      <c r="NJF386"/>
      <c r="NJG386"/>
      <c r="NJH386"/>
      <c r="NJI386"/>
      <c r="NJJ386"/>
      <c r="NJK386"/>
      <c r="NJL386"/>
      <c r="NJM386"/>
      <c r="NJN386"/>
      <c r="NJO386"/>
      <c r="NJP386"/>
      <c r="NJQ386"/>
      <c r="NJR386"/>
      <c r="NJS386"/>
      <c r="NJT386"/>
      <c r="NJU386"/>
      <c r="NJV386"/>
      <c r="NJW386"/>
      <c r="NJX386"/>
      <c r="NJY386"/>
      <c r="NJZ386"/>
      <c r="NKA386"/>
      <c r="NKB386"/>
      <c r="NKC386"/>
      <c r="NKD386"/>
      <c r="NKE386"/>
      <c r="NKF386"/>
      <c r="NKG386"/>
      <c r="NKH386"/>
      <c r="NKI386"/>
      <c r="NKJ386"/>
      <c r="NKK386"/>
      <c r="NKL386"/>
      <c r="NKM386"/>
      <c r="NKN386"/>
      <c r="NKO386"/>
      <c r="NKP386"/>
      <c r="NKQ386"/>
      <c r="NKR386"/>
      <c r="NKS386"/>
      <c r="NKT386"/>
      <c r="NKU386"/>
      <c r="NKV386"/>
      <c r="NKW386"/>
      <c r="NKX386"/>
      <c r="NKY386"/>
      <c r="NKZ386"/>
      <c r="NLA386"/>
      <c r="NLB386"/>
      <c r="NLC386"/>
      <c r="NLD386"/>
      <c r="NLE386"/>
      <c r="NLF386"/>
      <c r="NLG386"/>
      <c r="NLH386"/>
      <c r="NLI386"/>
      <c r="NLJ386"/>
      <c r="NLK386"/>
      <c r="NLL386"/>
      <c r="NLM386"/>
      <c r="NLN386"/>
      <c r="NLO386"/>
      <c r="NLP386"/>
      <c r="NLQ386"/>
      <c r="NLR386"/>
      <c r="NLS386"/>
      <c r="NLT386"/>
      <c r="NLU386"/>
      <c r="NLV386"/>
      <c r="NLW386"/>
      <c r="NLX386"/>
      <c r="NLY386"/>
      <c r="NLZ386"/>
      <c r="NMA386"/>
      <c r="NMB386"/>
      <c r="NMC386"/>
      <c r="NMD386"/>
      <c r="NME386"/>
      <c r="NMF386"/>
      <c r="NMG386"/>
      <c r="NMH386"/>
      <c r="NMI386"/>
      <c r="NMJ386"/>
      <c r="NMK386"/>
      <c r="NML386"/>
      <c r="NMM386"/>
      <c r="NMN386"/>
      <c r="NMO386"/>
      <c r="NMP386"/>
      <c r="NMQ386"/>
      <c r="NMR386"/>
      <c r="NMS386"/>
      <c r="NMT386"/>
      <c r="NMU386"/>
      <c r="NMV386"/>
      <c r="NMW386"/>
      <c r="NMX386"/>
      <c r="NMY386"/>
      <c r="NMZ386"/>
      <c r="NNA386"/>
      <c r="NNB386"/>
      <c r="NNC386"/>
      <c r="NND386"/>
      <c r="NNE386"/>
      <c r="NNF386"/>
      <c r="NNG386"/>
      <c r="NNH386"/>
      <c r="NNI386"/>
      <c r="NNJ386"/>
      <c r="NNK386"/>
      <c r="NNL386"/>
      <c r="NNM386"/>
      <c r="NNN386"/>
      <c r="NNO386"/>
      <c r="NNP386"/>
      <c r="NNQ386"/>
      <c r="NNR386"/>
      <c r="NNS386"/>
      <c r="NNT386"/>
      <c r="NNU386"/>
      <c r="NNV386"/>
      <c r="NNW386"/>
      <c r="NNX386"/>
      <c r="NNY386"/>
      <c r="NNZ386"/>
      <c r="NOA386"/>
      <c r="NOB386"/>
      <c r="NOC386"/>
      <c r="NOD386"/>
      <c r="NOE386"/>
      <c r="NOF386"/>
      <c r="NOG386"/>
      <c r="NOH386"/>
      <c r="NOI386"/>
      <c r="NOJ386"/>
      <c r="NOK386"/>
      <c r="NOL386"/>
      <c r="NOM386"/>
      <c r="NON386"/>
      <c r="NOO386"/>
      <c r="NOP386"/>
      <c r="NOQ386"/>
      <c r="NOR386"/>
      <c r="NOS386"/>
      <c r="NOT386"/>
      <c r="NOU386"/>
      <c r="NOV386"/>
      <c r="NOW386"/>
      <c r="NOX386"/>
      <c r="NOY386"/>
      <c r="NOZ386"/>
      <c r="NPA386"/>
      <c r="NPB386"/>
      <c r="NPC386"/>
      <c r="NPD386"/>
      <c r="NPE386"/>
      <c r="NPF386"/>
      <c r="NPG386"/>
      <c r="NPH386"/>
      <c r="NPI386"/>
      <c r="NPJ386"/>
      <c r="NPK386"/>
      <c r="NPL386"/>
      <c r="NPM386"/>
      <c r="NPN386"/>
      <c r="NPO386"/>
      <c r="NPP386"/>
      <c r="NPQ386"/>
      <c r="NPR386"/>
      <c r="NPS386"/>
      <c r="NPT386"/>
      <c r="NPU386"/>
      <c r="NPV386"/>
      <c r="NPW386"/>
      <c r="NPX386"/>
      <c r="NPY386"/>
      <c r="NPZ386"/>
      <c r="NQA386"/>
      <c r="NQB386"/>
      <c r="NQC386"/>
      <c r="NQD386"/>
      <c r="NQE386"/>
      <c r="NQF386"/>
      <c r="NQG386"/>
      <c r="NQH386"/>
      <c r="NQI386"/>
      <c r="NQJ386"/>
      <c r="NQK386"/>
      <c r="NQL386"/>
      <c r="NQM386"/>
      <c r="NQN386"/>
      <c r="NQO386"/>
      <c r="NQP386"/>
      <c r="NQQ386"/>
      <c r="NQR386"/>
      <c r="NQS386"/>
      <c r="NQT386"/>
      <c r="NQU386"/>
      <c r="NQV386"/>
      <c r="NQW386"/>
      <c r="NQX386"/>
      <c r="NQY386"/>
      <c r="NQZ386"/>
      <c r="NRA386"/>
      <c r="NRB386"/>
      <c r="NRC386"/>
      <c r="NRD386"/>
      <c r="NRE386"/>
      <c r="NRF386"/>
      <c r="NRG386"/>
      <c r="NRH386"/>
      <c r="NRI386"/>
      <c r="NRJ386"/>
      <c r="NRK386"/>
      <c r="NRL386"/>
      <c r="NRM386"/>
      <c r="NRN386"/>
      <c r="NRO386"/>
      <c r="NRP386"/>
      <c r="NRQ386"/>
      <c r="NRR386"/>
      <c r="NRS386"/>
      <c r="NRT386"/>
      <c r="NRU386"/>
      <c r="NRV386"/>
      <c r="NRW386"/>
      <c r="NRX386"/>
      <c r="NRY386"/>
      <c r="NRZ386"/>
      <c r="NSA386"/>
      <c r="NSB386"/>
      <c r="NSC386"/>
      <c r="NSD386"/>
      <c r="NSE386"/>
      <c r="NSF386"/>
      <c r="NSG386"/>
      <c r="NSH386"/>
      <c r="NSI386"/>
      <c r="NSJ386"/>
      <c r="NSK386"/>
      <c r="NSL386"/>
      <c r="NSM386"/>
      <c r="NSN386"/>
      <c r="NSO386"/>
      <c r="NSP386"/>
      <c r="NSQ386"/>
      <c r="NSR386"/>
      <c r="NSS386"/>
      <c r="NST386"/>
      <c r="NSU386"/>
      <c r="NSV386"/>
      <c r="NSW386"/>
      <c r="NSX386"/>
      <c r="NSY386"/>
      <c r="NSZ386"/>
      <c r="NTA386"/>
      <c r="NTB386"/>
      <c r="NTC386"/>
      <c r="NTD386"/>
      <c r="NTE386"/>
      <c r="NTF386"/>
      <c r="NTG386"/>
      <c r="NTH386"/>
      <c r="NTI386"/>
      <c r="NTJ386"/>
      <c r="NTK386"/>
      <c r="NTL386"/>
      <c r="NTM386"/>
      <c r="NTN386"/>
      <c r="NTO386"/>
      <c r="NTP386"/>
      <c r="NTQ386"/>
      <c r="NTR386"/>
      <c r="NTS386"/>
      <c r="NTT386"/>
      <c r="NTU386"/>
      <c r="NTV386"/>
      <c r="NTW386"/>
      <c r="NTX386"/>
      <c r="NTY386"/>
      <c r="NTZ386"/>
      <c r="NUA386"/>
      <c r="NUB386"/>
      <c r="NUC386"/>
      <c r="NUD386"/>
      <c r="NUE386"/>
      <c r="NUF386"/>
      <c r="NUG386"/>
      <c r="NUH386"/>
      <c r="NUI386"/>
      <c r="NUJ386"/>
      <c r="NUK386"/>
      <c r="NUL386"/>
      <c r="NUM386"/>
      <c r="NUN386"/>
      <c r="NUO386"/>
      <c r="NUP386"/>
      <c r="NUQ386"/>
      <c r="NUR386"/>
      <c r="NUS386"/>
      <c r="NUT386"/>
      <c r="NUU386"/>
      <c r="NUV386"/>
      <c r="NUW386"/>
      <c r="NUX386"/>
      <c r="NUY386"/>
      <c r="NUZ386"/>
      <c r="NVA386"/>
      <c r="NVB386"/>
      <c r="NVC386"/>
      <c r="NVD386"/>
      <c r="NVE386"/>
      <c r="NVF386"/>
      <c r="NVG386"/>
      <c r="NVH386"/>
      <c r="NVI386"/>
      <c r="NVJ386"/>
      <c r="NVK386"/>
      <c r="NVL386"/>
      <c r="NVM386"/>
      <c r="NVN386"/>
      <c r="NVO386"/>
      <c r="NVP386"/>
      <c r="NVQ386"/>
      <c r="NVR386"/>
      <c r="NVS386"/>
      <c r="NVT386"/>
      <c r="NVU386"/>
      <c r="NVV386"/>
      <c r="NVW386"/>
      <c r="NVX386"/>
      <c r="NVY386"/>
      <c r="NVZ386"/>
      <c r="NWA386"/>
      <c r="NWB386"/>
      <c r="NWC386"/>
      <c r="NWD386"/>
      <c r="NWE386"/>
      <c r="NWF386"/>
      <c r="NWG386"/>
      <c r="NWH386"/>
      <c r="NWI386"/>
      <c r="NWJ386"/>
      <c r="NWK386"/>
      <c r="NWL386"/>
      <c r="NWM386"/>
      <c r="NWN386"/>
      <c r="NWO386"/>
      <c r="NWP386"/>
      <c r="NWQ386"/>
      <c r="NWR386"/>
      <c r="NWS386"/>
      <c r="NWT386"/>
      <c r="NWU386"/>
      <c r="NWV386"/>
      <c r="NWW386"/>
      <c r="NWX386"/>
      <c r="NWY386"/>
      <c r="NWZ386"/>
      <c r="NXA386"/>
      <c r="NXB386"/>
      <c r="NXC386"/>
      <c r="NXD386"/>
      <c r="NXE386"/>
      <c r="NXF386"/>
      <c r="NXG386"/>
      <c r="NXH386"/>
      <c r="NXI386"/>
      <c r="NXJ386"/>
      <c r="NXK386"/>
      <c r="NXL386"/>
      <c r="NXM386"/>
      <c r="NXN386"/>
      <c r="NXO386"/>
      <c r="NXP386"/>
      <c r="NXQ386"/>
      <c r="NXR386"/>
      <c r="NXS386"/>
      <c r="NXT386"/>
      <c r="NXU386"/>
      <c r="NXV386"/>
      <c r="NXW386"/>
      <c r="NXX386"/>
      <c r="NXY386"/>
      <c r="NXZ386"/>
      <c r="NYA386"/>
      <c r="NYB386"/>
      <c r="NYC386"/>
      <c r="NYD386"/>
      <c r="NYE386"/>
      <c r="NYF386"/>
      <c r="NYG386"/>
      <c r="NYH386"/>
      <c r="NYI386"/>
      <c r="NYJ386"/>
      <c r="NYK386"/>
      <c r="NYL386"/>
      <c r="NYM386"/>
      <c r="NYN386"/>
      <c r="NYO386"/>
      <c r="NYP386"/>
      <c r="NYQ386"/>
      <c r="NYR386"/>
      <c r="NYS386"/>
      <c r="NYT386"/>
      <c r="NYU386"/>
      <c r="NYV386"/>
      <c r="NYW386"/>
      <c r="NYX386"/>
      <c r="NYY386"/>
      <c r="NYZ386"/>
      <c r="NZA386"/>
      <c r="NZB386"/>
      <c r="NZC386"/>
      <c r="NZD386"/>
      <c r="NZE386"/>
      <c r="NZF386"/>
      <c r="NZG386"/>
      <c r="NZH386"/>
      <c r="NZI386"/>
      <c r="NZJ386"/>
      <c r="NZK386"/>
      <c r="NZL386"/>
      <c r="NZM386"/>
      <c r="NZN386"/>
      <c r="NZO386"/>
      <c r="NZP386"/>
      <c r="NZQ386"/>
      <c r="NZR386"/>
      <c r="NZS386"/>
      <c r="NZT386"/>
      <c r="NZU386"/>
      <c r="NZV386"/>
      <c r="NZW386"/>
      <c r="NZX386"/>
      <c r="NZY386"/>
      <c r="NZZ386"/>
      <c r="OAA386"/>
      <c r="OAB386"/>
      <c r="OAC386"/>
      <c r="OAD386"/>
      <c r="OAE386"/>
      <c r="OAF386"/>
      <c r="OAG386"/>
      <c r="OAH386"/>
      <c r="OAI386"/>
      <c r="OAJ386"/>
      <c r="OAK386"/>
      <c r="OAL386"/>
      <c r="OAM386"/>
      <c r="OAN386"/>
      <c r="OAO386"/>
      <c r="OAP386"/>
      <c r="OAQ386"/>
      <c r="OAR386"/>
      <c r="OAS386"/>
      <c r="OAT386"/>
      <c r="OAU386"/>
      <c r="OAV386"/>
      <c r="OAW386"/>
      <c r="OAX386"/>
      <c r="OAY386"/>
      <c r="OAZ386"/>
      <c r="OBA386"/>
      <c r="OBB386"/>
      <c r="OBC386"/>
      <c r="OBD386"/>
      <c r="OBE386"/>
      <c r="OBF386"/>
      <c r="OBG386"/>
      <c r="OBH386"/>
      <c r="OBI386"/>
      <c r="OBJ386"/>
      <c r="OBK386"/>
      <c r="OBL386"/>
      <c r="OBM386"/>
      <c r="OBN386"/>
      <c r="OBO386"/>
      <c r="OBP386"/>
      <c r="OBQ386"/>
      <c r="OBR386"/>
      <c r="OBS386"/>
      <c r="OBT386"/>
      <c r="OBU386"/>
      <c r="OBV386"/>
      <c r="OBW386"/>
      <c r="OBX386"/>
      <c r="OBY386"/>
      <c r="OBZ386"/>
      <c r="OCA386"/>
      <c r="OCB386"/>
      <c r="OCC386"/>
      <c r="OCD386"/>
      <c r="OCE386"/>
      <c r="OCF386"/>
      <c r="OCG386"/>
      <c r="OCH386"/>
      <c r="OCI386"/>
      <c r="OCJ386"/>
      <c r="OCK386"/>
      <c r="OCL386"/>
      <c r="OCM386"/>
      <c r="OCN386"/>
      <c r="OCO386"/>
      <c r="OCP386"/>
      <c r="OCQ386"/>
      <c r="OCR386"/>
      <c r="OCS386"/>
      <c r="OCT386"/>
      <c r="OCU386"/>
      <c r="OCV386"/>
      <c r="OCW386"/>
      <c r="OCX386"/>
      <c r="OCY386"/>
      <c r="OCZ386"/>
      <c r="ODA386"/>
      <c r="ODB386"/>
      <c r="ODC386"/>
      <c r="ODD386"/>
      <c r="ODE386"/>
      <c r="ODF386"/>
      <c r="ODG386"/>
      <c r="ODH386"/>
      <c r="ODI386"/>
      <c r="ODJ386"/>
      <c r="ODK386"/>
      <c r="ODL386"/>
      <c r="ODM386"/>
      <c r="ODN386"/>
      <c r="ODO386"/>
      <c r="ODP386"/>
      <c r="ODQ386"/>
      <c r="ODR386"/>
      <c r="ODS386"/>
      <c r="ODT386"/>
      <c r="ODU386"/>
      <c r="ODV386"/>
      <c r="ODW386"/>
      <c r="ODX386"/>
      <c r="ODY386"/>
      <c r="ODZ386"/>
      <c r="OEA386"/>
      <c r="OEB386"/>
      <c r="OEC386"/>
      <c r="OED386"/>
      <c r="OEE386"/>
      <c r="OEF386"/>
      <c r="OEG386"/>
      <c r="OEH386"/>
      <c r="OEI386"/>
      <c r="OEJ386"/>
      <c r="OEK386"/>
      <c r="OEL386"/>
      <c r="OEM386"/>
      <c r="OEN386"/>
      <c r="OEO386"/>
      <c r="OEP386"/>
      <c r="OEQ386"/>
      <c r="OER386"/>
      <c r="OES386"/>
      <c r="OET386"/>
      <c r="OEU386"/>
      <c r="OEV386"/>
      <c r="OEW386"/>
      <c r="OEX386"/>
      <c r="OEY386"/>
      <c r="OEZ386"/>
      <c r="OFA386"/>
      <c r="OFB386"/>
      <c r="OFC386"/>
      <c r="OFD386"/>
      <c r="OFE386"/>
      <c r="OFF386"/>
      <c r="OFG386"/>
      <c r="OFH386"/>
      <c r="OFI386"/>
      <c r="OFJ386"/>
      <c r="OFK386"/>
      <c r="OFL386"/>
      <c r="OFM386"/>
      <c r="OFN386"/>
      <c r="OFO386"/>
      <c r="OFP386"/>
      <c r="OFQ386"/>
      <c r="OFR386"/>
      <c r="OFS386"/>
      <c r="OFT386"/>
      <c r="OFU386"/>
      <c r="OFV386"/>
      <c r="OFW386"/>
      <c r="OFX386"/>
      <c r="OFY386"/>
      <c r="OFZ386"/>
      <c r="OGA386"/>
      <c r="OGB386"/>
      <c r="OGC386"/>
      <c r="OGD386"/>
      <c r="OGE386"/>
      <c r="OGF386"/>
      <c r="OGG386"/>
      <c r="OGH386"/>
      <c r="OGI386"/>
      <c r="OGJ386"/>
      <c r="OGK386"/>
      <c r="OGL386"/>
      <c r="OGM386"/>
      <c r="OGN386"/>
      <c r="OGO386"/>
      <c r="OGP386"/>
      <c r="OGQ386"/>
      <c r="OGR386"/>
      <c r="OGS386"/>
      <c r="OGT386"/>
      <c r="OGU386"/>
      <c r="OGV386"/>
      <c r="OGW386"/>
      <c r="OGX386"/>
      <c r="OGY386"/>
      <c r="OGZ386"/>
      <c r="OHA386"/>
      <c r="OHB386"/>
      <c r="OHC386"/>
      <c r="OHD386"/>
      <c r="OHE386"/>
      <c r="OHF386"/>
      <c r="OHG386"/>
      <c r="OHH386"/>
      <c r="OHI386"/>
      <c r="OHJ386"/>
      <c r="OHK386"/>
      <c r="OHL386"/>
      <c r="OHM386"/>
      <c r="OHN386"/>
      <c r="OHO386"/>
      <c r="OHP386"/>
      <c r="OHQ386"/>
      <c r="OHR386"/>
      <c r="OHS386"/>
      <c r="OHT386"/>
      <c r="OHU386"/>
      <c r="OHV386"/>
      <c r="OHW386"/>
      <c r="OHX386"/>
      <c r="OHY386"/>
      <c r="OHZ386"/>
      <c r="OIA386"/>
      <c r="OIB386"/>
      <c r="OIC386"/>
      <c r="OID386"/>
      <c r="OIE386"/>
      <c r="OIF386"/>
      <c r="OIG386"/>
      <c r="OIH386"/>
      <c r="OII386"/>
      <c r="OIJ386"/>
      <c r="OIK386"/>
      <c r="OIL386"/>
      <c r="OIM386"/>
      <c r="OIN386"/>
      <c r="OIO386"/>
      <c r="OIP386"/>
      <c r="OIQ386"/>
      <c r="OIR386"/>
      <c r="OIS386"/>
      <c r="OIT386"/>
      <c r="OIU386"/>
      <c r="OIV386"/>
      <c r="OIW386"/>
      <c r="OIX386"/>
      <c r="OIY386"/>
      <c r="OIZ386"/>
      <c r="OJA386"/>
      <c r="OJB386"/>
      <c r="OJC386"/>
      <c r="OJD386"/>
      <c r="OJE386"/>
      <c r="OJF386"/>
      <c r="OJG386"/>
      <c r="OJH386"/>
      <c r="OJI386"/>
      <c r="OJJ386"/>
      <c r="OJK386"/>
      <c r="OJL386"/>
      <c r="OJM386"/>
      <c r="OJN386"/>
      <c r="OJO386"/>
      <c r="OJP386"/>
      <c r="OJQ386"/>
      <c r="OJR386"/>
      <c r="OJS386"/>
      <c r="OJT386"/>
      <c r="OJU386"/>
      <c r="OJV386"/>
      <c r="OJW386"/>
      <c r="OJX386"/>
      <c r="OJY386"/>
      <c r="OJZ386"/>
      <c r="OKA386"/>
      <c r="OKB386"/>
      <c r="OKC386"/>
      <c r="OKD386"/>
      <c r="OKE386"/>
      <c r="OKF386"/>
      <c r="OKG386"/>
      <c r="OKH386"/>
      <c r="OKI386"/>
      <c r="OKJ386"/>
      <c r="OKK386"/>
      <c r="OKL386"/>
      <c r="OKM386"/>
      <c r="OKN386"/>
      <c r="OKO386"/>
      <c r="OKP386"/>
      <c r="OKQ386"/>
      <c r="OKR386"/>
      <c r="OKS386"/>
      <c r="OKT386"/>
      <c r="OKU386"/>
      <c r="OKV386"/>
      <c r="OKW386"/>
      <c r="OKX386"/>
      <c r="OKY386"/>
      <c r="OKZ386"/>
      <c r="OLA386"/>
      <c r="OLB386"/>
      <c r="OLC386"/>
      <c r="OLD386"/>
      <c r="OLE386"/>
      <c r="OLF386"/>
      <c r="OLG386"/>
      <c r="OLH386"/>
      <c r="OLI386"/>
      <c r="OLJ386"/>
      <c r="OLK386"/>
      <c r="OLL386"/>
      <c r="OLM386"/>
      <c r="OLN386"/>
      <c r="OLO386"/>
      <c r="OLP386"/>
      <c r="OLQ386"/>
      <c r="OLR386"/>
      <c r="OLS386"/>
      <c r="OLT386"/>
      <c r="OLU386"/>
      <c r="OLV386"/>
      <c r="OLW386"/>
      <c r="OLX386"/>
      <c r="OLY386"/>
      <c r="OLZ386"/>
      <c r="OMA386"/>
      <c r="OMB386"/>
      <c r="OMC386"/>
      <c r="OMD386"/>
      <c r="OME386"/>
      <c r="OMF386"/>
      <c r="OMG386"/>
      <c r="OMH386"/>
      <c r="OMI386"/>
      <c r="OMJ386"/>
      <c r="OMK386"/>
      <c r="OML386"/>
      <c r="OMM386"/>
      <c r="OMN386"/>
      <c r="OMO386"/>
      <c r="OMP386"/>
      <c r="OMQ386"/>
      <c r="OMR386"/>
      <c r="OMS386"/>
      <c r="OMT386"/>
      <c r="OMU386"/>
      <c r="OMV386"/>
      <c r="OMW386"/>
      <c r="OMX386"/>
      <c r="OMY386"/>
      <c r="OMZ386"/>
      <c r="ONA386"/>
      <c r="ONB386"/>
      <c r="ONC386"/>
      <c r="OND386"/>
      <c r="ONE386"/>
      <c r="ONF386"/>
      <c r="ONG386"/>
      <c r="ONH386"/>
      <c r="ONI386"/>
      <c r="ONJ386"/>
      <c r="ONK386"/>
      <c r="ONL386"/>
      <c r="ONM386"/>
      <c r="ONN386"/>
      <c r="ONO386"/>
      <c r="ONP386"/>
      <c r="ONQ386"/>
      <c r="ONR386"/>
      <c r="ONS386"/>
      <c r="ONT386"/>
      <c r="ONU386"/>
      <c r="ONV386"/>
      <c r="ONW386"/>
      <c r="ONX386"/>
      <c r="ONY386"/>
      <c r="ONZ386"/>
      <c r="OOA386"/>
      <c r="OOB386"/>
      <c r="OOC386"/>
      <c r="OOD386"/>
      <c r="OOE386"/>
      <c r="OOF386"/>
      <c r="OOG386"/>
      <c r="OOH386"/>
      <c r="OOI386"/>
      <c r="OOJ386"/>
      <c r="OOK386"/>
      <c r="OOL386"/>
      <c r="OOM386"/>
      <c r="OON386"/>
      <c r="OOO386"/>
      <c r="OOP386"/>
      <c r="OOQ386"/>
      <c r="OOR386"/>
      <c r="OOS386"/>
      <c r="OOT386"/>
      <c r="OOU386"/>
      <c r="OOV386"/>
      <c r="OOW386"/>
      <c r="OOX386"/>
      <c r="OOY386"/>
      <c r="OOZ386"/>
      <c r="OPA386"/>
      <c r="OPB386"/>
      <c r="OPC386"/>
      <c r="OPD386"/>
      <c r="OPE386"/>
      <c r="OPF386"/>
      <c r="OPG386"/>
      <c r="OPH386"/>
      <c r="OPI386"/>
      <c r="OPJ386"/>
      <c r="OPK386"/>
      <c r="OPL386"/>
      <c r="OPM386"/>
      <c r="OPN386"/>
      <c r="OPO386"/>
      <c r="OPP386"/>
      <c r="OPQ386"/>
      <c r="OPR386"/>
      <c r="OPS386"/>
      <c r="OPT386"/>
      <c r="OPU386"/>
      <c r="OPV386"/>
      <c r="OPW386"/>
      <c r="OPX386"/>
      <c r="OPY386"/>
      <c r="OPZ386"/>
      <c r="OQA386"/>
      <c r="OQB386"/>
      <c r="OQC386"/>
      <c r="OQD386"/>
      <c r="OQE386"/>
      <c r="OQF386"/>
      <c r="OQG386"/>
      <c r="OQH386"/>
      <c r="OQI386"/>
      <c r="OQJ386"/>
      <c r="OQK386"/>
      <c r="OQL386"/>
      <c r="OQM386"/>
      <c r="OQN386"/>
      <c r="OQO386"/>
      <c r="OQP386"/>
      <c r="OQQ386"/>
      <c r="OQR386"/>
      <c r="OQS386"/>
      <c r="OQT386"/>
      <c r="OQU386"/>
      <c r="OQV386"/>
      <c r="OQW386"/>
      <c r="OQX386"/>
      <c r="OQY386"/>
      <c r="OQZ386"/>
      <c r="ORA386"/>
      <c r="ORB386"/>
      <c r="ORC386"/>
      <c r="ORD386"/>
      <c r="ORE386"/>
      <c r="ORF386"/>
      <c r="ORG386"/>
      <c r="ORH386"/>
      <c r="ORI386"/>
      <c r="ORJ386"/>
      <c r="ORK386"/>
      <c r="ORL386"/>
      <c r="ORM386"/>
      <c r="ORN386"/>
      <c r="ORO386"/>
      <c r="ORP386"/>
      <c r="ORQ386"/>
      <c r="ORR386"/>
      <c r="ORS386"/>
      <c r="ORT386"/>
      <c r="ORU386"/>
      <c r="ORV386"/>
      <c r="ORW386"/>
      <c r="ORX386"/>
      <c r="ORY386"/>
      <c r="ORZ386"/>
      <c r="OSA386"/>
      <c r="OSB386"/>
      <c r="OSC386"/>
      <c r="OSD386"/>
      <c r="OSE386"/>
      <c r="OSF386"/>
      <c r="OSG386"/>
      <c r="OSH386"/>
      <c r="OSI386"/>
      <c r="OSJ386"/>
      <c r="OSK386"/>
      <c r="OSL386"/>
      <c r="OSM386"/>
      <c r="OSN386"/>
      <c r="OSO386"/>
      <c r="OSP386"/>
      <c r="OSQ386"/>
      <c r="OSR386"/>
      <c r="OSS386"/>
      <c r="OST386"/>
      <c r="OSU386"/>
      <c r="OSV386"/>
      <c r="OSW386"/>
      <c r="OSX386"/>
      <c r="OSY386"/>
      <c r="OSZ386"/>
      <c r="OTA386"/>
      <c r="OTB386"/>
      <c r="OTC386"/>
      <c r="OTD386"/>
      <c r="OTE386"/>
      <c r="OTF386"/>
      <c r="OTG386"/>
      <c r="OTH386"/>
      <c r="OTI386"/>
      <c r="OTJ386"/>
      <c r="OTK386"/>
      <c r="OTL386"/>
      <c r="OTM386"/>
      <c r="OTN386"/>
      <c r="OTO386"/>
      <c r="OTP386"/>
      <c r="OTQ386"/>
      <c r="OTR386"/>
      <c r="OTS386"/>
      <c r="OTT386"/>
      <c r="OTU386"/>
      <c r="OTV386"/>
      <c r="OTW386"/>
      <c r="OTX386"/>
      <c r="OTY386"/>
      <c r="OTZ386"/>
      <c r="OUA386"/>
      <c r="OUB386"/>
      <c r="OUC386"/>
      <c r="OUD386"/>
      <c r="OUE386"/>
      <c r="OUF386"/>
      <c r="OUG386"/>
      <c r="OUH386"/>
      <c r="OUI386"/>
      <c r="OUJ386"/>
      <c r="OUK386"/>
      <c r="OUL386"/>
      <c r="OUM386"/>
      <c r="OUN386"/>
      <c r="OUO386"/>
      <c r="OUP386"/>
      <c r="OUQ386"/>
      <c r="OUR386"/>
      <c r="OUS386"/>
      <c r="OUT386"/>
      <c r="OUU386"/>
      <c r="OUV386"/>
      <c r="OUW386"/>
      <c r="OUX386"/>
      <c r="OUY386"/>
      <c r="OUZ386"/>
      <c r="OVA386"/>
      <c r="OVB386"/>
      <c r="OVC386"/>
      <c r="OVD386"/>
      <c r="OVE386"/>
      <c r="OVF386"/>
      <c r="OVG386"/>
      <c r="OVH386"/>
      <c r="OVI386"/>
      <c r="OVJ386"/>
      <c r="OVK386"/>
      <c r="OVL386"/>
      <c r="OVM386"/>
      <c r="OVN386"/>
      <c r="OVO386"/>
      <c r="OVP386"/>
      <c r="OVQ386"/>
      <c r="OVR386"/>
      <c r="OVS386"/>
      <c r="OVT386"/>
      <c r="OVU386"/>
      <c r="OVV386"/>
      <c r="OVW386"/>
      <c r="OVX386"/>
      <c r="OVY386"/>
      <c r="OVZ386"/>
      <c r="OWA386"/>
      <c r="OWB386"/>
      <c r="OWC386"/>
      <c r="OWD386"/>
      <c r="OWE386"/>
      <c r="OWF386"/>
      <c r="OWG386"/>
      <c r="OWH386"/>
      <c r="OWI386"/>
      <c r="OWJ386"/>
      <c r="OWK386"/>
      <c r="OWL386"/>
      <c r="OWM386"/>
      <c r="OWN386"/>
      <c r="OWO386"/>
      <c r="OWP386"/>
      <c r="OWQ386"/>
      <c r="OWR386"/>
      <c r="OWS386"/>
      <c r="OWT386"/>
      <c r="OWU386"/>
      <c r="OWV386"/>
      <c r="OWW386"/>
      <c r="OWX386"/>
      <c r="OWY386"/>
      <c r="OWZ386"/>
      <c r="OXA386"/>
      <c r="OXB386"/>
      <c r="OXC386"/>
      <c r="OXD386"/>
      <c r="OXE386"/>
      <c r="OXF386"/>
      <c r="OXG386"/>
      <c r="OXH386"/>
      <c r="OXI386"/>
      <c r="OXJ386"/>
      <c r="OXK386"/>
      <c r="OXL386"/>
      <c r="OXM386"/>
      <c r="OXN386"/>
      <c r="OXO386"/>
      <c r="OXP386"/>
      <c r="OXQ386"/>
      <c r="OXR386"/>
      <c r="OXS386"/>
      <c r="OXT386"/>
      <c r="OXU386"/>
      <c r="OXV386"/>
      <c r="OXW386"/>
      <c r="OXX386"/>
      <c r="OXY386"/>
      <c r="OXZ386"/>
      <c r="OYA386"/>
      <c r="OYB386"/>
      <c r="OYC386"/>
      <c r="OYD386"/>
      <c r="OYE386"/>
      <c r="OYF386"/>
      <c r="OYG386"/>
      <c r="OYH386"/>
      <c r="OYI386"/>
      <c r="OYJ386"/>
      <c r="OYK386"/>
      <c r="OYL386"/>
      <c r="OYM386"/>
      <c r="OYN386"/>
      <c r="OYO386"/>
      <c r="OYP386"/>
      <c r="OYQ386"/>
      <c r="OYR386"/>
      <c r="OYS386"/>
      <c r="OYT386"/>
      <c r="OYU386"/>
      <c r="OYV386"/>
      <c r="OYW386"/>
      <c r="OYX386"/>
      <c r="OYY386"/>
      <c r="OYZ386"/>
      <c r="OZA386"/>
      <c r="OZB386"/>
      <c r="OZC386"/>
      <c r="OZD386"/>
      <c r="OZE386"/>
      <c r="OZF386"/>
      <c r="OZG386"/>
      <c r="OZH386"/>
      <c r="OZI386"/>
      <c r="OZJ386"/>
      <c r="OZK386"/>
      <c r="OZL386"/>
      <c r="OZM386"/>
      <c r="OZN386"/>
      <c r="OZO386"/>
      <c r="OZP386"/>
      <c r="OZQ386"/>
      <c r="OZR386"/>
      <c r="OZS386"/>
      <c r="OZT386"/>
      <c r="OZU386"/>
      <c r="OZV386"/>
      <c r="OZW386"/>
      <c r="OZX386"/>
      <c r="OZY386"/>
      <c r="OZZ386"/>
      <c r="PAA386"/>
      <c r="PAB386"/>
      <c r="PAC386"/>
      <c r="PAD386"/>
      <c r="PAE386"/>
      <c r="PAF386"/>
      <c r="PAG386"/>
      <c r="PAH386"/>
      <c r="PAI386"/>
      <c r="PAJ386"/>
      <c r="PAK386"/>
      <c r="PAL386"/>
      <c r="PAM386"/>
      <c r="PAN386"/>
      <c r="PAO386"/>
      <c r="PAP386"/>
      <c r="PAQ386"/>
      <c r="PAR386"/>
      <c r="PAS386"/>
      <c r="PAT386"/>
      <c r="PAU386"/>
      <c r="PAV386"/>
      <c r="PAW386"/>
      <c r="PAX386"/>
      <c r="PAY386"/>
      <c r="PAZ386"/>
      <c r="PBA386"/>
      <c r="PBB386"/>
      <c r="PBC386"/>
      <c r="PBD386"/>
      <c r="PBE386"/>
      <c r="PBF386"/>
      <c r="PBG386"/>
      <c r="PBH386"/>
      <c r="PBI386"/>
      <c r="PBJ386"/>
      <c r="PBK386"/>
      <c r="PBL386"/>
      <c r="PBM386"/>
      <c r="PBN386"/>
      <c r="PBO386"/>
      <c r="PBP386"/>
      <c r="PBQ386"/>
      <c r="PBR386"/>
      <c r="PBS386"/>
      <c r="PBT386"/>
      <c r="PBU386"/>
      <c r="PBV386"/>
      <c r="PBW386"/>
      <c r="PBX386"/>
      <c r="PBY386"/>
      <c r="PBZ386"/>
      <c r="PCA386"/>
      <c r="PCB386"/>
      <c r="PCC386"/>
      <c r="PCD386"/>
      <c r="PCE386"/>
      <c r="PCF386"/>
      <c r="PCG386"/>
      <c r="PCH386"/>
      <c r="PCI386"/>
      <c r="PCJ386"/>
      <c r="PCK386"/>
      <c r="PCL386"/>
      <c r="PCM386"/>
      <c r="PCN386"/>
      <c r="PCO386"/>
      <c r="PCP386"/>
      <c r="PCQ386"/>
      <c r="PCR386"/>
      <c r="PCS386"/>
      <c r="PCT386"/>
      <c r="PCU386"/>
      <c r="PCV386"/>
      <c r="PCW386"/>
      <c r="PCX386"/>
      <c r="PCY386"/>
      <c r="PCZ386"/>
      <c r="PDA386"/>
      <c r="PDB386"/>
      <c r="PDC386"/>
      <c r="PDD386"/>
      <c r="PDE386"/>
      <c r="PDF386"/>
      <c r="PDG386"/>
      <c r="PDH386"/>
      <c r="PDI386"/>
      <c r="PDJ386"/>
      <c r="PDK386"/>
      <c r="PDL386"/>
      <c r="PDM386"/>
      <c r="PDN386"/>
      <c r="PDO386"/>
      <c r="PDP386"/>
      <c r="PDQ386"/>
      <c r="PDR386"/>
      <c r="PDS386"/>
      <c r="PDT386"/>
      <c r="PDU386"/>
      <c r="PDV386"/>
      <c r="PDW386"/>
      <c r="PDX386"/>
      <c r="PDY386"/>
      <c r="PDZ386"/>
      <c r="PEA386"/>
      <c r="PEB386"/>
      <c r="PEC386"/>
      <c r="PED386"/>
      <c r="PEE386"/>
      <c r="PEF386"/>
      <c r="PEG386"/>
      <c r="PEH386"/>
      <c r="PEI386"/>
      <c r="PEJ386"/>
      <c r="PEK386"/>
      <c r="PEL386"/>
      <c r="PEM386"/>
      <c r="PEN386"/>
      <c r="PEO386"/>
      <c r="PEP386"/>
      <c r="PEQ386"/>
      <c r="PER386"/>
      <c r="PES386"/>
      <c r="PET386"/>
      <c r="PEU386"/>
      <c r="PEV386"/>
      <c r="PEW386"/>
      <c r="PEX386"/>
      <c r="PEY386"/>
      <c r="PEZ386"/>
      <c r="PFA386"/>
      <c r="PFB386"/>
      <c r="PFC386"/>
      <c r="PFD386"/>
      <c r="PFE386"/>
      <c r="PFF386"/>
      <c r="PFG386"/>
      <c r="PFH386"/>
      <c r="PFI386"/>
      <c r="PFJ386"/>
      <c r="PFK386"/>
      <c r="PFL386"/>
      <c r="PFM386"/>
      <c r="PFN386"/>
      <c r="PFO386"/>
      <c r="PFP386"/>
      <c r="PFQ386"/>
      <c r="PFR386"/>
      <c r="PFS386"/>
      <c r="PFT386"/>
      <c r="PFU386"/>
      <c r="PFV386"/>
      <c r="PFW386"/>
      <c r="PFX386"/>
      <c r="PFY386"/>
      <c r="PFZ386"/>
      <c r="PGA386"/>
      <c r="PGB386"/>
      <c r="PGC386"/>
      <c r="PGD386"/>
      <c r="PGE386"/>
      <c r="PGF386"/>
      <c r="PGG386"/>
      <c r="PGH386"/>
      <c r="PGI386"/>
      <c r="PGJ386"/>
      <c r="PGK386"/>
      <c r="PGL386"/>
      <c r="PGM386"/>
      <c r="PGN386"/>
      <c r="PGO386"/>
      <c r="PGP386"/>
      <c r="PGQ386"/>
      <c r="PGR386"/>
      <c r="PGS386"/>
      <c r="PGT386"/>
      <c r="PGU386"/>
      <c r="PGV386"/>
      <c r="PGW386"/>
      <c r="PGX386"/>
      <c r="PGY386"/>
      <c r="PGZ386"/>
      <c r="PHA386"/>
      <c r="PHB386"/>
      <c r="PHC386"/>
      <c r="PHD386"/>
      <c r="PHE386"/>
      <c r="PHF386"/>
      <c r="PHG386"/>
      <c r="PHH386"/>
      <c r="PHI386"/>
      <c r="PHJ386"/>
      <c r="PHK386"/>
      <c r="PHL386"/>
      <c r="PHM386"/>
      <c r="PHN386"/>
      <c r="PHO386"/>
      <c r="PHP386"/>
      <c r="PHQ386"/>
      <c r="PHR386"/>
      <c r="PHS386"/>
      <c r="PHT386"/>
      <c r="PHU386"/>
      <c r="PHV386"/>
      <c r="PHW386"/>
      <c r="PHX386"/>
      <c r="PHY386"/>
      <c r="PHZ386"/>
      <c r="PIA386"/>
      <c r="PIB386"/>
      <c r="PIC386"/>
      <c r="PID386"/>
      <c r="PIE386"/>
      <c r="PIF386"/>
      <c r="PIG386"/>
      <c r="PIH386"/>
      <c r="PII386"/>
      <c r="PIJ386"/>
      <c r="PIK386"/>
      <c r="PIL386"/>
      <c r="PIM386"/>
      <c r="PIN386"/>
      <c r="PIO386"/>
      <c r="PIP386"/>
      <c r="PIQ386"/>
      <c r="PIR386"/>
      <c r="PIS386"/>
      <c r="PIT386"/>
      <c r="PIU386"/>
      <c r="PIV386"/>
      <c r="PIW386"/>
      <c r="PIX386"/>
      <c r="PIY386"/>
      <c r="PIZ386"/>
      <c r="PJA386"/>
      <c r="PJB386"/>
      <c r="PJC386"/>
      <c r="PJD386"/>
      <c r="PJE386"/>
      <c r="PJF386"/>
      <c r="PJG386"/>
      <c r="PJH386"/>
      <c r="PJI386"/>
      <c r="PJJ386"/>
      <c r="PJK386"/>
      <c r="PJL386"/>
      <c r="PJM386"/>
      <c r="PJN386"/>
      <c r="PJO386"/>
      <c r="PJP386"/>
      <c r="PJQ386"/>
      <c r="PJR386"/>
      <c r="PJS386"/>
      <c r="PJT386"/>
      <c r="PJU386"/>
      <c r="PJV386"/>
      <c r="PJW386"/>
      <c r="PJX386"/>
      <c r="PJY386"/>
      <c r="PJZ386"/>
      <c r="PKA386"/>
      <c r="PKB386"/>
      <c r="PKC386"/>
      <c r="PKD386"/>
      <c r="PKE386"/>
      <c r="PKF386"/>
      <c r="PKG386"/>
      <c r="PKH386"/>
      <c r="PKI386"/>
      <c r="PKJ386"/>
      <c r="PKK386"/>
      <c r="PKL386"/>
      <c r="PKM386"/>
      <c r="PKN386"/>
      <c r="PKO386"/>
      <c r="PKP386"/>
      <c r="PKQ386"/>
      <c r="PKR386"/>
      <c r="PKS386"/>
      <c r="PKT386"/>
      <c r="PKU386"/>
      <c r="PKV386"/>
      <c r="PKW386"/>
      <c r="PKX386"/>
      <c r="PKY386"/>
      <c r="PKZ386"/>
      <c r="PLA386"/>
      <c r="PLB386"/>
      <c r="PLC386"/>
      <c r="PLD386"/>
      <c r="PLE386"/>
      <c r="PLF386"/>
      <c r="PLG386"/>
      <c r="PLH386"/>
      <c r="PLI386"/>
      <c r="PLJ386"/>
      <c r="PLK386"/>
      <c r="PLL386"/>
      <c r="PLM386"/>
      <c r="PLN386"/>
      <c r="PLO386"/>
      <c r="PLP386"/>
      <c r="PLQ386"/>
      <c r="PLR386"/>
      <c r="PLS386"/>
      <c r="PLT386"/>
      <c r="PLU386"/>
      <c r="PLV386"/>
      <c r="PLW386"/>
      <c r="PLX386"/>
      <c r="PLY386"/>
      <c r="PLZ386"/>
      <c r="PMA386"/>
      <c r="PMB386"/>
      <c r="PMC386"/>
      <c r="PMD386"/>
      <c r="PME386"/>
      <c r="PMF386"/>
      <c r="PMG386"/>
      <c r="PMH386"/>
      <c r="PMI386"/>
      <c r="PMJ386"/>
      <c r="PMK386"/>
      <c r="PML386"/>
      <c r="PMM386"/>
      <c r="PMN386"/>
      <c r="PMO386"/>
      <c r="PMP386"/>
      <c r="PMQ386"/>
      <c r="PMR386"/>
      <c r="PMS386"/>
      <c r="PMT386"/>
      <c r="PMU386"/>
      <c r="PMV386"/>
      <c r="PMW386"/>
      <c r="PMX386"/>
      <c r="PMY386"/>
      <c r="PMZ386"/>
      <c r="PNA386"/>
      <c r="PNB386"/>
      <c r="PNC386"/>
      <c r="PND386"/>
      <c r="PNE386"/>
      <c r="PNF386"/>
      <c r="PNG386"/>
      <c r="PNH386"/>
      <c r="PNI386"/>
      <c r="PNJ386"/>
      <c r="PNK386"/>
      <c r="PNL386"/>
      <c r="PNM386"/>
      <c r="PNN386"/>
      <c r="PNO386"/>
      <c r="PNP386"/>
      <c r="PNQ386"/>
      <c r="PNR386"/>
      <c r="PNS386"/>
      <c r="PNT386"/>
      <c r="PNU386"/>
      <c r="PNV386"/>
      <c r="PNW386"/>
      <c r="PNX386"/>
      <c r="PNY386"/>
      <c r="PNZ386"/>
      <c r="POA386"/>
      <c r="POB386"/>
      <c r="POC386"/>
      <c r="POD386"/>
      <c r="POE386"/>
      <c r="POF386"/>
      <c r="POG386"/>
      <c r="POH386"/>
      <c r="POI386"/>
      <c r="POJ386"/>
      <c r="POK386"/>
      <c r="POL386"/>
      <c r="POM386"/>
      <c r="PON386"/>
      <c r="POO386"/>
      <c r="POP386"/>
      <c r="POQ386"/>
      <c r="POR386"/>
      <c r="POS386"/>
      <c r="POT386"/>
      <c r="POU386"/>
      <c r="POV386"/>
      <c r="POW386"/>
      <c r="POX386"/>
      <c r="POY386"/>
      <c r="POZ386"/>
      <c r="PPA386"/>
      <c r="PPB386"/>
      <c r="PPC386"/>
      <c r="PPD386"/>
      <c r="PPE386"/>
      <c r="PPF386"/>
      <c r="PPG386"/>
      <c r="PPH386"/>
      <c r="PPI386"/>
      <c r="PPJ386"/>
      <c r="PPK386"/>
      <c r="PPL386"/>
      <c r="PPM386"/>
      <c r="PPN386"/>
      <c r="PPO386"/>
      <c r="PPP386"/>
      <c r="PPQ386"/>
      <c r="PPR386"/>
      <c r="PPS386"/>
      <c r="PPT386"/>
      <c r="PPU386"/>
      <c r="PPV386"/>
      <c r="PPW386"/>
      <c r="PPX386"/>
      <c r="PPY386"/>
      <c r="PPZ386"/>
      <c r="PQA386"/>
      <c r="PQB386"/>
      <c r="PQC386"/>
      <c r="PQD386"/>
      <c r="PQE386"/>
      <c r="PQF386"/>
      <c r="PQG386"/>
      <c r="PQH386"/>
      <c r="PQI386"/>
      <c r="PQJ386"/>
      <c r="PQK386"/>
      <c r="PQL386"/>
      <c r="PQM386"/>
      <c r="PQN386"/>
      <c r="PQO386"/>
      <c r="PQP386"/>
      <c r="PQQ386"/>
      <c r="PQR386"/>
      <c r="PQS386"/>
      <c r="PQT386"/>
      <c r="PQU386"/>
      <c r="PQV386"/>
      <c r="PQW386"/>
      <c r="PQX386"/>
      <c r="PQY386"/>
      <c r="PQZ386"/>
      <c r="PRA386"/>
      <c r="PRB386"/>
      <c r="PRC386"/>
      <c r="PRD386"/>
      <c r="PRE386"/>
      <c r="PRF386"/>
      <c r="PRG386"/>
      <c r="PRH386"/>
      <c r="PRI386"/>
      <c r="PRJ386"/>
      <c r="PRK386"/>
      <c r="PRL386"/>
      <c r="PRM386"/>
      <c r="PRN386"/>
      <c r="PRO386"/>
      <c r="PRP386"/>
      <c r="PRQ386"/>
      <c r="PRR386"/>
      <c r="PRS386"/>
      <c r="PRT386"/>
      <c r="PRU386"/>
      <c r="PRV386"/>
      <c r="PRW386"/>
      <c r="PRX386"/>
      <c r="PRY386"/>
      <c r="PRZ386"/>
      <c r="PSA386"/>
      <c r="PSB386"/>
      <c r="PSC386"/>
      <c r="PSD386"/>
      <c r="PSE386"/>
      <c r="PSF386"/>
      <c r="PSG386"/>
      <c r="PSH386"/>
      <c r="PSI386"/>
      <c r="PSJ386"/>
      <c r="PSK386"/>
      <c r="PSL386"/>
      <c r="PSM386"/>
      <c r="PSN386"/>
      <c r="PSO386"/>
      <c r="PSP386"/>
      <c r="PSQ386"/>
      <c r="PSR386"/>
      <c r="PSS386"/>
      <c r="PST386"/>
      <c r="PSU386"/>
      <c r="PSV386"/>
      <c r="PSW386"/>
      <c r="PSX386"/>
      <c r="PSY386"/>
      <c r="PSZ386"/>
      <c r="PTA386"/>
      <c r="PTB386"/>
      <c r="PTC386"/>
      <c r="PTD386"/>
      <c r="PTE386"/>
      <c r="PTF386"/>
      <c r="PTG386"/>
      <c r="PTH386"/>
      <c r="PTI386"/>
      <c r="PTJ386"/>
      <c r="PTK386"/>
      <c r="PTL386"/>
      <c r="PTM386"/>
      <c r="PTN386"/>
      <c r="PTO386"/>
      <c r="PTP386"/>
      <c r="PTQ386"/>
      <c r="PTR386"/>
      <c r="PTS386"/>
      <c r="PTT386"/>
      <c r="PTU386"/>
      <c r="PTV386"/>
      <c r="PTW386"/>
      <c r="PTX386"/>
      <c r="PTY386"/>
      <c r="PTZ386"/>
      <c r="PUA386"/>
      <c r="PUB386"/>
      <c r="PUC386"/>
      <c r="PUD386"/>
      <c r="PUE386"/>
      <c r="PUF386"/>
      <c r="PUG386"/>
      <c r="PUH386"/>
      <c r="PUI386"/>
      <c r="PUJ386"/>
      <c r="PUK386"/>
      <c r="PUL386"/>
      <c r="PUM386"/>
      <c r="PUN386"/>
      <c r="PUO386"/>
      <c r="PUP386"/>
      <c r="PUQ386"/>
      <c r="PUR386"/>
      <c r="PUS386"/>
      <c r="PUT386"/>
      <c r="PUU386"/>
      <c r="PUV386"/>
      <c r="PUW386"/>
      <c r="PUX386"/>
      <c r="PUY386"/>
      <c r="PUZ386"/>
      <c r="PVA386"/>
      <c r="PVB386"/>
      <c r="PVC386"/>
      <c r="PVD386"/>
      <c r="PVE386"/>
      <c r="PVF386"/>
      <c r="PVG386"/>
      <c r="PVH386"/>
      <c r="PVI386"/>
      <c r="PVJ386"/>
      <c r="PVK386"/>
      <c r="PVL386"/>
      <c r="PVM386"/>
      <c r="PVN386"/>
      <c r="PVO386"/>
      <c r="PVP386"/>
      <c r="PVQ386"/>
      <c r="PVR386"/>
      <c r="PVS386"/>
      <c r="PVT386"/>
      <c r="PVU386"/>
      <c r="PVV386"/>
      <c r="PVW386"/>
      <c r="PVX386"/>
      <c r="PVY386"/>
      <c r="PVZ386"/>
      <c r="PWA386"/>
      <c r="PWB386"/>
      <c r="PWC386"/>
      <c r="PWD386"/>
      <c r="PWE386"/>
      <c r="PWF386"/>
      <c r="PWG386"/>
      <c r="PWH386"/>
      <c r="PWI386"/>
      <c r="PWJ386"/>
      <c r="PWK386"/>
      <c r="PWL386"/>
      <c r="PWM386"/>
      <c r="PWN386"/>
      <c r="PWO386"/>
      <c r="PWP386"/>
      <c r="PWQ386"/>
      <c r="PWR386"/>
      <c r="PWS386"/>
      <c r="PWT386"/>
      <c r="PWU386"/>
      <c r="PWV386"/>
      <c r="PWW386"/>
      <c r="PWX386"/>
      <c r="PWY386"/>
      <c r="PWZ386"/>
      <c r="PXA386"/>
      <c r="PXB386"/>
      <c r="PXC386"/>
      <c r="PXD386"/>
      <c r="PXE386"/>
      <c r="PXF386"/>
      <c r="PXG386"/>
      <c r="PXH386"/>
      <c r="PXI386"/>
      <c r="PXJ386"/>
      <c r="PXK386"/>
      <c r="PXL386"/>
      <c r="PXM386"/>
      <c r="PXN386"/>
      <c r="PXO386"/>
      <c r="PXP386"/>
      <c r="PXQ386"/>
      <c r="PXR386"/>
      <c r="PXS386"/>
      <c r="PXT386"/>
      <c r="PXU386"/>
      <c r="PXV386"/>
      <c r="PXW386"/>
      <c r="PXX386"/>
      <c r="PXY386"/>
      <c r="PXZ386"/>
      <c r="PYA386"/>
      <c r="PYB386"/>
      <c r="PYC386"/>
      <c r="PYD386"/>
      <c r="PYE386"/>
      <c r="PYF386"/>
      <c r="PYG386"/>
      <c r="PYH386"/>
      <c r="PYI386"/>
      <c r="PYJ386"/>
      <c r="PYK386"/>
      <c r="PYL386"/>
      <c r="PYM386"/>
      <c r="PYN386"/>
      <c r="PYO386"/>
      <c r="PYP386"/>
      <c r="PYQ386"/>
      <c r="PYR386"/>
      <c r="PYS386"/>
      <c r="PYT386"/>
      <c r="PYU386"/>
      <c r="PYV386"/>
      <c r="PYW386"/>
      <c r="PYX386"/>
      <c r="PYY386"/>
      <c r="PYZ386"/>
      <c r="PZA386"/>
      <c r="PZB386"/>
      <c r="PZC386"/>
      <c r="PZD386"/>
      <c r="PZE386"/>
      <c r="PZF386"/>
      <c r="PZG386"/>
      <c r="PZH386"/>
      <c r="PZI386"/>
      <c r="PZJ386"/>
      <c r="PZK386"/>
      <c r="PZL386"/>
      <c r="PZM386"/>
      <c r="PZN386"/>
      <c r="PZO386"/>
      <c r="PZP386"/>
      <c r="PZQ386"/>
      <c r="PZR386"/>
      <c r="PZS386"/>
      <c r="PZT386"/>
      <c r="PZU386"/>
      <c r="PZV386"/>
      <c r="PZW386"/>
      <c r="PZX386"/>
      <c r="PZY386"/>
      <c r="PZZ386"/>
      <c r="QAA386"/>
      <c r="QAB386"/>
      <c r="QAC386"/>
      <c r="QAD386"/>
      <c r="QAE386"/>
      <c r="QAF386"/>
      <c r="QAG386"/>
      <c r="QAH386"/>
      <c r="QAI386"/>
      <c r="QAJ386"/>
      <c r="QAK386"/>
      <c r="QAL386"/>
      <c r="QAM386"/>
      <c r="QAN386"/>
      <c r="QAO386"/>
      <c r="QAP386"/>
      <c r="QAQ386"/>
      <c r="QAR386"/>
      <c r="QAS386"/>
      <c r="QAT386"/>
      <c r="QAU386"/>
      <c r="QAV386"/>
      <c r="QAW386"/>
      <c r="QAX386"/>
      <c r="QAY386"/>
      <c r="QAZ386"/>
      <c r="QBA386"/>
      <c r="QBB386"/>
      <c r="QBC386"/>
      <c r="QBD386"/>
      <c r="QBE386"/>
      <c r="QBF386"/>
      <c r="QBG386"/>
      <c r="QBH386"/>
      <c r="QBI386"/>
      <c r="QBJ386"/>
      <c r="QBK386"/>
      <c r="QBL386"/>
      <c r="QBM386"/>
      <c r="QBN386"/>
      <c r="QBO386"/>
      <c r="QBP386"/>
      <c r="QBQ386"/>
      <c r="QBR386"/>
      <c r="QBS386"/>
      <c r="QBT386"/>
      <c r="QBU386"/>
      <c r="QBV386"/>
      <c r="QBW386"/>
      <c r="QBX386"/>
      <c r="QBY386"/>
      <c r="QBZ386"/>
      <c r="QCA386"/>
      <c r="QCB386"/>
      <c r="QCC386"/>
      <c r="QCD386"/>
      <c r="QCE386"/>
      <c r="QCF386"/>
      <c r="QCG386"/>
      <c r="QCH386"/>
      <c r="QCI386"/>
      <c r="QCJ386"/>
      <c r="QCK386"/>
      <c r="QCL386"/>
      <c r="QCM386"/>
      <c r="QCN386"/>
      <c r="QCO386"/>
      <c r="QCP386"/>
      <c r="QCQ386"/>
      <c r="QCR386"/>
      <c r="QCS386"/>
      <c r="QCT386"/>
      <c r="QCU386"/>
      <c r="QCV386"/>
      <c r="QCW386"/>
      <c r="QCX386"/>
      <c r="QCY386"/>
      <c r="QCZ386"/>
      <c r="QDA386"/>
      <c r="QDB386"/>
      <c r="QDC386"/>
      <c r="QDD386"/>
      <c r="QDE386"/>
      <c r="QDF386"/>
      <c r="QDG386"/>
      <c r="QDH386"/>
      <c r="QDI386"/>
      <c r="QDJ386"/>
      <c r="QDK386"/>
      <c r="QDL386"/>
      <c r="QDM386"/>
      <c r="QDN386"/>
      <c r="QDO386"/>
      <c r="QDP386"/>
      <c r="QDQ386"/>
      <c r="QDR386"/>
      <c r="QDS386"/>
      <c r="QDT386"/>
      <c r="QDU386"/>
      <c r="QDV386"/>
      <c r="QDW386"/>
      <c r="QDX386"/>
      <c r="QDY386"/>
      <c r="QDZ386"/>
      <c r="QEA386"/>
      <c r="QEB386"/>
      <c r="QEC386"/>
      <c r="QED386"/>
      <c r="QEE386"/>
      <c r="QEF386"/>
      <c r="QEG386"/>
      <c r="QEH386"/>
      <c r="QEI386"/>
      <c r="QEJ386"/>
      <c r="QEK386"/>
      <c r="QEL386"/>
      <c r="QEM386"/>
      <c r="QEN386"/>
      <c r="QEO386"/>
      <c r="QEP386"/>
      <c r="QEQ386"/>
      <c r="QER386"/>
      <c r="QES386"/>
      <c r="QET386"/>
      <c r="QEU386"/>
      <c r="QEV386"/>
      <c r="QEW386"/>
      <c r="QEX386"/>
      <c r="QEY386"/>
      <c r="QEZ386"/>
      <c r="QFA386"/>
      <c r="QFB386"/>
      <c r="QFC386"/>
      <c r="QFD386"/>
      <c r="QFE386"/>
      <c r="QFF386"/>
      <c r="QFG386"/>
      <c r="QFH386"/>
      <c r="QFI386"/>
      <c r="QFJ386"/>
      <c r="QFK386"/>
      <c r="QFL386"/>
      <c r="QFM386"/>
      <c r="QFN386"/>
      <c r="QFO386"/>
      <c r="QFP386"/>
      <c r="QFQ386"/>
      <c r="QFR386"/>
      <c r="QFS386"/>
      <c r="QFT386"/>
      <c r="QFU386"/>
      <c r="QFV386"/>
      <c r="QFW386"/>
      <c r="QFX386"/>
      <c r="QFY386"/>
      <c r="QFZ386"/>
      <c r="QGA386"/>
      <c r="QGB386"/>
      <c r="QGC386"/>
      <c r="QGD386"/>
      <c r="QGE386"/>
      <c r="QGF386"/>
      <c r="QGG386"/>
      <c r="QGH386"/>
      <c r="QGI386"/>
      <c r="QGJ386"/>
      <c r="QGK386"/>
      <c r="QGL386"/>
      <c r="QGM386"/>
      <c r="QGN386"/>
      <c r="QGO386"/>
      <c r="QGP386"/>
      <c r="QGQ386"/>
      <c r="QGR386"/>
      <c r="QGS386"/>
      <c r="QGT386"/>
      <c r="QGU386"/>
      <c r="QGV386"/>
      <c r="QGW386"/>
      <c r="QGX386"/>
      <c r="QGY386"/>
      <c r="QGZ386"/>
      <c r="QHA386"/>
      <c r="QHB386"/>
      <c r="QHC386"/>
      <c r="QHD386"/>
      <c r="QHE386"/>
      <c r="QHF386"/>
      <c r="QHG386"/>
      <c r="QHH386"/>
      <c r="QHI386"/>
      <c r="QHJ386"/>
      <c r="QHK386"/>
      <c r="QHL386"/>
      <c r="QHM386"/>
      <c r="QHN386"/>
      <c r="QHO386"/>
      <c r="QHP386"/>
      <c r="QHQ386"/>
      <c r="QHR386"/>
      <c r="QHS386"/>
      <c r="QHT386"/>
      <c r="QHU386"/>
      <c r="QHV386"/>
      <c r="QHW386"/>
      <c r="QHX386"/>
      <c r="QHY386"/>
      <c r="QHZ386"/>
      <c r="QIA386"/>
      <c r="QIB386"/>
      <c r="QIC386"/>
      <c r="QID386"/>
      <c r="QIE386"/>
      <c r="QIF386"/>
      <c r="QIG386"/>
      <c r="QIH386"/>
      <c r="QII386"/>
      <c r="QIJ386"/>
      <c r="QIK386"/>
      <c r="QIL386"/>
      <c r="QIM386"/>
      <c r="QIN386"/>
      <c r="QIO386"/>
      <c r="QIP386"/>
      <c r="QIQ386"/>
      <c r="QIR386"/>
      <c r="QIS386"/>
      <c r="QIT386"/>
      <c r="QIU386"/>
      <c r="QIV386"/>
      <c r="QIW386"/>
      <c r="QIX386"/>
      <c r="QIY386"/>
      <c r="QIZ386"/>
      <c r="QJA386"/>
      <c r="QJB386"/>
      <c r="QJC386"/>
      <c r="QJD386"/>
      <c r="QJE386"/>
      <c r="QJF386"/>
      <c r="QJG386"/>
      <c r="QJH386"/>
      <c r="QJI386"/>
      <c r="QJJ386"/>
      <c r="QJK386"/>
      <c r="QJL386"/>
      <c r="QJM386"/>
      <c r="QJN386"/>
      <c r="QJO386"/>
      <c r="QJP386"/>
      <c r="QJQ386"/>
      <c r="QJR386"/>
      <c r="QJS386"/>
      <c r="QJT386"/>
      <c r="QJU386"/>
      <c r="QJV386"/>
      <c r="QJW386"/>
      <c r="QJX386"/>
      <c r="QJY386"/>
      <c r="QJZ386"/>
      <c r="QKA386"/>
      <c r="QKB386"/>
      <c r="QKC386"/>
      <c r="QKD386"/>
      <c r="QKE386"/>
      <c r="QKF386"/>
      <c r="QKG386"/>
      <c r="QKH386"/>
      <c r="QKI386"/>
      <c r="QKJ386"/>
      <c r="QKK386"/>
      <c r="QKL386"/>
      <c r="QKM386"/>
      <c r="QKN386"/>
      <c r="QKO386"/>
      <c r="QKP386"/>
      <c r="QKQ386"/>
      <c r="QKR386"/>
      <c r="QKS386"/>
      <c r="QKT386"/>
      <c r="QKU386"/>
      <c r="QKV386"/>
      <c r="QKW386"/>
      <c r="QKX386"/>
      <c r="QKY386"/>
      <c r="QKZ386"/>
      <c r="QLA386"/>
      <c r="QLB386"/>
      <c r="QLC386"/>
      <c r="QLD386"/>
      <c r="QLE386"/>
      <c r="QLF386"/>
      <c r="QLG386"/>
      <c r="QLH386"/>
      <c r="QLI386"/>
      <c r="QLJ386"/>
      <c r="QLK386"/>
      <c r="QLL386"/>
      <c r="QLM386"/>
      <c r="QLN386"/>
      <c r="QLO386"/>
      <c r="QLP386"/>
      <c r="QLQ386"/>
      <c r="QLR386"/>
      <c r="QLS386"/>
      <c r="QLT386"/>
      <c r="QLU386"/>
      <c r="QLV386"/>
      <c r="QLW386"/>
      <c r="QLX386"/>
      <c r="QLY386"/>
      <c r="QLZ386"/>
      <c r="QMA386"/>
      <c r="QMB386"/>
      <c r="QMC386"/>
      <c r="QMD386"/>
      <c r="QME386"/>
      <c r="QMF386"/>
      <c r="QMG386"/>
      <c r="QMH386"/>
      <c r="QMI386"/>
      <c r="QMJ386"/>
      <c r="QMK386"/>
      <c r="QML386"/>
      <c r="QMM386"/>
      <c r="QMN386"/>
      <c r="QMO386"/>
      <c r="QMP386"/>
      <c r="QMQ386"/>
      <c r="QMR386"/>
      <c r="QMS386"/>
      <c r="QMT386"/>
      <c r="QMU386"/>
      <c r="QMV386"/>
      <c r="QMW386"/>
      <c r="QMX386"/>
      <c r="QMY386"/>
      <c r="QMZ386"/>
      <c r="QNA386"/>
      <c r="QNB386"/>
      <c r="QNC386"/>
      <c r="QND386"/>
      <c r="QNE386"/>
      <c r="QNF386"/>
      <c r="QNG386"/>
      <c r="QNH386"/>
      <c r="QNI386"/>
      <c r="QNJ386"/>
      <c r="QNK386"/>
      <c r="QNL386"/>
      <c r="QNM386"/>
      <c r="QNN386"/>
      <c r="QNO386"/>
      <c r="QNP386"/>
      <c r="QNQ386"/>
      <c r="QNR386"/>
      <c r="QNS386"/>
      <c r="QNT386"/>
      <c r="QNU386"/>
      <c r="QNV386"/>
      <c r="QNW386"/>
      <c r="QNX386"/>
      <c r="QNY386"/>
      <c r="QNZ386"/>
      <c r="QOA386"/>
      <c r="QOB386"/>
      <c r="QOC386"/>
      <c r="QOD386"/>
      <c r="QOE386"/>
      <c r="QOF386"/>
      <c r="QOG386"/>
      <c r="QOH386"/>
      <c r="QOI386"/>
      <c r="QOJ386"/>
      <c r="QOK386"/>
      <c r="QOL386"/>
      <c r="QOM386"/>
      <c r="QON386"/>
      <c r="QOO386"/>
      <c r="QOP386"/>
      <c r="QOQ386"/>
      <c r="QOR386"/>
      <c r="QOS386"/>
      <c r="QOT386"/>
      <c r="QOU386"/>
      <c r="QOV386"/>
      <c r="QOW386"/>
      <c r="QOX386"/>
      <c r="QOY386"/>
      <c r="QOZ386"/>
      <c r="QPA386"/>
      <c r="QPB386"/>
      <c r="QPC386"/>
      <c r="QPD386"/>
      <c r="QPE386"/>
      <c r="QPF386"/>
      <c r="QPG386"/>
      <c r="QPH386"/>
      <c r="QPI386"/>
      <c r="QPJ386"/>
      <c r="QPK386"/>
      <c r="QPL386"/>
      <c r="QPM386"/>
      <c r="QPN386"/>
      <c r="QPO386"/>
      <c r="QPP386"/>
      <c r="QPQ386"/>
      <c r="QPR386"/>
      <c r="QPS386"/>
      <c r="QPT386"/>
      <c r="QPU386"/>
      <c r="QPV386"/>
      <c r="QPW386"/>
      <c r="QPX386"/>
      <c r="QPY386"/>
      <c r="QPZ386"/>
      <c r="QQA386"/>
      <c r="QQB386"/>
      <c r="QQC386"/>
      <c r="QQD386"/>
      <c r="QQE386"/>
      <c r="QQF386"/>
      <c r="QQG386"/>
      <c r="QQH386"/>
      <c r="QQI386"/>
      <c r="QQJ386"/>
      <c r="QQK386"/>
      <c r="QQL386"/>
      <c r="QQM386"/>
      <c r="QQN386"/>
      <c r="QQO386"/>
      <c r="QQP386"/>
      <c r="QQQ386"/>
      <c r="QQR386"/>
      <c r="QQS386"/>
      <c r="QQT386"/>
      <c r="QQU386"/>
      <c r="QQV386"/>
      <c r="QQW386"/>
      <c r="QQX386"/>
      <c r="QQY386"/>
      <c r="QQZ386"/>
      <c r="QRA386"/>
      <c r="QRB386"/>
      <c r="QRC386"/>
      <c r="QRD386"/>
      <c r="QRE386"/>
      <c r="QRF386"/>
      <c r="QRG386"/>
      <c r="QRH386"/>
      <c r="QRI386"/>
      <c r="QRJ386"/>
      <c r="QRK386"/>
      <c r="QRL386"/>
      <c r="QRM386"/>
      <c r="QRN386"/>
      <c r="QRO386"/>
      <c r="QRP386"/>
      <c r="QRQ386"/>
      <c r="QRR386"/>
      <c r="QRS386"/>
      <c r="QRT386"/>
      <c r="QRU386"/>
      <c r="QRV386"/>
      <c r="QRW386"/>
      <c r="QRX386"/>
      <c r="QRY386"/>
      <c r="QRZ386"/>
      <c r="QSA386"/>
      <c r="QSB386"/>
      <c r="QSC386"/>
      <c r="QSD386"/>
      <c r="QSE386"/>
      <c r="QSF386"/>
      <c r="QSG386"/>
      <c r="QSH386"/>
      <c r="QSI386"/>
      <c r="QSJ386"/>
      <c r="QSK386"/>
      <c r="QSL386"/>
      <c r="QSM386"/>
      <c r="QSN386"/>
      <c r="QSO386"/>
      <c r="QSP386"/>
      <c r="QSQ386"/>
      <c r="QSR386"/>
      <c r="QSS386"/>
      <c r="QST386"/>
      <c r="QSU386"/>
      <c r="QSV386"/>
      <c r="QSW386"/>
      <c r="QSX386"/>
      <c r="QSY386"/>
      <c r="QSZ386"/>
      <c r="QTA386"/>
      <c r="QTB386"/>
      <c r="QTC386"/>
      <c r="QTD386"/>
      <c r="QTE386"/>
      <c r="QTF386"/>
      <c r="QTG386"/>
      <c r="QTH386"/>
      <c r="QTI386"/>
      <c r="QTJ386"/>
      <c r="QTK386"/>
      <c r="QTL386"/>
      <c r="QTM386"/>
      <c r="QTN386"/>
      <c r="QTO386"/>
      <c r="QTP386"/>
      <c r="QTQ386"/>
      <c r="QTR386"/>
      <c r="QTS386"/>
      <c r="QTT386"/>
      <c r="QTU386"/>
      <c r="QTV386"/>
      <c r="QTW386"/>
      <c r="QTX386"/>
      <c r="QTY386"/>
      <c r="QTZ386"/>
      <c r="QUA386"/>
      <c r="QUB386"/>
      <c r="QUC386"/>
      <c r="QUD386"/>
      <c r="QUE386"/>
      <c r="QUF386"/>
      <c r="QUG386"/>
      <c r="QUH386"/>
      <c r="QUI386"/>
      <c r="QUJ386"/>
      <c r="QUK386"/>
      <c r="QUL386"/>
      <c r="QUM386"/>
      <c r="QUN386"/>
      <c r="QUO386"/>
      <c r="QUP386"/>
      <c r="QUQ386"/>
      <c r="QUR386"/>
      <c r="QUS386"/>
      <c r="QUT386"/>
      <c r="QUU386"/>
      <c r="QUV386"/>
      <c r="QUW386"/>
      <c r="QUX386"/>
      <c r="QUY386"/>
      <c r="QUZ386"/>
      <c r="QVA386"/>
      <c r="QVB386"/>
      <c r="QVC386"/>
      <c r="QVD386"/>
      <c r="QVE386"/>
      <c r="QVF386"/>
      <c r="QVG386"/>
      <c r="QVH386"/>
      <c r="QVI386"/>
      <c r="QVJ386"/>
      <c r="QVK386"/>
      <c r="QVL386"/>
      <c r="QVM386"/>
      <c r="QVN386"/>
      <c r="QVO386"/>
      <c r="QVP386"/>
      <c r="QVQ386"/>
      <c r="QVR386"/>
      <c r="QVS386"/>
      <c r="QVT386"/>
      <c r="QVU386"/>
      <c r="QVV386"/>
      <c r="QVW386"/>
      <c r="QVX386"/>
      <c r="QVY386"/>
      <c r="QVZ386"/>
      <c r="QWA386"/>
      <c r="QWB386"/>
      <c r="QWC386"/>
      <c r="QWD386"/>
      <c r="QWE386"/>
      <c r="QWF386"/>
      <c r="QWG386"/>
      <c r="QWH386"/>
      <c r="QWI386"/>
      <c r="QWJ386"/>
      <c r="QWK386"/>
      <c r="QWL386"/>
      <c r="QWM386"/>
      <c r="QWN386"/>
      <c r="QWO386"/>
      <c r="QWP386"/>
      <c r="QWQ386"/>
      <c r="QWR386"/>
      <c r="QWS386"/>
      <c r="QWT386"/>
      <c r="QWU386"/>
      <c r="QWV386"/>
      <c r="QWW386"/>
      <c r="QWX386"/>
      <c r="QWY386"/>
      <c r="QWZ386"/>
      <c r="QXA386"/>
      <c r="QXB386"/>
      <c r="QXC386"/>
      <c r="QXD386"/>
      <c r="QXE386"/>
      <c r="QXF386"/>
      <c r="QXG386"/>
      <c r="QXH386"/>
      <c r="QXI386"/>
      <c r="QXJ386"/>
      <c r="QXK386"/>
      <c r="QXL386"/>
      <c r="QXM386"/>
      <c r="QXN386"/>
      <c r="QXO386"/>
      <c r="QXP386"/>
      <c r="QXQ386"/>
      <c r="QXR386"/>
      <c r="QXS386"/>
      <c r="QXT386"/>
      <c r="QXU386"/>
      <c r="QXV386"/>
      <c r="QXW386"/>
      <c r="QXX386"/>
      <c r="QXY386"/>
      <c r="QXZ386"/>
      <c r="QYA386"/>
      <c r="QYB386"/>
      <c r="QYC386"/>
      <c r="QYD386"/>
      <c r="QYE386"/>
      <c r="QYF386"/>
      <c r="QYG386"/>
      <c r="QYH386"/>
      <c r="QYI386"/>
      <c r="QYJ386"/>
      <c r="QYK386"/>
      <c r="QYL386"/>
      <c r="QYM386"/>
      <c r="QYN386"/>
      <c r="QYO386"/>
      <c r="QYP386"/>
      <c r="QYQ386"/>
      <c r="QYR386"/>
      <c r="QYS386"/>
      <c r="QYT386"/>
      <c r="QYU386"/>
      <c r="QYV386"/>
      <c r="QYW386"/>
      <c r="QYX386"/>
      <c r="QYY386"/>
      <c r="QYZ386"/>
      <c r="QZA386"/>
      <c r="QZB386"/>
      <c r="QZC386"/>
      <c r="QZD386"/>
      <c r="QZE386"/>
      <c r="QZF386"/>
      <c r="QZG386"/>
      <c r="QZH386"/>
      <c r="QZI386"/>
      <c r="QZJ386"/>
      <c r="QZK386"/>
      <c r="QZL386"/>
      <c r="QZM386"/>
      <c r="QZN386"/>
      <c r="QZO386"/>
      <c r="QZP386"/>
      <c r="QZQ386"/>
      <c r="QZR386"/>
      <c r="QZS386"/>
      <c r="QZT386"/>
      <c r="QZU386"/>
      <c r="QZV386"/>
      <c r="QZW386"/>
      <c r="QZX386"/>
      <c r="QZY386"/>
      <c r="QZZ386"/>
      <c r="RAA386"/>
      <c r="RAB386"/>
      <c r="RAC386"/>
      <c r="RAD386"/>
      <c r="RAE386"/>
      <c r="RAF386"/>
      <c r="RAG386"/>
      <c r="RAH386"/>
      <c r="RAI386"/>
      <c r="RAJ386"/>
      <c r="RAK386"/>
      <c r="RAL386"/>
      <c r="RAM386"/>
      <c r="RAN386"/>
      <c r="RAO386"/>
      <c r="RAP386"/>
      <c r="RAQ386"/>
      <c r="RAR386"/>
      <c r="RAS386"/>
      <c r="RAT386"/>
      <c r="RAU386"/>
      <c r="RAV386"/>
      <c r="RAW386"/>
      <c r="RAX386"/>
      <c r="RAY386"/>
      <c r="RAZ386"/>
      <c r="RBA386"/>
      <c r="RBB386"/>
      <c r="RBC386"/>
      <c r="RBD386"/>
      <c r="RBE386"/>
      <c r="RBF386"/>
      <c r="RBG386"/>
      <c r="RBH386"/>
      <c r="RBI386"/>
      <c r="RBJ386"/>
      <c r="RBK386"/>
      <c r="RBL386"/>
      <c r="RBM386"/>
      <c r="RBN386"/>
      <c r="RBO386"/>
      <c r="RBP386"/>
      <c r="RBQ386"/>
      <c r="RBR386"/>
      <c r="RBS386"/>
      <c r="RBT386"/>
      <c r="RBU386"/>
      <c r="RBV386"/>
      <c r="RBW386"/>
      <c r="RBX386"/>
      <c r="RBY386"/>
      <c r="RBZ386"/>
      <c r="RCA386"/>
      <c r="RCB386"/>
      <c r="RCC386"/>
      <c r="RCD386"/>
      <c r="RCE386"/>
      <c r="RCF386"/>
      <c r="RCG386"/>
      <c r="RCH386"/>
      <c r="RCI386"/>
      <c r="RCJ386"/>
      <c r="RCK386"/>
      <c r="RCL386"/>
      <c r="RCM386"/>
      <c r="RCN386"/>
      <c r="RCO386"/>
      <c r="RCP386"/>
      <c r="RCQ386"/>
      <c r="RCR386"/>
      <c r="RCS386"/>
      <c r="RCT386"/>
      <c r="RCU386"/>
      <c r="RCV386"/>
      <c r="RCW386"/>
      <c r="RCX386"/>
      <c r="RCY386"/>
      <c r="RCZ386"/>
      <c r="RDA386"/>
      <c r="RDB386"/>
      <c r="RDC386"/>
      <c r="RDD386"/>
      <c r="RDE386"/>
      <c r="RDF386"/>
      <c r="RDG386"/>
      <c r="RDH386"/>
      <c r="RDI386"/>
      <c r="RDJ386"/>
      <c r="RDK386"/>
      <c r="RDL386"/>
      <c r="RDM386"/>
      <c r="RDN386"/>
      <c r="RDO386"/>
      <c r="RDP386"/>
      <c r="RDQ386"/>
      <c r="RDR386"/>
      <c r="RDS386"/>
      <c r="RDT386"/>
      <c r="RDU386"/>
      <c r="RDV386"/>
      <c r="RDW386"/>
      <c r="RDX386"/>
      <c r="RDY386"/>
      <c r="RDZ386"/>
      <c r="REA386"/>
      <c r="REB386"/>
      <c r="REC386"/>
      <c r="RED386"/>
      <c r="REE386"/>
      <c r="REF386"/>
      <c r="REG386"/>
      <c r="REH386"/>
      <c r="REI386"/>
      <c r="REJ386"/>
      <c r="REK386"/>
      <c r="REL386"/>
      <c r="REM386"/>
      <c r="REN386"/>
      <c r="REO386"/>
      <c r="REP386"/>
      <c r="REQ386"/>
      <c r="RER386"/>
      <c r="RES386"/>
      <c r="RET386"/>
      <c r="REU386"/>
      <c r="REV386"/>
      <c r="REW386"/>
      <c r="REX386"/>
      <c r="REY386"/>
      <c r="REZ386"/>
      <c r="RFA386"/>
      <c r="RFB386"/>
      <c r="RFC386"/>
      <c r="RFD386"/>
      <c r="RFE386"/>
      <c r="RFF386"/>
      <c r="RFG386"/>
      <c r="RFH386"/>
      <c r="RFI386"/>
      <c r="RFJ386"/>
      <c r="RFK386"/>
      <c r="RFL386"/>
      <c r="RFM386"/>
      <c r="RFN386"/>
      <c r="RFO386"/>
      <c r="RFP386"/>
      <c r="RFQ386"/>
      <c r="RFR386"/>
      <c r="RFS386"/>
      <c r="RFT386"/>
      <c r="RFU386"/>
      <c r="RFV386"/>
      <c r="RFW386"/>
      <c r="RFX386"/>
      <c r="RFY386"/>
      <c r="RFZ386"/>
      <c r="RGA386"/>
      <c r="RGB386"/>
      <c r="RGC386"/>
      <c r="RGD386"/>
      <c r="RGE386"/>
      <c r="RGF386"/>
      <c r="RGG386"/>
      <c r="RGH386"/>
      <c r="RGI386"/>
      <c r="RGJ386"/>
      <c r="RGK386"/>
      <c r="RGL386"/>
      <c r="RGM386"/>
      <c r="RGN386"/>
      <c r="RGO386"/>
      <c r="RGP386"/>
      <c r="RGQ386"/>
      <c r="RGR386"/>
      <c r="RGS386"/>
      <c r="RGT386"/>
      <c r="RGU386"/>
      <c r="RGV386"/>
      <c r="RGW386"/>
      <c r="RGX386"/>
      <c r="RGY386"/>
      <c r="RGZ386"/>
      <c r="RHA386"/>
      <c r="RHB386"/>
      <c r="RHC386"/>
      <c r="RHD386"/>
      <c r="RHE386"/>
      <c r="RHF386"/>
      <c r="RHG386"/>
      <c r="RHH386"/>
      <c r="RHI386"/>
      <c r="RHJ386"/>
      <c r="RHK386"/>
      <c r="RHL386"/>
      <c r="RHM386"/>
      <c r="RHN386"/>
      <c r="RHO386"/>
      <c r="RHP386"/>
      <c r="RHQ386"/>
      <c r="RHR386"/>
      <c r="RHS386"/>
      <c r="RHT386"/>
      <c r="RHU386"/>
      <c r="RHV386"/>
      <c r="RHW386"/>
      <c r="RHX386"/>
      <c r="RHY386"/>
      <c r="RHZ386"/>
      <c r="RIA386"/>
      <c r="RIB386"/>
      <c r="RIC386"/>
      <c r="RID386"/>
      <c r="RIE386"/>
      <c r="RIF386"/>
      <c r="RIG386"/>
      <c r="RIH386"/>
      <c r="RII386"/>
      <c r="RIJ386"/>
      <c r="RIK386"/>
      <c r="RIL386"/>
      <c r="RIM386"/>
      <c r="RIN386"/>
      <c r="RIO386"/>
      <c r="RIP386"/>
      <c r="RIQ386"/>
      <c r="RIR386"/>
      <c r="RIS386"/>
      <c r="RIT386"/>
      <c r="RIU386"/>
      <c r="RIV386"/>
      <c r="RIW386"/>
      <c r="RIX386"/>
      <c r="RIY386"/>
      <c r="RIZ386"/>
      <c r="RJA386"/>
      <c r="RJB386"/>
      <c r="RJC386"/>
      <c r="RJD386"/>
      <c r="RJE386"/>
      <c r="RJF386"/>
      <c r="RJG386"/>
      <c r="RJH386"/>
      <c r="RJI386"/>
      <c r="RJJ386"/>
      <c r="RJK386"/>
      <c r="RJL386"/>
      <c r="RJM386"/>
      <c r="RJN386"/>
      <c r="RJO386"/>
      <c r="RJP386"/>
      <c r="RJQ386"/>
      <c r="RJR386"/>
      <c r="RJS386"/>
      <c r="RJT386"/>
      <c r="RJU386"/>
      <c r="RJV386"/>
      <c r="RJW386"/>
      <c r="RJX386"/>
      <c r="RJY386"/>
      <c r="RJZ386"/>
      <c r="RKA386"/>
      <c r="RKB386"/>
      <c r="RKC386"/>
      <c r="RKD386"/>
      <c r="RKE386"/>
      <c r="RKF386"/>
      <c r="RKG386"/>
      <c r="RKH386"/>
      <c r="RKI386"/>
      <c r="RKJ386"/>
      <c r="RKK386"/>
      <c r="RKL386"/>
      <c r="RKM386"/>
      <c r="RKN386"/>
      <c r="RKO386"/>
      <c r="RKP386"/>
      <c r="RKQ386"/>
      <c r="RKR386"/>
      <c r="RKS386"/>
      <c r="RKT386"/>
      <c r="RKU386"/>
      <c r="RKV386"/>
      <c r="RKW386"/>
      <c r="RKX386"/>
      <c r="RKY386"/>
      <c r="RKZ386"/>
      <c r="RLA386"/>
      <c r="RLB386"/>
      <c r="RLC386"/>
      <c r="RLD386"/>
      <c r="RLE386"/>
      <c r="RLF386"/>
      <c r="RLG386"/>
      <c r="RLH386"/>
      <c r="RLI386"/>
      <c r="RLJ386"/>
      <c r="RLK386"/>
      <c r="RLL386"/>
      <c r="RLM386"/>
      <c r="RLN386"/>
      <c r="RLO386"/>
      <c r="RLP386"/>
      <c r="RLQ386"/>
      <c r="RLR386"/>
      <c r="RLS386"/>
      <c r="RLT386"/>
      <c r="RLU386"/>
      <c r="RLV386"/>
      <c r="RLW386"/>
      <c r="RLX386"/>
      <c r="RLY386"/>
      <c r="RLZ386"/>
      <c r="RMA386"/>
      <c r="RMB386"/>
      <c r="RMC386"/>
      <c r="RMD386"/>
      <c r="RME386"/>
      <c r="RMF386"/>
      <c r="RMG386"/>
      <c r="RMH386"/>
      <c r="RMI386"/>
      <c r="RMJ386"/>
      <c r="RMK386"/>
      <c r="RML386"/>
      <c r="RMM386"/>
      <c r="RMN386"/>
      <c r="RMO386"/>
      <c r="RMP386"/>
      <c r="RMQ386"/>
      <c r="RMR386"/>
      <c r="RMS386"/>
      <c r="RMT386"/>
      <c r="RMU386"/>
      <c r="RMV386"/>
      <c r="RMW386"/>
      <c r="RMX386"/>
      <c r="RMY386"/>
      <c r="RMZ386"/>
      <c r="RNA386"/>
      <c r="RNB386"/>
      <c r="RNC386"/>
      <c r="RND386"/>
      <c r="RNE386"/>
      <c r="RNF386"/>
      <c r="RNG386"/>
      <c r="RNH386"/>
      <c r="RNI386"/>
      <c r="RNJ386"/>
      <c r="RNK386"/>
      <c r="RNL386"/>
      <c r="RNM386"/>
      <c r="RNN386"/>
      <c r="RNO386"/>
      <c r="RNP386"/>
      <c r="RNQ386"/>
      <c r="RNR386"/>
      <c r="RNS386"/>
      <c r="RNT386"/>
      <c r="RNU386"/>
      <c r="RNV386"/>
      <c r="RNW386"/>
      <c r="RNX386"/>
      <c r="RNY386"/>
      <c r="RNZ386"/>
      <c r="ROA386"/>
      <c r="ROB386"/>
      <c r="ROC386"/>
      <c r="ROD386"/>
      <c r="ROE386"/>
      <c r="ROF386"/>
      <c r="ROG386"/>
      <c r="ROH386"/>
      <c r="ROI386"/>
      <c r="ROJ386"/>
      <c r="ROK386"/>
      <c r="ROL386"/>
      <c r="ROM386"/>
      <c r="RON386"/>
      <c r="ROO386"/>
      <c r="ROP386"/>
      <c r="ROQ386"/>
      <c r="ROR386"/>
      <c r="ROS386"/>
      <c r="ROT386"/>
      <c r="ROU386"/>
      <c r="ROV386"/>
      <c r="ROW386"/>
      <c r="ROX386"/>
      <c r="ROY386"/>
      <c r="ROZ386"/>
      <c r="RPA386"/>
      <c r="RPB386"/>
      <c r="RPC386"/>
      <c r="RPD386"/>
      <c r="RPE386"/>
      <c r="RPF386"/>
      <c r="RPG386"/>
      <c r="RPH386"/>
      <c r="RPI386"/>
      <c r="RPJ386"/>
      <c r="RPK386"/>
      <c r="RPL386"/>
      <c r="RPM386"/>
      <c r="RPN386"/>
      <c r="RPO386"/>
      <c r="RPP386"/>
      <c r="RPQ386"/>
      <c r="RPR386"/>
      <c r="RPS386"/>
      <c r="RPT386"/>
      <c r="RPU386"/>
      <c r="RPV386"/>
      <c r="RPW386"/>
      <c r="RPX386"/>
      <c r="RPY386"/>
      <c r="RPZ386"/>
      <c r="RQA386"/>
      <c r="RQB386"/>
      <c r="RQC386"/>
      <c r="RQD386"/>
      <c r="RQE386"/>
      <c r="RQF386"/>
      <c r="RQG386"/>
      <c r="RQH386"/>
      <c r="RQI386"/>
      <c r="RQJ386"/>
      <c r="RQK386"/>
      <c r="RQL386"/>
      <c r="RQM386"/>
      <c r="RQN386"/>
      <c r="RQO386"/>
      <c r="RQP386"/>
      <c r="RQQ386"/>
      <c r="RQR386"/>
      <c r="RQS386"/>
      <c r="RQT386"/>
      <c r="RQU386"/>
      <c r="RQV386"/>
      <c r="RQW386"/>
      <c r="RQX386"/>
      <c r="RQY386"/>
      <c r="RQZ386"/>
      <c r="RRA386"/>
      <c r="RRB386"/>
      <c r="RRC386"/>
      <c r="RRD386"/>
      <c r="RRE386"/>
      <c r="RRF386"/>
      <c r="RRG386"/>
      <c r="RRH386"/>
      <c r="RRI386"/>
      <c r="RRJ386"/>
      <c r="RRK386"/>
      <c r="RRL386"/>
      <c r="RRM386"/>
      <c r="RRN386"/>
      <c r="RRO386"/>
      <c r="RRP386"/>
      <c r="RRQ386"/>
      <c r="RRR386"/>
      <c r="RRS386"/>
      <c r="RRT386"/>
      <c r="RRU386"/>
      <c r="RRV386"/>
      <c r="RRW386"/>
      <c r="RRX386"/>
      <c r="RRY386"/>
      <c r="RRZ386"/>
      <c r="RSA386"/>
      <c r="RSB386"/>
      <c r="RSC386"/>
      <c r="RSD386"/>
      <c r="RSE386"/>
      <c r="RSF386"/>
      <c r="RSG386"/>
      <c r="RSH386"/>
      <c r="RSI386"/>
      <c r="RSJ386"/>
      <c r="RSK386"/>
      <c r="RSL386"/>
      <c r="RSM386"/>
      <c r="RSN386"/>
      <c r="RSO386"/>
      <c r="RSP386"/>
      <c r="RSQ386"/>
      <c r="RSR386"/>
      <c r="RSS386"/>
      <c r="RST386"/>
      <c r="RSU386"/>
      <c r="RSV386"/>
      <c r="RSW386"/>
      <c r="RSX386"/>
      <c r="RSY386"/>
      <c r="RSZ386"/>
      <c r="RTA386"/>
      <c r="RTB386"/>
      <c r="RTC386"/>
      <c r="RTD386"/>
      <c r="RTE386"/>
      <c r="RTF386"/>
      <c r="RTG386"/>
      <c r="RTH386"/>
      <c r="RTI386"/>
      <c r="RTJ386"/>
      <c r="RTK386"/>
      <c r="RTL386"/>
      <c r="RTM386"/>
      <c r="RTN386"/>
      <c r="RTO386"/>
      <c r="RTP386"/>
      <c r="RTQ386"/>
      <c r="RTR386"/>
      <c r="RTS386"/>
      <c r="RTT386"/>
      <c r="RTU386"/>
      <c r="RTV386"/>
      <c r="RTW386"/>
      <c r="RTX386"/>
      <c r="RTY386"/>
      <c r="RTZ386"/>
      <c r="RUA386"/>
      <c r="RUB386"/>
      <c r="RUC386"/>
      <c r="RUD386"/>
      <c r="RUE386"/>
      <c r="RUF386"/>
      <c r="RUG386"/>
      <c r="RUH386"/>
      <c r="RUI386"/>
      <c r="RUJ386"/>
      <c r="RUK386"/>
      <c r="RUL386"/>
      <c r="RUM386"/>
      <c r="RUN386"/>
      <c r="RUO386"/>
      <c r="RUP386"/>
      <c r="RUQ386"/>
      <c r="RUR386"/>
      <c r="RUS386"/>
      <c r="RUT386"/>
      <c r="RUU386"/>
      <c r="RUV386"/>
      <c r="RUW386"/>
      <c r="RUX386"/>
      <c r="RUY386"/>
      <c r="RUZ386"/>
      <c r="RVA386"/>
      <c r="RVB386"/>
      <c r="RVC386"/>
      <c r="RVD386"/>
      <c r="RVE386"/>
      <c r="RVF386"/>
      <c r="RVG386"/>
      <c r="RVH386"/>
      <c r="RVI386"/>
      <c r="RVJ386"/>
      <c r="RVK386"/>
      <c r="RVL386"/>
      <c r="RVM386"/>
      <c r="RVN386"/>
      <c r="RVO386"/>
      <c r="RVP386"/>
      <c r="RVQ386"/>
      <c r="RVR386"/>
      <c r="RVS386"/>
      <c r="RVT386"/>
      <c r="RVU386"/>
      <c r="RVV386"/>
      <c r="RVW386"/>
      <c r="RVX386"/>
      <c r="RVY386"/>
      <c r="RVZ386"/>
      <c r="RWA386"/>
      <c r="RWB386"/>
      <c r="RWC386"/>
      <c r="RWD386"/>
      <c r="RWE386"/>
      <c r="RWF386"/>
      <c r="RWG386"/>
      <c r="RWH386"/>
      <c r="RWI386"/>
      <c r="RWJ386"/>
      <c r="RWK386"/>
      <c r="RWL386"/>
      <c r="RWM386"/>
      <c r="RWN386"/>
      <c r="RWO386"/>
      <c r="RWP386"/>
      <c r="RWQ386"/>
      <c r="RWR386"/>
      <c r="RWS386"/>
      <c r="RWT386"/>
      <c r="RWU386"/>
      <c r="RWV386"/>
      <c r="RWW386"/>
      <c r="RWX386"/>
      <c r="RWY386"/>
      <c r="RWZ386"/>
      <c r="RXA386"/>
      <c r="RXB386"/>
      <c r="RXC386"/>
      <c r="RXD386"/>
      <c r="RXE386"/>
      <c r="RXF386"/>
      <c r="RXG386"/>
      <c r="RXH386"/>
      <c r="RXI386"/>
      <c r="RXJ386"/>
      <c r="RXK386"/>
      <c r="RXL386"/>
      <c r="RXM386"/>
      <c r="RXN386"/>
      <c r="RXO386"/>
      <c r="RXP386"/>
      <c r="RXQ386"/>
      <c r="RXR386"/>
      <c r="RXS386"/>
      <c r="RXT386"/>
      <c r="RXU386"/>
      <c r="RXV386"/>
      <c r="RXW386"/>
      <c r="RXX386"/>
      <c r="RXY386"/>
      <c r="RXZ386"/>
      <c r="RYA386"/>
      <c r="RYB386"/>
      <c r="RYC386"/>
      <c r="RYD386"/>
      <c r="RYE386"/>
      <c r="RYF386"/>
      <c r="RYG386"/>
      <c r="RYH386"/>
      <c r="RYI386"/>
      <c r="RYJ386"/>
      <c r="RYK386"/>
      <c r="RYL386"/>
      <c r="RYM386"/>
      <c r="RYN386"/>
      <c r="RYO386"/>
      <c r="RYP386"/>
      <c r="RYQ386"/>
      <c r="RYR386"/>
      <c r="RYS386"/>
      <c r="RYT386"/>
      <c r="RYU386"/>
      <c r="RYV386"/>
      <c r="RYW386"/>
      <c r="RYX386"/>
      <c r="RYY386"/>
      <c r="RYZ386"/>
      <c r="RZA386"/>
      <c r="RZB386"/>
      <c r="RZC386"/>
      <c r="RZD386"/>
      <c r="RZE386"/>
      <c r="RZF386"/>
      <c r="RZG386"/>
      <c r="RZH386"/>
      <c r="RZI386"/>
      <c r="RZJ386"/>
      <c r="RZK386"/>
      <c r="RZL386"/>
      <c r="RZM386"/>
      <c r="RZN386"/>
      <c r="RZO386"/>
      <c r="RZP386"/>
      <c r="RZQ386"/>
      <c r="RZR386"/>
      <c r="RZS386"/>
      <c r="RZT386"/>
      <c r="RZU386"/>
      <c r="RZV386"/>
      <c r="RZW386"/>
      <c r="RZX386"/>
      <c r="RZY386"/>
      <c r="RZZ386"/>
      <c r="SAA386"/>
      <c r="SAB386"/>
      <c r="SAC386"/>
      <c r="SAD386"/>
      <c r="SAE386"/>
      <c r="SAF386"/>
      <c r="SAG386"/>
      <c r="SAH386"/>
      <c r="SAI386"/>
      <c r="SAJ386"/>
      <c r="SAK386"/>
      <c r="SAL386"/>
      <c r="SAM386"/>
      <c r="SAN386"/>
      <c r="SAO386"/>
      <c r="SAP386"/>
      <c r="SAQ386"/>
      <c r="SAR386"/>
      <c r="SAS386"/>
      <c r="SAT386"/>
      <c r="SAU386"/>
      <c r="SAV386"/>
      <c r="SAW386"/>
      <c r="SAX386"/>
      <c r="SAY386"/>
      <c r="SAZ386"/>
      <c r="SBA386"/>
      <c r="SBB386"/>
      <c r="SBC386"/>
      <c r="SBD386"/>
      <c r="SBE386"/>
      <c r="SBF386"/>
      <c r="SBG386"/>
      <c r="SBH386"/>
      <c r="SBI386"/>
      <c r="SBJ386"/>
      <c r="SBK386"/>
      <c r="SBL386"/>
      <c r="SBM386"/>
      <c r="SBN386"/>
      <c r="SBO386"/>
      <c r="SBP386"/>
      <c r="SBQ386"/>
      <c r="SBR386"/>
      <c r="SBS386"/>
      <c r="SBT386"/>
      <c r="SBU386"/>
      <c r="SBV386"/>
      <c r="SBW386"/>
      <c r="SBX386"/>
      <c r="SBY386"/>
      <c r="SBZ386"/>
      <c r="SCA386"/>
      <c r="SCB386"/>
      <c r="SCC386"/>
      <c r="SCD386"/>
      <c r="SCE386"/>
      <c r="SCF386"/>
      <c r="SCG386"/>
      <c r="SCH386"/>
      <c r="SCI386"/>
      <c r="SCJ386"/>
      <c r="SCK386"/>
      <c r="SCL386"/>
      <c r="SCM386"/>
      <c r="SCN386"/>
      <c r="SCO386"/>
      <c r="SCP386"/>
      <c r="SCQ386"/>
      <c r="SCR386"/>
      <c r="SCS386"/>
      <c r="SCT386"/>
      <c r="SCU386"/>
      <c r="SCV386"/>
      <c r="SCW386"/>
      <c r="SCX386"/>
      <c r="SCY386"/>
      <c r="SCZ386"/>
      <c r="SDA386"/>
      <c r="SDB386"/>
      <c r="SDC386"/>
      <c r="SDD386"/>
      <c r="SDE386"/>
      <c r="SDF386"/>
      <c r="SDG386"/>
      <c r="SDH386"/>
      <c r="SDI386"/>
      <c r="SDJ386"/>
      <c r="SDK386"/>
      <c r="SDL386"/>
      <c r="SDM386"/>
      <c r="SDN386"/>
      <c r="SDO386"/>
      <c r="SDP386"/>
      <c r="SDQ386"/>
      <c r="SDR386"/>
      <c r="SDS386"/>
      <c r="SDT386"/>
      <c r="SDU386"/>
      <c r="SDV386"/>
      <c r="SDW386"/>
      <c r="SDX386"/>
      <c r="SDY386"/>
      <c r="SDZ386"/>
      <c r="SEA386"/>
      <c r="SEB386"/>
      <c r="SEC386"/>
      <c r="SED386"/>
      <c r="SEE386"/>
      <c r="SEF386"/>
      <c r="SEG386"/>
      <c r="SEH386"/>
      <c r="SEI386"/>
      <c r="SEJ386"/>
      <c r="SEK386"/>
      <c r="SEL386"/>
      <c r="SEM386"/>
      <c r="SEN386"/>
      <c r="SEO386"/>
      <c r="SEP386"/>
      <c r="SEQ386"/>
      <c r="SER386"/>
      <c r="SES386"/>
      <c r="SET386"/>
      <c r="SEU386"/>
      <c r="SEV386"/>
      <c r="SEW386"/>
      <c r="SEX386"/>
      <c r="SEY386"/>
      <c r="SEZ386"/>
      <c r="SFA386"/>
      <c r="SFB386"/>
      <c r="SFC386"/>
      <c r="SFD386"/>
      <c r="SFE386"/>
      <c r="SFF386"/>
      <c r="SFG386"/>
      <c r="SFH386"/>
      <c r="SFI386"/>
      <c r="SFJ386"/>
      <c r="SFK386"/>
      <c r="SFL386"/>
      <c r="SFM386"/>
      <c r="SFN386"/>
      <c r="SFO386"/>
      <c r="SFP386"/>
      <c r="SFQ386"/>
      <c r="SFR386"/>
      <c r="SFS386"/>
      <c r="SFT386"/>
      <c r="SFU386"/>
      <c r="SFV386"/>
      <c r="SFW386"/>
      <c r="SFX386"/>
      <c r="SFY386"/>
      <c r="SFZ386"/>
      <c r="SGA386"/>
      <c r="SGB386"/>
      <c r="SGC386"/>
      <c r="SGD386"/>
      <c r="SGE386"/>
      <c r="SGF386"/>
      <c r="SGG386"/>
      <c r="SGH386"/>
      <c r="SGI386"/>
      <c r="SGJ386"/>
      <c r="SGK386"/>
      <c r="SGL386"/>
      <c r="SGM386"/>
      <c r="SGN386"/>
      <c r="SGO386"/>
      <c r="SGP386"/>
      <c r="SGQ386"/>
      <c r="SGR386"/>
      <c r="SGS386"/>
      <c r="SGT386"/>
      <c r="SGU386"/>
      <c r="SGV386"/>
      <c r="SGW386"/>
      <c r="SGX386"/>
      <c r="SGY386"/>
      <c r="SGZ386"/>
      <c r="SHA386"/>
      <c r="SHB386"/>
      <c r="SHC386"/>
      <c r="SHD386"/>
      <c r="SHE386"/>
      <c r="SHF386"/>
      <c r="SHG386"/>
      <c r="SHH386"/>
      <c r="SHI386"/>
      <c r="SHJ386"/>
      <c r="SHK386"/>
      <c r="SHL386"/>
      <c r="SHM386"/>
      <c r="SHN386"/>
      <c r="SHO386"/>
      <c r="SHP386"/>
      <c r="SHQ386"/>
      <c r="SHR386"/>
      <c r="SHS386"/>
      <c r="SHT386"/>
      <c r="SHU386"/>
      <c r="SHV386"/>
      <c r="SHW386"/>
      <c r="SHX386"/>
      <c r="SHY386"/>
      <c r="SHZ386"/>
      <c r="SIA386"/>
      <c r="SIB386"/>
      <c r="SIC386"/>
      <c r="SID386"/>
      <c r="SIE386"/>
      <c r="SIF386"/>
      <c r="SIG386"/>
      <c r="SIH386"/>
      <c r="SII386"/>
      <c r="SIJ386"/>
      <c r="SIK386"/>
      <c r="SIL386"/>
      <c r="SIM386"/>
      <c r="SIN386"/>
      <c r="SIO386"/>
      <c r="SIP386"/>
      <c r="SIQ386"/>
      <c r="SIR386"/>
      <c r="SIS386"/>
      <c r="SIT386"/>
      <c r="SIU386"/>
      <c r="SIV386"/>
      <c r="SIW386"/>
      <c r="SIX386"/>
      <c r="SIY386"/>
      <c r="SIZ386"/>
      <c r="SJA386"/>
      <c r="SJB386"/>
      <c r="SJC386"/>
      <c r="SJD386"/>
      <c r="SJE386"/>
      <c r="SJF386"/>
      <c r="SJG386"/>
      <c r="SJH386"/>
      <c r="SJI386"/>
      <c r="SJJ386"/>
      <c r="SJK386"/>
      <c r="SJL386"/>
      <c r="SJM386"/>
      <c r="SJN386"/>
      <c r="SJO386"/>
      <c r="SJP386"/>
      <c r="SJQ386"/>
      <c r="SJR386"/>
      <c r="SJS386"/>
      <c r="SJT386"/>
      <c r="SJU386"/>
      <c r="SJV386"/>
      <c r="SJW386"/>
      <c r="SJX386"/>
      <c r="SJY386"/>
      <c r="SJZ386"/>
      <c r="SKA386"/>
      <c r="SKB386"/>
      <c r="SKC386"/>
      <c r="SKD386"/>
      <c r="SKE386"/>
      <c r="SKF386"/>
      <c r="SKG386"/>
      <c r="SKH386"/>
      <c r="SKI386"/>
      <c r="SKJ386"/>
      <c r="SKK386"/>
      <c r="SKL386"/>
      <c r="SKM386"/>
      <c r="SKN386"/>
      <c r="SKO386"/>
      <c r="SKP386"/>
      <c r="SKQ386"/>
      <c r="SKR386"/>
      <c r="SKS386"/>
      <c r="SKT386"/>
      <c r="SKU386"/>
      <c r="SKV386"/>
      <c r="SKW386"/>
      <c r="SKX386"/>
      <c r="SKY386"/>
      <c r="SKZ386"/>
      <c r="SLA386"/>
      <c r="SLB386"/>
      <c r="SLC386"/>
      <c r="SLD386"/>
      <c r="SLE386"/>
      <c r="SLF386"/>
      <c r="SLG386"/>
      <c r="SLH386"/>
      <c r="SLI386"/>
      <c r="SLJ386"/>
      <c r="SLK386"/>
      <c r="SLL386"/>
      <c r="SLM386"/>
      <c r="SLN386"/>
      <c r="SLO386"/>
      <c r="SLP386"/>
      <c r="SLQ386"/>
      <c r="SLR386"/>
      <c r="SLS386"/>
      <c r="SLT386"/>
      <c r="SLU386"/>
      <c r="SLV386"/>
      <c r="SLW386"/>
      <c r="SLX386"/>
      <c r="SLY386"/>
      <c r="SLZ386"/>
      <c r="SMA386"/>
      <c r="SMB386"/>
      <c r="SMC386"/>
      <c r="SMD386"/>
      <c r="SME386"/>
      <c r="SMF386"/>
      <c r="SMG386"/>
      <c r="SMH386"/>
      <c r="SMI386"/>
      <c r="SMJ386"/>
      <c r="SMK386"/>
      <c r="SML386"/>
      <c r="SMM386"/>
      <c r="SMN386"/>
      <c r="SMO386"/>
      <c r="SMP386"/>
      <c r="SMQ386"/>
      <c r="SMR386"/>
      <c r="SMS386"/>
      <c r="SMT386"/>
      <c r="SMU386"/>
      <c r="SMV386"/>
      <c r="SMW386"/>
      <c r="SMX386"/>
      <c r="SMY386"/>
      <c r="SMZ386"/>
      <c r="SNA386"/>
      <c r="SNB386"/>
      <c r="SNC386"/>
      <c r="SND386"/>
      <c r="SNE386"/>
      <c r="SNF386"/>
      <c r="SNG386"/>
      <c r="SNH386"/>
      <c r="SNI386"/>
      <c r="SNJ386"/>
      <c r="SNK386"/>
      <c r="SNL386"/>
      <c r="SNM386"/>
      <c r="SNN386"/>
      <c r="SNO386"/>
      <c r="SNP386"/>
      <c r="SNQ386"/>
      <c r="SNR386"/>
      <c r="SNS386"/>
      <c r="SNT386"/>
      <c r="SNU386"/>
      <c r="SNV386"/>
      <c r="SNW386"/>
      <c r="SNX386"/>
      <c r="SNY386"/>
      <c r="SNZ386"/>
      <c r="SOA386"/>
      <c r="SOB386"/>
      <c r="SOC386"/>
      <c r="SOD386"/>
      <c r="SOE386"/>
      <c r="SOF386"/>
      <c r="SOG386"/>
      <c r="SOH386"/>
      <c r="SOI386"/>
      <c r="SOJ386"/>
      <c r="SOK386"/>
      <c r="SOL386"/>
      <c r="SOM386"/>
      <c r="SON386"/>
      <c r="SOO386"/>
      <c r="SOP386"/>
      <c r="SOQ386"/>
      <c r="SOR386"/>
      <c r="SOS386"/>
      <c r="SOT386"/>
      <c r="SOU386"/>
      <c r="SOV386"/>
      <c r="SOW386"/>
      <c r="SOX386"/>
      <c r="SOY386"/>
      <c r="SOZ386"/>
      <c r="SPA386"/>
      <c r="SPB386"/>
      <c r="SPC386"/>
      <c r="SPD386"/>
      <c r="SPE386"/>
      <c r="SPF386"/>
      <c r="SPG386"/>
      <c r="SPH386"/>
      <c r="SPI386"/>
      <c r="SPJ386"/>
      <c r="SPK386"/>
      <c r="SPL386"/>
      <c r="SPM386"/>
      <c r="SPN386"/>
      <c r="SPO386"/>
      <c r="SPP386"/>
      <c r="SPQ386"/>
      <c r="SPR386"/>
      <c r="SPS386"/>
      <c r="SPT386"/>
      <c r="SPU386"/>
      <c r="SPV386"/>
      <c r="SPW386"/>
      <c r="SPX386"/>
      <c r="SPY386"/>
      <c r="SPZ386"/>
      <c r="SQA386"/>
      <c r="SQB386"/>
      <c r="SQC386"/>
      <c r="SQD386"/>
      <c r="SQE386"/>
      <c r="SQF386"/>
      <c r="SQG386"/>
      <c r="SQH386"/>
      <c r="SQI386"/>
      <c r="SQJ386"/>
      <c r="SQK386"/>
      <c r="SQL386"/>
      <c r="SQM386"/>
      <c r="SQN386"/>
      <c r="SQO386"/>
      <c r="SQP386"/>
      <c r="SQQ386"/>
      <c r="SQR386"/>
      <c r="SQS386"/>
      <c r="SQT386"/>
      <c r="SQU386"/>
      <c r="SQV386"/>
      <c r="SQW386"/>
      <c r="SQX386"/>
      <c r="SQY386"/>
      <c r="SQZ386"/>
      <c r="SRA386"/>
      <c r="SRB386"/>
      <c r="SRC386"/>
      <c r="SRD386"/>
      <c r="SRE386"/>
      <c r="SRF386"/>
      <c r="SRG386"/>
      <c r="SRH386"/>
      <c r="SRI386"/>
      <c r="SRJ386"/>
      <c r="SRK386"/>
      <c r="SRL386"/>
      <c r="SRM386"/>
      <c r="SRN386"/>
      <c r="SRO386"/>
      <c r="SRP386"/>
      <c r="SRQ386"/>
      <c r="SRR386"/>
      <c r="SRS386"/>
      <c r="SRT386"/>
      <c r="SRU386"/>
      <c r="SRV386"/>
      <c r="SRW386"/>
      <c r="SRX386"/>
      <c r="SRY386"/>
      <c r="SRZ386"/>
      <c r="SSA386"/>
      <c r="SSB386"/>
      <c r="SSC386"/>
      <c r="SSD386"/>
      <c r="SSE386"/>
      <c r="SSF386"/>
      <c r="SSG386"/>
      <c r="SSH386"/>
      <c r="SSI386"/>
      <c r="SSJ386"/>
      <c r="SSK386"/>
      <c r="SSL386"/>
      <c r="SSM386"/>
      <c r="SSN386"/>
      <c r="SSO386"/>
      <c r="SSP386"/>
      <c r="SSQ386"/>
      <c r="SSR386"/>
      <c r="SSS386"/>
      <c r="SST386"/>
      <c r="SSU386"/>
      <c r="SSV386"/>
      <c r="SSW386"/>
      <c r="SSX386"/>
      <c r="SSY386"/>
      <c r="SSZ386"/>
      <c r="STA386"/>
      <c r="STB386"/>
      <c r="STC386"/>
      <c r="STD386"/>
      <c r="STE386"/>
      <c r="STF386"/>
      <c r="STG386"/>
      <c r="STH386"/>
      <c r="STI386"/>
      <c r="STJ386"/>
      <c r="STK386"/>
      <c r="STL386"/>
      <c r="STM386"/>
      <c r="STN386"/>
      <c r="STO386"/>
      <c r="STP386"/>
      <c r="STQ386"/>
      <c r="STR386"/>
      <c r="STS386"/>
      <c r="STT386"/>
      <c r="STU386"/>
      <c r="STV386"/>
      <c r="STW386"/>
      <c r="STX386"/>
      <c r="STY386"/>
      <c r="STZ386"/>
      <c r="SUA386"/>
      <c r="SUB386"/>
      <c r="SUC386"/>
      <c r="SUD386"/>
      <c r="SUE386"/>
      <c r="SUF386"/>
      <c r="SUG386"/>
      <c r="SUH386"/>
      <c r="SUI386"/>
      <c r="SUJ386"/>
      <c r="SUK386"/>
      <c r="SUL386"/>
      <c r="SUM386"/>
      <c r="SUN386"/>
      <c r="SUO386"/>
      <c r="SUP386"/>
      <c r="SUQ386"/>
      <c r="SUR386"/>
      <c r="SUS386"/>
      <c r="SUT386"/>
      <c r="SUU386"/>
      <c r="SUV386"/>
      <c r="SUW386"/>
      <c r="SUX386"/>
      <c r="SUY386"/>
      <c r="SUZ386"/>
      <c r="SVA386"/>
      <c r="SVB386"/>
      <c r="SVC386"/>
      <c r="SVD386"/>
      <c r="SVE386"/>
      <c r="SVF386"/>
      <c r="SVG386"/>
      <c r="SVH386"/>
      <c r="SVI386"/>
      <c r="SVJ386"/>
      <c r="SVK386"/>
      <c r="SVL386"/>
      <c r="SVM386"/>
      <c r="SVN386"/>
      <c r="SVO386"/>
      <c r="SVP386"/>
      <c r="SVQ386"/>
      <c r="SVR386"/>
      <c r="SVS386"/>
      <c r="SVT386"/>
      <c r="SVU386"/>
      <c r="SVV386"/>
      <c r="SVW386"/>
      <c r="SVX386"/>
      <c r="SVY386"/>
      <c r="SVZ386"/>
      <c r="SWA386"/>
      <c r="SWB386"/>
      <c r="SWC386"/>
      <c r="SWD386"/>
      <c r="SWE386"/>
      <c r="SWF386"/>
      <c r="SWG386"/>
      <c r="SWH386"/>
      <c r="SWI386"/>
      <c r="SWJ386"/>
      <c r="SWK386"/>
      <c r="SWL386"/>
      <c r="SWM386"/>
      <c r="SWN386"/>
      <c r="SWO386"/>
      <c r="SWP386"/>
      <c r="SWQ386"/>
      <c r="SWR386"/>
      <c r="SWS386"/>
      <c r="SWT386"/>
      <c r="SWU386"/>
      <c r="SWV386"/>
      <c r="SWW386"/>
      <c r="SWX386"/>
      <c r="SWY386"/>
      <c r="SWZ386"/>
      <c r="SXA386"/>
      <c r="SXB386"/>
      <c r="SXC386"/>
      <c r="SXD386"/>
      <c r="SXE386"/>
      <c r="SXF386"/>
      <c r="SXG386"/>
      <c r="SXH386"/>
      <c r="SXI386"/>
      <c r="SXJ386"/>
      <c r="SXK386"/>
      <c r="SXL386"/>
      <c r="SXM386"/>
      <c r="SXN386"/>
      <c r="SXO386"/>
      <c r="SXP386"/>
      <c r="SXQ386"/>
      <c r="SXR386"/>
      <c r="SXS386"/>
      <c r="SXT386"/>
      <c r="SXU386"/>
      <c r="SXV386"/>
      <c r="SXW386"/>
      <c r="SXX386"/>
      <c r="SXY386"/>
      <c r="SXZ386"/>
      <c r="SYA386"/>
      <c r="SYB386"/>
      <c r="SYC386"/>
      <c r="SYD386"/>
      <c r="SYE386"/>
      <c r="SYF386"/>
      <c r="SYG386"/>
      <c r="SYH386"/>
      <c r="SYI386"/>
      <c r="SYJ386"/>
      <c r="SYK386"/>
      <c r="SYL386"/>
      <c r="SYM386"/>
      <c r="SYN386"/>
      <c r="SYO386"/>
      <c r="SYP386"/>
      <c r="SYQ386"/>
      <c r="SYR386"/>
      <c r="SYS386"/>
      <c r="SYT386"/>
      <c r="SYU386"/>
      <c r="SYV386"/>
      <c r="SYW386"/>
      <c r="SYX386"/>
      <c r="SYY386"/>
      <c r="SYZ386"/>
      <c r="SZA386"/>
      <c r="SZB386"/>
      <c r="SZC386"/>
      <c r="SZD386"/>
      <c r="SZE386"/>
      <c r="SZF386"/>
      <c r="SZG386"/>
      <c r="SZH386"/>
      <c r="SZI386"/>
      <c r="SZJ386"/>
      <c r="SZK386"/>
      <c r="SZL386"/>
      <c r="SZM386"/>
      <c r="SZN386"/>
      <c r="SZO386"/>
      <c r="SZP386"/>
      <c r="SZQ386"/>
      <c r="SZR386"/>
      <c r="SZS386"/>
      <c r="SZT386"/>
      <c r="SZU386"/>
      <c r="SZV386"/>
      <c r="SZW386"/>
      <c r="SZX386"/>
      <c r="SZY386"/>
      <c r="SZZ386"/>
      <c r="TAA386"/>
      <c r="TAB386"/>
      <c r="TAC386"/>
      <c r="TAD386"/>
      <c r="TAE386"/>
      <c r="TAF386"/>
      <c r="TAG386"/>
      <c r="TAH386"/>
      <c r="TAI386"/>
      <c r="TAJ386"/>
      <c r="TAK386"/>
      <c r="TAL386"/>
      <c r="TAM386"/>
      <c r="TAN386"/>
      <c r="TAO386"/>
      <c r="TAP386"/>
      <c r="TAQ386"/>
      <c r="TAR386"/>
      <c r="TAS386"/>
      <c r="TAT386"/>
      <c r="TAU386"/>
      <c r="TAV386"/>
      <c r="TAW386"/>
      <c r="TAX386"/>
      <c r="TAY386"/>
      <c r="TAZ386"/>
      <c r="TBA386"/>
      <c r="TBB386"/>
      <c r="TBC386"/>
      <c r="TBD386"/>
      <c r="TBE386"/>
      <c r="TBF386"/>
      <c r="TBG386"/>
      <c r="TBH386"/>
      <c r="TBI386"/>
      <c r="TBJ386"/>
      <c r="TBK386"/>
      <c r="TBL386"/>
      <c r="TBM386"/>
      <c r="TBN386"/>
      <c r="TBO386"/>
      <c r="TBP386"/>
      <c r="TBQ386"/>
      <c r="TBR386"/>
      <c r="TBS386"/>
      <c r="TBT386"/>
      <c r="TBU386"/>
      <c r="TBV386"/>
      <c r="TBW386"/>
      <c r="TBX386"/>
      <c r="TBY386"/>
      <c r="TBZ386"/>
      <c r="TCA386"/>
      <c r="TCB386"/>
      <c r="TCC386"/>
      <c r="TCD386"/>
      <c r="TCE386"/>
      <c r="TCF386"/>
      <c r="TCG386"/>
      <c r="TCH386"/>
      <c r="TCI386"/>
      <c r="TCJ386"/>
      <c r="TCK386"/>
      <c r="TCL386"/>
      <c r="TCM386"/>
      <c r="TCN386"/>
      <c r="TCO386"/>
      <c r="TCP386"/>
      <c r="TCQ386"/>
      <c r="TCR386"/>
      <c r="TCS386"/>
      <c r="TCT386"/>
      <c r="TCU386"/>
      <c r="TCV386"/>
      <c r="TCW386"/>
      <c r="TCX386"/>
      <c r="TCY386"/>
      <c r="TCZ386"/>
      <c r="TDA386"/>
      <c r="TDB386"/>
      <c r="TDC386"/>
      <c r="TDD386"/>
      <c r="TDE386"/>
      <c r="TDF386"/>
      <c r="TDG386"/>
      <c r="TDH386"/>
      <c r="TDI386"/>
      <c r="TDJ386"/>
      <c r="TDK386"/>
      <c r="TDL386"/>
      <c r="TDM386"/>
      <c r="TDN386"/>
      <c r="TDO386"/>
      <c r="TDP386"/>
      <c r="TDQ386"/>
      <c r="TDR386"/>
      <c r="TDS386"/>
      <c r="TDT386"/>
      <c r="TDU386"/>
      <c r="TDV386"/>
      <c r="TDW386"/>
      <c r="TDX386"/>
      <c r="TDY386"/>
      <c r="TDZ386"/>
      <c r="TEA386"/>
      <c r="TEB386"/>
      <c r="TEC386"/>
      <c r="TED386"/>
      <c r="TEE386"/>
      <c r="TEF386"/>
      <c r="TEG386"/>
      <c r="TEH386"/>
      <c r="TEI386"/>
      <c r="TEJ386"/>
      <c r="TEK386"/>
      <c r="TEL386"/>
      <c r="TEM386"/>
      <c r="TEN386"/>
      <c r="TEO386"/>
      <c r="TEP386"/>
      <c r="TEQ386"/>
      <c r="TER386"/>
      <c r="TES386"/>
      <c r="TET386"/>
      <c r="TEU386"/>
      <c r="TEV386"/>
      <c r="TEW386"/>
      <c r="TEX386"/>
      <c r="TEY386"/>
      <c r="TEZ386"/>
      <c r="TFA386"/>
      <c r="TFB386"/>
      <c r="TFC386"/>
      <c r="TFD386"/>
      <c r="TFE386"/>
      <c r="TFF386"/>
      <c r="TFG386"/>
      <c r="TFH386"/>
      <c r="TFI386"/>
      <c r="TFJ386"/>
      <c r="TFK386"/>
      <c r="TFL386"/>
      <c r="TFM386"/>
      <c r="TFN386"/>
      <c r="TFO386"/>
      <c r="TFP386"/>
      <c r="TFQ386"/>
      <c r="TFR386"/>
      <c r="TFS386"/>
      <c r="TFT386"/>
      <c r="TFU386"/>
      <c r="TFV386"/>
      <c r="TFW386"/>
      <c r="TFX386"/>
      <c r="TFY386"/>
      <c r="TFZ386"/>
      <c r="TGA386"/>
      <c r="TGB386"/>
      <c r="TGC386"/>
      <c r="TGD386"/>
      <c r="TGE386"/>
      <c r="TGF386"/>
      <c r="TGG386"/>
      <c r="TGH386"/>
      <c r="TGI386"/>
      <c r="TGJ386"/>
      <c r="TGK386"/>
      <c r="TGL386"/>
      <c r="TGM386"/>
      <c r="TGN386"/>
      <c r="TGO386"/>
      <c r="TGP386"/>
      <c r="TGQ386"/>
      <c r="TGR386"/>
      <c r="TGS386"/>
      <c r="TGT386"/>
      <c r="TGU386"/>
      <c r="TGV386"/>
      <c r="TGW386"/>
      <c r="TGX386"/>
      <c r="TGY386"/>
      <c r="TGZ386"/>
      <c r="THA386"/>
      <c r="THB386"/>
      <c r="THC386"/>
      <c r="THD386"/>
      <c r="THE386"/>
      <c r="THF386"/>
      <c r="THG386"/>
      <c r="THH386"/>
      <c r="THI386"/>
      <c r="THJ386"/>
      <c r="THK386"/>
      <c r="THL386"/>
      <c r="THM386"/>
      <c r="THN386"/>
      <c r="THO386"/>
      <c r="THP386"/>
      <c r="THQ386"/>
      <c r="THR386"/>
      <c r="THS386"/>
      <c r="THT386"/>
      <c r="THU386"/>
      <c r="THV386"/>
      <c r="THW386"/>
      <c r="THX386"/>
      <c r="THY386"/>
      <c r="THZ386"/>
      <c r="TIA386"/>
      <c r="TIB386"/>
      <c r="TIC386"/>
      <c r="TID386"/>
      <c r="TIE386"/>
      <c r="TIF386"/>
      <c r="TIG386"/>
      <c r="TIH386"/>
      <c r="TII386"/>
      <c r="TIJ386"/>
      <c r="TIK386"/>
      <c r="TIL386"/>
      <c r="TIM386"/>
      <c r="TIN386"/>
      <c r="TIO386"/>
      <c r="TIP386"/>
      <c r="TIQ386"/>
      <c r="TIR386"/>
      <c r="TIS386"/>
      <c r="TIT386"/>
      <c r="TIU386"/>
      <c r="TIV386"/>
      <c r="TIW386"/>
      <c r="TIX386"/>
      <c r="TIY386"/>
      <c r="TIZ386"/>
      <c r="TJA386"/>
      <c r="TJB386"/>
      <c r="TJC386"/>
      <c r="TJD386"/>
      <c r="TJE386"/>
      <c r="TJF386"/>
      <c r="TJG386"/>
      <c r="TJH386"/>
      <c r="TJI386"/>
      <c r="TJJ386"/>
      <c r="TJK386"/>
      <c r="TJL386"/>
      <c r="TJM386"/>
      <c r="TJN386"/>
      <c r="TJO386"/>
      <c r="TJP386"/>
      <c r="TJQ386"/>
      <c r="TJR386"/>
      <c r="TJS386"/>
      <c r="TJT386"/>
      <c r="TJU386"/>
      <c r="TJV386"/>
      <c r="TJW386"/>
      <c r="TJX386"/>
      <c r="TJY386"/>
      <c r="TJZ386"/>
      <c r="TKA386"/>
      <c r="TKB386"/>
      <c r="TKC386"/>
      <c r="TKD386"/>
      <c r="TKE386"/>
      <c r="TKF386"/>
      <c r="TKG386"/>
      <c r="TKH386"/>
      <c r="TKI386"/>
      <c r="TKJ386"/>
      <c r="TKK386"/>
      <c r="TKL386"/>
      <c r="TKM386"/>
      <c r="TKN386"/>
      <c r="TKO386"/>
      <c r="TKP386"/>
      <c r="TKQ386"/>
      <c r="TKR386"/>
      <c r="TKS386"/>
      <c r="TKT386"/>
      <c r="TKU386"/>
      <c r="TKV386"/>
      <c r="TKW386"/>
      <c r="TKX386"/>
      <c r="TKY386"/>
      <c r="TKZ386"/>
      <c r="TLA386"/>
      <c r="TLB386"/>
      <c r="TLC386"/>
      <c r="TLD386"/>
      <c r="TLE386"/>
      <c r="TLF386"/>
      <c r="TLG386"/>
      <c r="TLH386"/>
      <c r="TLI386"/>
      <c r="TLJ386"/>
      <c r="TLK386"/>
      <c r="TLL386"/>
      <c r="TLM386"/>
      <c r="TLN386"/>
      <c r="TLO386"/>
      <c r="TLP386"/>
      <c r="TLQ386"/>
      <c r="TLR386"/>
      <c r="TLS386"/>
      <c r="TLT386"/>
      <c r="TLU386"/>
      <c r="TLV386"/>
      <c r="TLW386"/>
      <c r="TLX386"/>
      <c r="TLY386"/>
      <c r="TLZ386"/>
      <c r="TMA386"/>
      <c r="TMB386"/>
      <c r="TMC386"/>
      <c r="TMD386"/>
      <c r="TME386"/>
      <c r="TMF386"/>
      <c r="TMG386"/>
      <c r="TMH386"/>
      <c r="TMI386"/>
      <c r="TMJ386"/>
      <c r="TMK386"/>
      <c r="TML386"/>
      <c r="TMM386"/>
      <c r="TMN386"/>
      <c r="TMO386"/>
      <c r="TMP386"/>
      <c r="TMQ386"/>
      <c r="TMR386"/>
      <c r="TMS386"/>
      <c r="TMT386"/>
      <c r="TMU386"/>
      <c r="TMV386"/>
      <c r="TMW386"/>
      <c r="TMX386"/>
      <c r="TMY386"/>
      <c r="TMZ386"/>
      <c r="TNA386"/>
      <c r="TNB386"/>
      <c r="TNC386"/>
      <c r="TND386"/>
      <c r="TNE386"/>
      <c r="TNF386"/>
      <c r="TNG386"/>
      <c r="TNH386"/>
      <c r="TNI386"/>
      <c r="TNJ386"/>
      <c r="TNK386"/>
      <c r="TNL386"/>
      <c r="TNM386"/>
      <c r="TNN386"/>
      <c r="TNO386"/>
      <c r="TNP386"/>
      <c r="TNQ386"/>
      <c r="TNR386"/>
      <c r="TNS386"/>
      <c r="TNT386"/>
      <c r="TNU386"/>
      <c r="TNV386"/>
      <c r="TNW386"/>
      <c r="TNX386"/>
      <c r="TNY386"/>
      <c r="TNZ386"/>
      <c r="TOA386"/>
      <c r="TOB386"/>
      <c r="TOC386"/>
      <c r="TOD386"/>
      <c r="TOE386"/>
      <c r="TOF386"/>
      <c r="TOG386"/>
      <c r="TOH386"/>
      <c r="TOI386"/>
      <c r="TOJ386"/>
      <c r="TOK386"/>
      <c r="TOL386"/>
      <c r="TOM386"/>
      <c r="TON386"/>
      <c r="TOO386"/>
      <c r="TOP386"/>
      <c r="TOQ386"/>
      <c r="TOR386"/>
      <c r="TOS386"/>
      <c r="TOT386"/>
      <c r="TOU386"/>
      <c r="TOV386"/>
      <c r="TOW386"/>
      <c r="TOX386"/>
      <c r="TOY386"/>
      <c r="TOZ386"/>
      <c r="TPA386"/>
      <c r="TPB386"/>
      <c r="TPC386"/>
      <c r="TPD386"/>
      <c r="TPE386"/>
      <c r="TPF386"/>
      <c r="TPG386"/>
      <c r="TPH386"/>
      <c r="TPI386"/>
      <c r="TPJ386"/>
      <c r="TPK386"/>
      <c r="TPL386"/>
      <c r="TPM386"/>
      <c r="TPN386"/>
      <c r="TPO386"/>
      <c r="TPP386"/>
      <c r="TPQ386"/>
      <c r="TPR386"/>
      <c r="TPS386"/>
      <c r="TPT386"/>
      <c r="TPU386"/>
      <c r="TPV386"/>
      <c r="TPW386"/>
      <c r="TPX386"/>
      <c r="TPY386"/>
      <c r="TPZ386"/>
      <c r="TQA386"/>
      <c r="TQB386"/>
      <c r="TQC386"/>
      <c r="TQD386"/>
      <c r="TQE386"/>
      <c r="TQF386"/>
      <c r="TQG386"/>
      <c r="TQH386"/>
      <c r="TQI386"/>
      <c r="TQJ386"/>
      <c r="TQK386"/>
      <c r="TQL386"/>
      <c r="TQM386"/>
      <c r="TQN386"/>
      <c r="TQO386"/>
      <c r="TQP386"/>
      <c r="TQQ386"/>
      <c r="TQR386"/>
      <c r="TQS386"/>
      <c r="TQT386"/>
      <c r="TQU386"/>
      <c r="TQV386"/>
      <c r="TQW386"/>
      <c r="TQX386"/>
      <c r="TQY386"/>
      <c r="TQZ386"/>
      <c r="TRA386"/>
      <c r="TRB386"/>
      <c r="TRC386"/>
      <c r="TRD386"/>
      <c r="TRE386"/>
      <c r="TRF386"/>
      <c r="TRG386"/>
      <c r="TRH386"/>
      <c r="TRI386"/>
      <c r="TRJ386"/>
      <c r="TRK386"/>
      <c r="TRL386"/>
      <c r="TRM386"/>
      <c r="TRN386"/>
      <c r="TRO386"/>
      <c r="TRP386"/>
      <c r="TRQ386"/>
      <c r="TRR386"/>
      <c r="TRS386"/>
      <c r="TRT386"/>
      <c r="TRU386"/>
      <c r="TRV386"/>
      <c r="TRW386"/>
      <c r="TRX386"/>
      <c r="TRY386"/>
      <c r="TRZ386"/>
      <c r="TSA386"/>
      <c r="TSB386"/>
      <c r="TSC386"/>
      <c r="TSD386"/>
      <c r="TSE386"/>
      <c r="TSF386"/>
      <c r="TSG386"/>
      <c r="TSH386"/>
      <c r="TSI386"/>
      <c r="TSJ386"/>
      <c r="TSK386"/>
      <c r="TSL386"/>
      <c r="TSM386"/>
      <c r="TSN386"/>
      <c r="TSO386"/>
      <c r="TSP386"/>
      <c r="TSQ386"/>
      <c r="TSR386"/>
      <c r="TSS386"/>
      <c r="TST386"/>
      <c r="TSU386"/>
      <c r="TSV386"/>
      <c r="TSW386"/>
      <c r="TSX386"/>
      <c r="TSY386"/>
      <c r="TSZ386"/>
      <c r="TTA386"/>
      <c r="TTB386"/>
      <c r="TTC386"/>
      <c r="TTD386"/>
      <c r="TTE386"/>
      <c r="TTF386"/>
      <c r="TTG386"/>
      <c r="TTH386"/>
      <c r="TTI386"/>
      <c r="TTJ386"/>
      <c r="TTK386"/>
      <c r="TTL386"/>
      <c r="TTM386"/>
      <c r="TTN386"/>
      <c r="TTO386"/>
      <c r="TTP386"/>
      <c r="TTQ386"/>
      <c r="TTR386"/>
      <c r="TTS386"/>
      <c r="TTT386"/>
      <c r="TTU386"/>
      <c r="TTV386"/>
      <c r="TTW386"/>
      <c r="TTX386"/>
      <c r="TTY386"/>
      <c r="TTZ386"/>
      <c r="TUA386"/>
      <c r="TUB386"/>
      <c r="TUC386"/>
      <c r="TUD386"/>
      <c r="TUE386"/>
      <c r="TUF386"/>
      <c r="TUG386"/>
      <c r="TUH386"/>
      <c r="TUI386"/>
      <c r="TUJ386"/>
      <c r="TUK386"/>
      <c r="TUL386"/>
      <c r="TUM386"/>
      <c r="TUN386"/>
      <c r="TUO386"/>
      <c r="TUP386"/>
      <c r="TUQ386"/>
      <c r="TUR386"/>
      <c r="TUS386"/>
      <c r="TUT386"/>
      <c r="TUU386"/>
      <c r="TUV386"/>
      <c r="TUW386"/>
      <c r="TUX386"/>
      <c r="TUY386"/>
      <c r="TUZ386"/>
      <c r="TVA386"/>
      <c r="TVB386"/>
      <c r="TVC386"/>
      <c r="TVD386"/>
      <c r="TVE386"/>
      <c r="TVF386"/>
      <c r="TVG386"/>
      <c r="TVH386"/>
      <c r="TVI386"/>
      <c r="TVJ386"/>
      <c r="TVK386"/>
      <c r="TVL386"/>
      <c r="TVM386"/>
      <c r="TVN386"/>
      <c r="TVO386"/>
      <c r="TVP386"/>
      <c r="TVQ386"/>
      <c r="TVR386"/>
      <c r="TVS386"/>
      <c r="TVT386"/>
      <c r="TVU386"/>
      <c r="TVV386"/>
      <c r="TVW386"/>
      <c r="TVX386"/>
      <c r="TVY386"/>
      <c r="TVZ386"/>
      <c r="TWA386"/>
      <c r="TWB386"/>
      <c r="TWC386"/>
      <c r="TWD386"/>
      <c r="TWE386"/>
      <c r="TWF386"/>
      <c r="TWG386"/>
      <c r="TWH386"/>
      <c r="TWI386"/>
      <c r="TWJ386"/>
      <c r="TWK386"/>
      <c r="TWL386"/>
      <c r="TWM386"/>
      <c r="TWN386"/>
      <c r="TWO386"/>
      <c r="TWP386"/>
      <c r="TWQ386"/>
      <c r="TWR386"/>
      <c r="TWS386"/>
      <c r="TWT386"/>
      <c r="TWU386"/>
      <c r="TWV386"/>
      <c r="TWW386"/>
      <c r="TWX386"/>
      <c r="TWY386"/>
      <c r="TWZ386"/>
      <c r="TXA386"/>
      <c r="TXB386"/>
      <c r="TXC386"/>
      <c r="TXD386"/>
      <c r="TXE386"/>
      <c r="TXF386"/>
      <c r="TXG386"/>
      <c r="TXH386"/>
      <c r="TXI386"/>
      <c r="TXJ386"/>
      <c r="TXK386"/>
      <c r="TXL386"/>
      <c r="TXM386"/>
      <c r="TXN386"/>
      <c r="TXO386"/>
      <c r="TXP386"/>
      <c r="TXQ386"/>
      <c r="TXR386"/>
      <c r="TXS386"/>
      <c r="TXT386"/>
      <c r="TXU386"/>
      <c r="TXV386"/>
      <c r="TXW386"/>
      <c r="TXX386"/>
      <c r="TXY386"/>
      <c r="TXZ386"/>
      <c r="TYA386"/>
      <c r="TYB386"/>
      <c r="TYC386"/>
      <c r="TYD386"/>
      <c r="TYE386"/>
      <c r="TYF386"/>
      <c r="TYG386"/>
      <c r="TYH386"/>
      <c r="TYI386"/>
      <c r="TYJ386"/>
      <c r="TYK386"/>
      <c r="TYL386"/>
      <c r="TYM386"/>
      <c r="TYN386"/>
      <c r="TYO386"/>
      <c r="TYP386"/>
      <c r="TYQ386"/>
      <c r="TYR386"/>
      <c r="TYS386"/>
      <c r="TYT386"/>
      <c r="TYU386"/>
      <c r="TYV386"/>
      <c r="TYW386"/>
      <c r="TYX386"/>
      <c r="TYY386"/>
      <c r="TYZ386"/>
      <c r="TZA386"/>
      <c r="TZB386"/>
      <c r="TZC386"/>
      <c r="TZD386"/>
      <c r="TZE386"/>
      <c r="TZF386"/>
      <c r="TZG386"/>
      <c r="TZH386"/>
      <c r="TZI386"/>
      <c r="TZJ386"/>
      <c r="TZK386"/>
      <c r="TZL386"/>
      <c r="TZM386"/>
      <c r="TZN386"/>
      <c r="TZO386"/>
      <c r="TZP386"/>
      <c r="TZQ386"/>
      <c r="TZR386"/>
      <c r="TZS386"/>
      <c r="TZT386"/>
      <c r="TZU386"/>
      <c r="TZV386"/>
      <c r="TZW386"/>
      <c r="TZX386"/>
      <c r="TZY386"/>
      <c r="TZZ386"/>
      <c r="UAA386"/>
      <c r="UAB386"/>
      <c r="UAC386"/>
      <c r="UAD386"/>
      <c r="UAE386"/>
      <c r="UAF386"/>
      <c r="UAG386"/>
      <c r="UAH386"/>
      <c r="UAI386"/>
      <c r="UAJ386"/>
      <c r="UAK386"/>
      <c r="UAL386"/>
      <c r="UAM386"/>
      <c r="UAN386"/>
      <c r="UAO386"/>
      <c r="UAP386"/>
      <c r="UAQ386"/>
      <c r="UAR386"/>
      <c r="UAS386"/>
      <c r="UAT386"/>
      <c r="UAU386"/>
      <c r="UAV386"/>
      <c r="UAW386"/>
      <c r="UAX386"/>
      <c r="UAY386"/>
      <c r="UAZ386"/>
      <c r="UBA386"/>
      <c r="UBB386"/>
      <c r="UBC386"/>
      <c r="UBD386"/>
      <c r="UBE386"/>
      <c r="UBF386"/>
      <c r="UBG386"/>
      <c r="UBH386"/>
      <c r="UBI386"/>
      <c r="UBJ386"/>
      <c r="UBK386"/>
      <c r="UBL386"/>
      <c r="UBM386"/>
      <c r="UBN386"/>
      <c r="UBO386"/>
      <c r="UBP386"/>
      <c r="UBQ386"/>
      <c r="UBR386"/>
      <c r="UBS386"/>
      <c r="UBT386"/>
      <c r="UBU386"/>
      <c r="UBV386"/>
      <c r="UBW386"/>
      <c r="UBX386"/>
      <c r="UBY386"/>
      <c r="UBZ386"/>
      <c r="UCA386"/>
      <c r="UCB386"/>
      <c r="UCC386"/>
      <c r="UCD386"/>
      <c r="UCE386"/>
      <c r="UCF386"/>
      <c r="UCG386"/>
      <c r="UCH386"/>
      <c r="UCI386"/>
      <c r="UCJ386"/>
      <c r="UCK386"/>
      <c r="UCL386"/>
      <c r="UCM386"/>
      <c r="UCN386"/>
      <c r="UCO386"/>
      <c r="UCP386"/>
      <c r="UCQ386"/>
      <c r="UCR386"/>
      <c r="UCS386"/>
      <c r="UCT386"/>
      <c r="UCU386"/>
      <c r="UCV386"/>
      <c r="UCW386"/>
      <c r="UCX386"/>
      <c r="UCY386"/>
      <c r="UCZ386"/>
      <c r="UDA386"/>
      <c r="UDB386"/>
      <c r="UDC386"/>
      <c r="UDD386"/>
      <c r="UDE386"/>
      <c r="UDF386"/>
      <c r="UDG386"/>
      <c r="UDH386"/>
      <c r="UDI386"/>
      <c r="UDJ386"/>
      <c r="UDK386"/>
      <c r="UDL386"/>
      <c r="UDM386"/>
      <c r="UDN386"/>
      <c r="UDO386"/>
      <c r="UDP386"/>
      <c r="UDQ386"/>
      <c r="UDR386"/>
      <c r="UDS386"/>
      <c r="UDT386"/>
      <c r="UDU386"/>
      <c r="UDV386"/>
      <c r="UDW386"/>
      <c r="UDX386"/>
      <c r="UDY386"/>
      <c r="UDZ386"/>
      <c r="UEA386"/>
      <c r="UEB386"/>
      <c r="UEC386"/>
      <c r="UED386"/>
      <c r="UEE386"/>
      <c r="UEF386"/>
      <c r="UEG386"/>
      <c r="UEH386"/>
      <c r="UEI386"/>
      <c r="UEJ386"/>
      <c r="UEK386"/>
      <c r="UEL386"/>
      <c r="UEM386"/>
      <c r="UEN386"/>
      <c r="UEO386"/>
      <c r="UEP386"/>
      <c r="UEQ386"/>
      <c r="UER386"/>
      <c r="UES386"/>
      <c r="UET386"/>
      <c r="UEU386"/>
      <c r="UEV386"/>
      <c r="UEW386"/>
      <c r="UEX386"/>
      <c r="UEY386"/>
      <c r="UEZ386"/>
      <c r="UFA386"/>
      <c r="UFB386"/>
      <c r="UFC386"/>
      <c r="UFD386"/>
      <c r="UFE386"/>
      <c r="UFF386"/>
      <c r="UFG386"/>
      <c r="UFH386"/>
      <c r="UFI386"/>
      <c r="UFJ386"/>
      <c r="UFK386"/>
      <c r="UFL386"/>
      <c r="UFM386"/>
      <c r="UFN386"/>
      <c r="UFO386"/>
      <c r="UFP386"/>
      <c r="UFQ386"/>
      <c r="UFR386"/>
      <c r="UFS386"/>
      <c r="UFT386"/>
      <c r="UFU386"/>
      <c r="UFV386"/>
      <c r="UFW386"/>
      <c r="UFX386"/>
      <c r="UFY386"/>
      <c r="UFZ386"/>
      <c r="UGA386"/>
      <c r="UGB386"/>
      <c r="UGC386"/>
      <c r="UGD386"/>
      <c r="UGE386"/>
      <c r="UGF386"/>
      <c r="UGG386"/>
      <c r="UGH386"/>
      <c r="UGI386"/>
      <c r="UGJ386"/>
      <c r="UGK386"/>
      <c r="UGL386"/>
      <c r="UGM386"/>
      <c r="UGN386"/>
      <c r="UGO386"/>
      <c r="UGP386"/>
      <c r="UGQ386"/>
      <c r="UGR386"/>
      <c r="UGS386"/>
      <c r="UGT386"/>
      <c r="UGU386"/>
      <c r="UGV386"/>
      <c r="UGW386"/>
      <c r="UGX386"/>
      <c r="UGY386"/>
      <c r="UGZ386"/>
      <c r="UHA386"/>
      <c r="UHB386"/>
      <c r="UHC386"/>
      <c r="UHD386"/>
      <c r="UHE386"/>
      <c r="UHF386"/>
      <c r="UHG386"/>
      <c r="UHH386"/>
      <c r="UHI386"/>
      <c r="UHJ386"/>
      <c r="UHK386"/>
      <c r="UHL386"/>
      <c r="UHM386"/>
      <c r="UHN386"/>
      <c r="UHO386"/>
      <c r="UHP386"/>
      <c r="UHQ386"/>
      <c r="UHR386"/>
      <c r="UHS386"/>
      <c r="UHT386"/>
      <c r="UHU386"/>
      <c r="UHV386"/>
      <c r="UHW386"/>
      <c r="UHX386"/>
      <c r="UHY386"/>
      <c r="UHZ386"/>
      <c r="UIA386"/>
      <c r="UIB386"/>
      <c r="UIC386"/>
      <c r="UID386"/>
      <c r="UIE386"/>
      <c r="UIF386"/>
      <c r="UIG386"/>
      <c r="UIH386"/>
      <c r="UII386"/>
      <c r="UIJ386"/>
      <c r="UIK386"/>
      <c r="UIL386"/>
      <c r="UIM386"/>
      <c r="UIN386"/>
      <c r="UIO386"/>
      <c r="UIP386"/>
      <c r="UIQ386"/>
      <c r="UIR386"/>
      <c r="UIS386"/>
      <c r="UIT386"/>
      <c r="UIU386"/>
      <c r="UIV386"/>
      <c r="UIW386"/>
      <c r="UIX386"/>
      <c r="UIY386"/>
      <c r="UIZ386"/>
      <c r="UJA386"/>
      <c r="UJB386"/>
      <c r="UJC386"/>
      <c r="UJD386"/>
      <c r="UJE386"/>
      <c r="UJF386"/>
      <c r="UJG386"/>
      <c r="UJH386"/>
      <c r="UJI386"/>
      <c r="UJJ386"/>
      <c r="UJK386"/>
      <c r="UJL386"/>
      <c r="UJM386"/>
      <c r="UJN386"/>
      <c r="UJO386"/>
      <c r="UJP386"/>
      <c r="UJQ386"/>
      <c r="UJR386"/>
      <c r="UJS386"/>
      <c r="UJT386"/>
      <c r="UJU386"/>
      <c r="UJV386"/>
      <c r="UJW386"/>
      <c r="UJX386"/>
      <c r="UJY386"/>
      <c r="UJZ386"/>
      <c r="UKA386"/>
      <c r="UKB386"/>
      <c r="UKC386"/>
      <c r="UKD386"/>
      <c r="UKE386"/>
      <c r="UKF386"/>
      <c r="UKG386"/>
      <c r="UKH386"/>
      <c r="UKI386"/>
      <c r="UKJ386"/>
      <c r="UKK386"/>
      <c r="UKL386"/>
      <c r="UKM386"/>
      <c r="UKN386"/>
      <c r="UKO386"/>
      <c r="UKP386"/>
      <c r="UKQ386"/>
      <c r="UKR386"/>
      <c r="UKS386"/>
      <c r="UKT386"/>
      <c r="UKU386"/>
      <c r="UKV386"/>
      <c r="UKW386"/>
      <c r="UKX386"/>
      <c r="UKY386"/>
      <c r="UKZ386"/>
      <c r="ULA386"/>
      <c r="ULB386"/>
      <c r="ULC386"/>
      <c r="ULD386"/>
      <c r="ULE386"/>
      <c r="ULF386"/>
      <c r="ULG386"/>
      <c r="ULH386"/>
      <c r="ULI386"/>
      <c r="ULJ386"/>
      <c r="ULK386"/>
      <c r="ULL386"/>
      <c r="ULM386"/>
      <c r="ULN386"/>
      <c r="ULO386"/>
      <c r="ULP386"/>
      <c r="ULQ386"/>
      <c r="ULR386"/>
      <c r="ULS386"/>
      <c r="ULT386"/>
      <c r="ULU386"/>
      <c r="ULV386"/>
      <c r="ULW386"/>
      <c r="ULX386"/>
      <c r="ULY386"/>
      <c r="ULZ386"/>
      <c r="UMA386"/>
      <c r="UMB386"/>
      <c r="UMC386"/>
      <c r="UMD386"/>
      <c r="UME386"/>
      <c r="UMF386"/>
      <c r="UMG386"/>
      <c r="UMH386"/>
      <c r="UMI386"/>
      <c r="UMJ386"/>
      <c r="UMK386"/>
      <c r="UML386"/>
      <c r="UMM386"/>
      <c r="UMN386"/>
      <c r="UMO386"/>
      <c r="UMP386"/>
      <c r="UMQ386"/>
      <c r="UMR386"/>
      <c r="UMS386"/>
      <c r="UMT386"/>
      <c r="UMU386"/>
      <c r="UMV386"/>
      <c r="UMW386"/>
      <c r="UMX386"/>
      <c r="UMY386"/>
      <c r="UMZ386"/>
      <c r="UNA386"/>
      <c r="UNB386"/>
      <c r="UNC386"/>
      <c r="UND386"/>
      <c r="UNE386"/>
      <c r="UNF386"/>
      <c r="UNG386"/>
      <c r="UNH386"/>
      <c r="UNI386"/>
      <c r="UNJ386"/>
      <c r="UNK386"/>
      <c r="UNL386"/>
      <c r="UNM386"/>
      <c r="UNN386"/>
      <c r="UNO386"/>
      <c r="UNP386"/>
      <c r="UNQ386"/>
      <c r="UNR386"/>
      <c r="UNS386"/>
      <c r="UNT386"/>
      <c r="UNU386"/>
      <c r="UNV386"/>
      <c r="UNW386"/>
      <c r="UNX386"/>
      <c r="UNY386"/>
      <c r="UNZ386"/>
      <c r="UOA386"/>
      <c r="UOB386"/>
      <c r="UOC386"/>
      <c r="UOD386"/>
      <c r="UOE386"/>
      <c r="UOF386"/>
      <c r="UOG386"/>
      <c r="UOH386"/>
      <c r="UOI386"/>
      <c r="UOJ386"/>
      <c r="UOK386"/>
      <c r="UOL386"/>
      <c r="UOM386"/>
      <c r="UON386"/>
      <c r="UOO386"/>
      <c r="UOP386"/>
      <c r="UOQ386"/>
      <c r="UOR386"/>
      <c r="UOS386"/>
      <c r="UOT386"/>
      <c r="UOU386"/>
      <c r="UOV386"/>
      <c r="UOW386"/>
      <c r="UOX386"/>
      <c r="UOY386"/>
      <c r="UOZ386"/>
      <c r="UPA386"/>
      <c r="UPB386"/>
      <c r="UPC386"/>
      <c r="UPD386"/>
      <c r="UPE386"/>
      <c r="UPF386"/>
      <c r="UPG386"/>
      <c r="UPH386"/>
      <c r="UPI386"/>
      <c r="UPJ386"/>
      <c r="UPK386"/>
      <c r="UPL386"/>
      <c r="UPM386"/>
      <c r="UPN386"/>
      <c r="UPO386"/>
      <c r="UPP386"/>
      <c r="UPQ386"/>
      <c r="UPR386"/>
      <c r="UPS386"/>
      <c r="UPT386"/>
      <c r="UPU386"/>
      <c r="UPV386"/>
      <c r="UPW386"/>
      <c r="UPX386"/>
      <c r="UPY386"/>
      <c r="UPZ386"/>
      <c r="UQA386"/>
      <c r="UQB386"/>
      <c r="UQC386"/>
      <c r="UQD386"/>
      <c r="UQE386"/>
      <c r="UQF386"/>
      <c r="UQG386"/>
      <c r="UQH386"/>
      <c r="UQI386"/>
      <c r="UQJ386"/>
      <c r="UQK386"/>
      <c r="UQL386"/>
      <c r="UQM386"/>
      <c r="UQN386"/>
      <c r="UQO386"/>
      <c r="UQP386"/>
      <c r="UQQ386"/>
      <c r="UQR386"/>
      <c r="UQS386"/>
      <c r="UQT386"/>
      <c r="UQU386"/>
      <c r="UQV386"/>
      <c r="UQW386"/>
      <c r="UQX386"/>
      <c r="UQY386"/>
      <c r="UQZ386"/>
      <c r="URA386"/>
      <c r="URB386"/>
      <c r="URC386"/>
      <c r="URD386"/>
      <c r="URE386"/>
      <c r="URF386"/>
      <c r="URG386"/>
      <c r="URH386"/>
      <c r="URI386"/>
      <c r="URJ386"/>
      <c r="URK386"/>
      <c r="URL386"/>
      <c r="URM386"/>
      <c r="URN386"/>
      <c r="URO386"/>
      <c r="URP386"/>
      <c r="URQ386"/>
      <c r="URR386"/>
      <c r="URS386"/>
      <c r="URT386"/>
      <c r="URU386"/>
      <c r="URV386"/>
      <c r="URW386"/>
      <c r="URX386"/>
      <c r="URY386"/>
      <c r="URZ386"/>
      <c r="USA386"/>
      <c r="USB386"/>
      <c r="USC386"/>
      <c r="USD386"/>
      <c r="USE386"/>
      <c r="USF386"/>
      <c r="USG386"/>
      <c r="USH386"/>
      <c r="USI386"/>
      <c r="USJ386"/>
      <c r="USK386"/>
      <c r="USL386"/>
      <c r="USM386"/>
      <c r="USN386"/>
      <c r="USO386"/>
      <c r="USP386"/>
      <c r="USQ386"/>
      <c r="USR386"/>
      <c r="USS386"/>
      <c r="UST386"/>
      <c r="USU386"/>
      <c r="USV386"/>
      <c r="USW386"/>
      <c r="USX386"/>
      <c r="USY386"/>
      <c r="USZ386"/>
      <c r="UTA386"/>
      <c r="UTB386"/>
      <c r="UTC386"/>
      <c r="UTD386"/>
      <c r="UTE386"/>
      <c r="UTF386"/>
      <c r="UTG386"/>
      <c r="UTH386"/>
      <c r="UTI386"/>
      <c r="UTJ386"/>
      <c r="UTK386"/>
      <c r="UTL386"/>
      <c r="UTM386"/>
      <c r="UTN386"/>
      <c r="UTO386"/>
      <c r="UTP386"/>
      <c r="UTQ386"/>
      <c r="UTR386"/>
      <c r="UTS386"/>
      <c r="UTT386"/>
      <c r="UTU386"/>
      <c r="UTV386"/>
      <c r="UTW386"/>
      <c r="UTX386"/>
      <c r="UTY386"/>
      <c r="UTZ386"/>
      <c r="UUA386"/>
      <c r="UUB386"/>
      <c r="UUC386"/>
      <c r="UUD386"/>
      <c r="UUE386"/>
      <c r="UUF386"/>
      <c r="UUG386"/>
      <c r="UUH386"/>
      <c r="UUI386"/>
      <c r="UUJ386"/>
      <c r="UUK386"/>
      <c r="UUL386"/>
      <c r="UUM386"/>
      <c r="UUN386"/>
      <c r="UUO386"/>
      <c r="UUP386"/>
      <c r="UUQ386"/>
      <c r="UUR386"/>
      <c r="UUS386"/>
      <c r="UUT386"/>
      <c r="UUU386"/>
      <c r="UUV386"/>
      <c r="UUW386"/>
      <c r="UUX386"/>
      <c r="UUY386"/>
      <c r="UUZ386"/>
      <c r="UVA386"/>
      <c r="UVB386"/>
      <c r="UVC386"/>
      <c r="UVD386"/>
      <c r="UVE386"/>
      <c r="UVF386"/>
      <c r="UVG386"/>
      <c r="UVH386"/>
      <c r="UVI386"/>
      <c r="UVJ386"/>
      <c r="UVK386"/>
      <c r="UVL386"/>
      <c r="UVM386"/>
      <c r="UVN386"/>
      <c r="UVO386"/>
      <c r="UVP386"/>
      <c r="UVQ386"/>
      <c r="UVR386"/>
      <c r="UVS386"/>
      <c r="UVT386"/>
      <c r="UVU386"/>
      <c r="UVV386"/>
      <c r="UVW386"/>
      <c r="UVX386"/>
      <c r="UVY386"/>
      <c r="UVZ386"/>
      <c r="UWA386"/>
      <c r="UWB386"/>
      <c r="UWC386"/>
      <c r="UWD386"/>
      <c r="UWE386"/>
      <c r="UWF386"/>
      <c r="UWG386"/>
      <c r="UWH386"/>
      <c r="UWI386"/>
      <c r="UWJ386"/>
      <c r="UWK386"/>
      <c r="UWL386"/>
      <c r="UWM386"/>
      <c r="UWN386"/>
      <c r="UWO386"/>
      <c r="UWP386"/>
      <c r="UWQ386"/>
      <c r="UWR386"/>
      <c r="UWS386"/>
      <c r="UWT386"/>
      <c r="UWU386"/>
      <c r="UWV386"/>
      <c r="UWW386"/>
      <c r="UWX386"/>
      <c r="UWY386"/>
      <c r="UWZ386"/>
      <c r="UXA386"/>
      <c r="UXB386"/>
      <c r="UXC386"/>
      <c r="UXD386"/>
      <c r="UXE386"/>
      <c r="UXF386"/>
      <c r="UXG386"/>
      <c r="UXH386"/>
      <c r="UXI386"/>
      <c r="UXJ386"/>
      <c r="UXK386"/>
      <c r="UXL386"/>
      <c r="UXM386"/>
      <c r="UXN386"/>
      <c r="UXO386"/>
      <c r="UXP386"/>
      <c r="UXQ386"/>
      <c r="UXR386"/>
      <c r="UXS386"/>
      <c r="UXT386"/>
      <c r="UXU386"/>
      <c r="UXV386"/>
      <c r="UXW386"/>
      <c r="UXX386"/>
      <c r="UXY386"/>
      <c r="UXZ386"/>
      <c r="UYA386"/>
      <c r="UYB386"/>
      <c r="UYC386"/>
      <c r="UYD386"/>
      <c r="UYE386"/>
      <c r="UYF386"/>
      <c r="UYG386"/>
      <c r="UYH386"/>
      <c r="UYI386"/>
      <c r="UYJ386"/>
      <c r="UYK386"/>
      <c r="UYL386"/>
      <c r="UYM386"/>
      <c r="UYN386"/>
      <c r="UYO386"/>
      <c r="UYP386"/>
      <c r="UYQ386"/>
      <c r="UYR386"/>
      <c r="UYS386"/>
      <c r="UYT386"/>
      <c r="UYU386"/>
      <c r="UYV386"/>
      <c r="UYW386"/>
      <c r="UYX386"/>
      <c r="UYY386"/>
      <c r="UYZ386"/>
      <c r="UZA386"/>
      <c r="UZB386"/>
      <c r="UZC386"/>
      <c r="UZD386"/>
      <c r="UZE386"/>
      <c r="UZF386"/>
      <c r="UZG386"/>
      <c r="UZH386"/>
      <c r="UZI386"/>
      <c r="UZJ386"/>
      <c r="UZK386"/>
      <c r="UZL386"/>
      <c r="UZM386"/>
      <c r="UZN386"/>
      <c r="UZO386"/>
      <c r="UZP386"/>
      <c r="UZQ386"/>
      <c r="UZR386"/>
      <c r="UZS386"/>
      <c r="UZT386"/>
      <c r="UZU386"/>
      <c r="UZV386"/>
      <c r="UZW386"/>
      <c r="UZX386"/>
      <c r="UZY386"/>
      <c r="UZZ386"/>
      <c r="VAA386"/>
      <c r="VAB386"/>
      <c r="VAC386"/>
      <c r="VAD386"/>
      <c r="VAE386"/>
      <c r="VAF386"/>
      <c r="VAG386"/>
      <c r="VAH386"/>
      <c r="VAI386"/>
      <c r="VAJ386"/>
      <c r="VAK386"/>
      <c r="VAL386"/>
      <c r="VAM386"/>
      <c r="VAN386"/>
      <c r="VAO386"/>
      <c r="VAP386"/>
      <c r="VAQ386"/>
      <c r="VAR386"/>
      <c r="VAS386"/>
      <c r="VAT386"/>
      <c r="VAU386"/>
      <c r="VAV386"/>
      <c r="VAW386"/>
      <c r="VAX386"/>
      <c r="VAY386"/>
      <c r="VAZ386"/>
      <c r="VBA386"/>
      <c r="VBB386"/>
      <c r="VBC386"/>
      <c r="VBD386"/>
      <c r="VBE386"/>
      <c r="VBF386"/>
      <c r="VBG386"/>
      <c r="VBH386"/>
      <c r="VBI386"/>
      <c r="VBJ386"/>
      <c r="VBK386"/>
      <c r="VBL386"/>
      <c r="VBM386"/>
      <c r="VBN386"/>
      <c r="VBO386"/>
      <c r="VBP386"/>
      <c r="VBQ386"/>
      <c r="VBR386"/>
      <c r="VBS386"/>
      <c r="VBT386"/>
      <c r="VBU386"/>
      <c r="VBV386"/>
      <c r="VBW386"/>
      <c r="VBX386"/>
      <c r="VBY386"/>
      <c r="VBZ386"/>
      <c r="VCA386"/>
      <c r="VCB386"/>
      <c r="VCC386"/>
      <c r="VCD386"/>
      <c r="VCE386"/>
      <c r="VCF386"/>
      <c r="VCG386"/>
      <c r="VCH386"/>
      <c r="VCI386"/>
      <c r="VCJ386"/>
      <c r="VCK386"/>
      <c r="VCL386"/>
      <c r="VCM386"/>
      <c r="VCN386"/>
      <c r="VCO386"/>
      <c r="VCP386"/>
      <c r="VCQ386"/>
      <c r="VCR386"/>
      <c r="VCS386"/>
      <c r="VCT386"/>
      <c r="VCU386"/>
      <c r="VCV386"/>
      <c r="VCW386"/>
      <c r="VCX386"/>
      <c r="VCY386"/>
      <c r="VCZ386"/>
      <c r="VDA386"/>
      <c r="VDB386"/>
      <c r="VDC386"/>
      <c r="VDD386"/>
      <c r="VDE386"/>
      <c r="VDF386"/>
      <c r="VDG386"/>
      <c r="VDH386"/>
      <c r="VDI386"/>
      <c r="VDJ386"/>
      <c r="VDK386"/>
      <c r="VDL386"/>
      <c r="VDM386"/>
      <c r="VDN386"/>
      <c r="VDO386"/>
      <c r="VDP386"/>
      <c r="VDQ386"/>
      <c r="VDR386"/>
      <c r="VDS386"/>
      <c r="VDT386"/>
      <c r="VDU386"/>
      <c r="VDV386"/>
      <c r="VDW386"/>
      <c r="VDX386"/>
      <c r="VDY386"/>
      <c r="VDZ386"/>
      <c r="VEA386"/>
      <c r="VEB386"/>
      <c r="VEC386"/>
      <c r="VED386"/>
      <c r="VEE386"/>
      <c r="VEF386"/>
      <c r="VEG386"/>
      <c r="VEH386"/>
      <c r="VEI386"/>
      <c r="VEJ386"/>
      <c r="VEK386"/>
      <c r="VEL386"/>
      <c r="VEM386"/>
      <c r="VEN386"/>
      <c r="VEO386"/>
      <c r="VEP386"/>
      <c r="VEQ386"/>
      <c r="VER386"/>
      <c r="VES386"/>
      <c r="VET386"/>
      <c r="VEU386"/>
      <c r="VEV386"/>
      <c r="VEW386"/>
      <c r="VEX386"/>
      <c r="VEY386"/>
      <c r="VEZ386"/>
      <c r="VFA386"/>
      <c r="VFB386"/>
      <c r="VFC386"/>
      <c r="VFD386"/>
      <c r="VFE386"/>
      <c r="VFF386"/>
      <c r="VFG386"/>
      <c r="VFH386"/>
      <c r="VFI386"/>
      <c r="VFJ386"/>
      <c r="VFK386"/>
      <c r="VFL386"/>
      <c r="VFM386"/>
      <c r="VFN386"/>
      <c r="VFO386"/>
      <c r="VFP386"/>
      <c r="VFQ386"/>
      <c r="VFR386"/>
      <c r="VFS386"/>
      <c r="VFT386"/>
      <c r="VFU386"/>
      <c r="VFV386"/>
      <c r="VFW386"/>
      <c r="VFX386"/>
      <c r="VFY386"/>
      <c r="VFZ386"/>
      <c r="VGA386"/>
      <c r="VGB386"/>
      <c r="VGC386"/>
      <c r="VGD386"/>
      <c r="VGE386"/>
      <c r="VGF386"/>
      <c r="VGG386"/>
      <c r="VGH386"/>
      <c r="VGI386"/>
      <c r="VGJ386"/>
      <c r="VGK386"/>
      <c r="VGL386"/>
      <c r="VGM386"/>
      <c r="VGN386"/>
      <c r="VGO386"/>
      <c r="VGP386"/>
      <c r="VGQ386"/>
      <c r="VGR386"/>
      <c r="VGS386"/>
      <c r="VGT386"/>
      <c r="VGU386"/>
      <c r="VGV386"/>
      <c r="VGW386"/>
      <c r="VGX386"/>
      <c r="VGY386"/>
      <c r="VGZ386"/>
      <c r="VHA386"/>
      <c r="VHB386"/>
      <c r="VHC386"/>
      <c r="VHD386"/>
      <c r="VHE386"/>
      <c r="VHF386"/>
      <c r="VHG386"/>
      <c r="VHH386"/>
      <c r="VHI386"/>
      <c r="VHJ386"/>
      <c r="VHK386"/>
      <c r="VHL386"/>
      <c r="VHM386"/>
      <c r="VHN386"/>
      <c r="VHO386"/>
      <c r="VHP386"/>
      <c r="VHQ386"/>
      <c r="VHR386"/>
      <c r="VHS386"/>
      <c r="VHT386"/>
      <c r="VHU386"/>
      <c r="VHV386"/>
      <c r="VHW386"/>
      <c r="VHX386"/>
      <c r="VHY386"/>
      <c r="VHZ386"/>
      <c r="VIA386"/>
      <c r="VIB386"/>
      <c r="VIC386"/>
      <c r="VID386"/>
      <c r="VIE386"/>
      <c r="VIF386"/>
      <c r="VIG386"/>
      <c r="VIH386"/>
      <c r="VII386"/>
      <c r="VIJ386"/>
      <c r="VIK386"/>
      <c r="VIL386"/>
      <c r="VIM386"/>
      <c r="VIN386"/>
      <c r="VIO386"/>
      <c r="VIP386"/>
      <c r="VIQ386"/>
      <c r="VIR386"/>
      <c r="VIS386"/>
      <c r="VIT386"/>
      <c r="VIU386"/>
      <c r="VIV386"/>
      <c r="VIW386"/>
      <c r="VIX386"/>
      <c r="VIY386"/>
      <c r="VIZ386"/>
      <c r="VJA386"/>
      <c r="VJB386"/>
      <c r="VJC386"/>
      <c r="VJD386"/>
      <c r="VJE386"/>
      <c r="VJF386"/>
      <c r="VJG386"/>
      <c r="VJH386"/>
      <c r="VJI386"/>
      <c r="VJJ386"/>
      <c r="VJK386"/>
      <c r="VJL386"/>
      <c r="VJM386"/>
      <c r="VJN386"/>
      <c r="VJO386"/>
      <c r="VJP386"/>
      <c r="VJQ386"/>
      <c r="VJR386"/>
      <c r="VJS386"/>
      <c r="VJT386"/>
      <c r="VJU386"/>
      <c r="VJV386"/>
      <c r="VJW386"/>
      <c r="VJX386"/>
      <c r="VJY386"/>
      <c r="VJZ386"/>
      <c r="VKA386"/>
      <c r="VKB386"/>
      <c r="VKC386"/>
      <c r="VKD386"/>
      <c r="VKE386"/>
      <c r="VKF386"/>
      <c r="VKG386"/>
      <c r="VKH386"/>
      <c r="VKI386"/>
      <c r="VKJ386"/>
      <c r="VKK386"/>
      <c r="VKL386"/>
      <c r="VKM386"/>
      <c r="VKN386"/>
      <c r="VKO386"/>
      <c r="VKP386"/>
      <c r="VKQ386"/>
      <c r="VKR386"/>
      <c r="VKS386"/>
      <c r="VKT386"/>
      <c r="VKU386"/>
      <c r="VKV386"/>
      <c r="VKW386"/>
      <c r="VKX386"/>
      <c r="VKY386"/>
      <c r="VKZ386"/>
      <c r="VLA386"/>
      <c r="VLB386"/>
      <c r="VLC386"/>
      <c r="VLD386"/>
      <c r="VLE386"/>
      <c r="VLF386"/>
      <c r="VLG386"/>
      <c r="VLH386"/>
      <c r="VLI386"/>
      <c r="VLJ386"/>
      <c r="VLK386"/>
      <c r="VLL386"/>
      <c r="VLM386"/>
      <c r="VLN386"/>
      <c r="VLO386"/>
      <c r="VLP386"/>
      <c r="VLQ386"/>
      <c r="VLR386"/>
      <c r="VLS386"/>
      <c r="VLT386"/>
      <c r="VLU386"/>
      <c r="VLV386"/>
      <c r="VLW386"/>
      <c r="VLX386"/>
      <c r="VLY386"/>
      <c r="VLZ386"/>
      <c r="VMA386"/>
      <c r="VMB386"/>
      <c r="VMC386"/>
      <c r="VMD386"/>
      <c r="VME386"/>
      <c r="VMF386"/>
      <c r="VMG386"/>
      <c r="VMH386"/>
      <c r="VMI386"/>
      <c r="VMJ386"/>
      <c r="VMK386"/>
      <c r="VML386"/>
      <c r="VMM386"/>
      <c r="VMN386"/>
      <c r="VMO386"/>
      <c r="VMP386"/>
      <c r="VMQ386"/>
      <c r="VMR386"/>
      <c r="VMS386"/>
      <c r="VMT386"/>
      <c r="VMU386"/>
      <c r="VMV386"/>
      <c r="VMW386"/>
      <c r="VMX386"/>
      <c r="VMY386"/>
      <c r="VMZ386"/>
      <c r="VNA386"/>
      <c r="VNB386"/>
      <c r="VNC386"/>
      <c r="VND386"/>
      <c r="VNE386"/>
      <c r="VNF386"/>
      <c r="VNG386"/>
      <c r="VNH386"/>
      <c r="VNI386"/>
      <c r="VNJ386"/>
      <c r="VNK386"/>
      <c r="VNL386"/>
      <c r="VNM386"/>
      <c r="VNN386"/>
      <c r="VNO386"/>
      <c r="VNP386"/>
      <c r="VNQ386"/>
      <c r="VNR386"/>
      <c r="VNS386"/>
      <c r="VNT386"/>
      <c r="VNU386"/>
      <c r="VNV386"/>
      <c r="VNW386"/>
      <c r="VNX386"/>
      <c r="VNY386"/>
      <c r="VNZ386"/>
      <c r="VOA386"/>
      <c r="VOB386"/>
      <c r="VOC386"/>
      <c r="VOD386"/>
      <c r="VOE386"/>
      <c r="VOF386"/>
      <c r="VOG386"/>
      <c r="VOH386"/>
      <c r="VOI386"/>
      <c r="VOJ386"/>
      <c r="VOK386"/>
      <c r="VOL386"/>
      <c r="VOM386"/>
      <c r="VON386"/>
      <c r="VOO386"/>
      <c r="VOP386"/>
      <c r="VOQ386"/>
      <c r="VOR386"/>
      <c r="VOS386"/>
      <c r="VOT386"/>
      <c r="VOU386"/>
      <c r="VOV386"/>
      <c r="VOW386"/>
      <c r="VOX386"/>
      <c r="VOY386"/>
      <c r="VOZ386"/>
      <c r="VPA386"/>
      <c r="VPB386"/>
      <c r="VPC386"/>
      <c r="VPD386"/>
      <c r="VPE386"/>
      <c r="VPF386"/>
      <c r="VPG386"/>
      <c r="VPH386"/>
      <c r="VPI386"/>
      <c r="VPJ386"/>
      <c r="VPK386"/>
      <c r="VPL386"/>
      <c r="VPM386"/>
      <c r="VPN386"/>
      <c r="VPO386"/>
      <c r="VPP386"/>
      <c r="VPQ386"/>
      <c r="VPR386"/>
      <c r="VPS386"/>
      <c r="VPT386"/>
      <c r="VPU386"/>
      <c r="VPV386"/>
      <c r="VPW386"/>
      <c r="VPX386"/>
      <c r="VPY386"/>
      <c r="VPZ386"/>
      <c r="VQA386"/>
      <c r="VQB386"/>
      <c r="VQC386"/>
      <c r="VQD386"/>
      <c r="VQE386"/>
      <c r="VQF386"/>
      <c r="VQG386"/>
      <c r="VQH386"/>
      <c r="VQI386"/>
      <c r="VQJ386"/>
      <c r="VQK386"/>
      <c r="VQL386"/>
      <c r="VQM386"/>
      <c r="VQN386"/>
      <c r="VQO386"/>
      <c r="VQP386"/>
      <c r="VQQ386"/>
      <c r="VQR386"/>
      <c r="VQS386"/>
      <c r="VQT386"/>
      <c r="VQU386"/>
      <c r="VQV386"/>
      <c r="VQW386"/>
      <c r="VQX386"/>
      <c r="VQY386"/>
      <c r="VQZ386"/>
      <c r="VRA386"/>
      <c r="VRB386"/>
      <c r="VRC386"/>
      <c r="VRD386"/>
      <c r="VRE386"/>
      <c r="VRF386"/>
      <c r="VRG386"/>
      <c r="VRH386"/>
      <c r="VRI386"/>
      <c r="VRJ386"/>
      <c r="VRK386"/>
      <c r="VRL386"/>
      <c r="VRM386"/>
      <c r="VRN386"/>
      <c r="VRO386"/>
      <c r="VRP386"/>
      <c r="VRQ386"/>
      <c r="VRR386"/>
      <c r="VRS386"/>
      <c r="VRT386"/>
      <c r="VRU386"/>
      <c r="VRV386"/>
      <c r="VRW386"/>
      <c r="VRX386"/>
      <c r="VRY386"/>
      <c r="VRZ386"/>
      <c r="VSA386"/>
      <c r="VSB386"/>
      <c r="VSC386"/>
      <c r="VSD386"/>
      <c r="VSE386"/>
      <c r="VSF386"/>
      <c r="VSG386"/>
      <c r="VSH386"/>
      <c r="VSI386"/>
      <c r="VSJ386"/>
      <c r="VSK386"/>
      <c r="VSL386"/>
      <c r="VSM386"/>
      <c r="VSN386"/>
      <c r="VSO386"/>
      <c r="VSP386"/>
      <c r="VSQ386"/>
      <c r="VSR386"/>
      <c r="VSS386"/>
      <c r="VST386"/>
      <c r="VSU386"/>
      <c r="VSV386"/>
      <c r="VSW386"/>
      <c r="VSX386"/>
      <c r="VSY386"/>
      <c r="VSZ386"/>
      <c r="VTA386"/>
      <c r="VTB386"/>
      <c r="VTC386"/>
      <c r="VTD386"/>
      <c r="VTE386"/>
      <c r="VTF386"/>
      <c r="VTG386"/>
      <c r="VTH386"/>
      <c r="VTI386"/>
      <c r="VTJ386"/>
      <c r="VTK386"/>
      <c r="VTL386"/>
      <c r="VTM386"/>
      <c r="VTN386"/>
      <c r="VTO386"/>
      <c r="VTP386"/>
      <c r="VTQ386"/>
      <c r="VTR386"/>
      <c r="VTS386"/>
      <c r="VTT386"/>
      <c r="VTU386"/>
      <c r="VTV386"/>
      <c r="VTW386"/>
      <c r="VTX386"/>
      <c r="VTY386"/>
      <c r="VTZ386"/>
      <c r="VUA386"/>
      <c r="VUB386"/>
      <c r="VUC386"/>
      <c r="VUD386"/>
      <c r="VUE386"/>
      <c r="VUF386"/>
      <c r="VUG386"/>
      <c r="VUH386"/>
      <c r="VUI386"/>
      <c r="VUJ386"/>
      <c r="VUK386"/>
      <c r="VUL386"/>
      <c r="VUM386"/>
      <c r="VUN386"/>
      <c r="VUO386"/>
      <c r="VUP386"/>
      <c r="VUQ386"/>
      <c r="VUR386"/>
      <c r="VUS386"/>
      <c r="VUT386"/>
      <c r="VUU386"/>
      <c r="VUV386"/>
      <c r="VUW386"/>
      <c r="VUX386"/>
      <c r="VUY386"/>
      <c r="VUZ386"/>
      <c r="VVA386"/>
      <c r="VVB386"/>
      <c r="VVC386"/>
      <c r="VVD386"/>
      <c r="VVE386"/>
      <c r="VVF386"/>
      <c r="VVG386"/>
      <c r="VVH386"/>
      <c r="VVI386"/>
      <c r="VVJ386"/>
      <c r="VVK386"/>
      <c r="VVL386"/>
      <c r="VVM386"/>
      <c r="VVN386"/>
      <c r="VVO386"/>
      <c r="VVP386"/>
      <c r="VVQ386"/>
      <c r="VVR386"/>
      <c r="VVS386"/>
      <c r="VVT386"/>
      <c r="VVU386"/>
      <c r="VVV386"/>
      <c r="VVW386"/>
      <c r="VVX386"/>
      <c r="VVY386"/>
      <c r="VVZ386"/>
      <c r="VWA386"/>
      <c r="VWB386"/>
      <c r="VWC386"/>
      <c r="VWD386"/>
      <c r="VWE386"/>
      <c r="VWF386"/>
      <c r="VWG386"/>
      <c r="VWH386"/>
      <c r="VWI386"/>
      <c r="VWJ386"/>
      <c r="VWK386"/>
      <c r="VWL386"/>
      <c r="VWM386"/>
      <c r="VWN386"/>
      <c r="VWO386"/>
      <c r="VWP386"/>
      <c r="VWQ386"/>
      <c r="VWR386"/>
      <c r="VWS386"/>
      <c r="VWT386"/>
      <c r="VWU386"/>
      <c r="VWV386"/>
      <c r="VWW386"/>
      <c r="VWX386"/>
      <c r="VWY386"/>
      <c r="VWZ386"/>
      <c r="VXA386"/>
      <c r="VXB386"/>
      <c r="VXC386"/>
      <c r="VXD386"/>
      <c r="VXE386"/>
      <c r="VXF386"/>
      <c r="VXG386"/>
      <c r="VXH386"/>
      <c r="VXI386"/>
      <c r="VXJ386"/>
      <c r="VXK386"/>
      <c r="VXL386"/>
      <c r="VXM386"/>
      <c r="VXN386"/>
      <c r="VXO386"/>
      <c r="VXP386"/>
      <c r="VXQ386"/>
      <c r="VXR386"/>
      <c r="VXS386"/>
      <c r="VXT386"/>
      <c r="VXU386"/>
      <c r="VXV386"/>
      <c r="VXW386"/>
      <c r="VXX386"/>
      <c r="VXY386"/>
      <c r="VXZ386"/>
      <c r="VYA386"/>
      <c r="VYB386"/>
      <c r="VYC386"/>
      <c r="VYD386"/>
      <c r="VYE386"/>
      <c r="VYF386"/>
      <c r="VYG386"/>
      <c r="VYH386"/>
      <c r="VYI386"/>
      <c r="VYJ386"/>
      <c r="VYK386"/>
      <c r="VYL386"/>
      <c r="VYM386"/>
      <c r="VYN386"/>
      <c r="VYO386"/>
      <c r="VYP386"/>
      <c r="VYQ386"/>
      <c r="VYR386"/>
      <c r="VYS386"/>
      <c r="VYT386"/>
      <c r="VYU386"/>
      <c r="VYV386"/>
      <c r="VYW386"/>
      <c r="VYX386"/>
      <c r="VYY386"/>
      <c r="VYZ386"/>
      <c r="VZA386"/>
      <c r="VZB386"/>
      <c r="VZC386"/>
      <c r="VZD386"/>
      <c r="VZE386"/>
      <c r="VZF386"/>
      <c r="VZG386"/>
      <c r="VZH386"/>
      <c r="VZI386"/>
      <c r="VZJ386"/>
      <c r="VZK386"/>
      <c r="VZL386"/>
      <c r="VZM386"/>
      <c r="VZN386"/>
      <c r="VZO386"/>
      <c r="VZP386"/>
      <c r="VZQ386"/>
      <c r="VZR386"/>
      <c r="VZS386"/>
      <c r="VZT386"/>
      <c r="VZU386"/>
      <c r="VZV386"/>
      <c r="VZW386"/>
      <c r="VZX386"/>
      <c r="VZY386"/>
      <c r="VZZ386"/>
      <c r="WAA386"/>
      <c r="WAB386"/>
      <c r="WAC386"/>
      <c r="WAD386"/>
      <c r="WAE386"/>
      <c r="WAF386"/>
      <c r="WAG386"/>
      <c r="WAH386"/>
      <c r="WAI386"/>
      <c r="WAJ386"/>
      <c r="WAK386"/>
      <c r="WAL386"/>
      <c r="WAM386"/>
      <c r="WAN386"/>
      <c r="WAO386"/>
      <c r="WAP386"/>
      <c r="WAQ386"/>
      <c r="WAR386"/>
      <c r="WAS386"/>
      <c r="WAT386"/>
      <c r="WAU386"/>
      <c r="WAV386"/>
      <c r="WAW386"/>
      <c r="WAX386"/>
      <c r="WAY386"/>
      <c r="WAZ386"/>
      <c r="WBA386"/>
      <c r="WBB386"/>
      <c r="WBC386"/>
      <c r="WBD386"/>
      <c r="WBE386"/>
      <c r="WBF386"/>
      <c r="WBG386"/>
      <c r="WBH386"/>
      <c r="WBI386"/>
      <c r="WBJ386"/>
      <c r="WBK386"/>
      <c r="WBL386"/>
      <c r="WBM386"/>
      <c r="WBN386"/>
      <c r="WBO386"/>
      <c r="WBP386"/>
      <c r="WBQ386"/>
      <c r="WBR386"/>
      <c r="WBS386"/>
      <c r="WBT386"/>
      <c r="WBU386"/>
      <c r="WBV386"/>
      <c r="WBW386"/>
      <c r="WBX386"/>
      <c r="WBY386"/>
      <c r="WBZ386"/>
      <c r="WCA386"/>
      <c r="WCB386"/>
      <c r="WCC386"/>
      <c r="WCD386"/>
      <c r="WCE386"/>
      <c r="WCF386"/>
      <c r="WCG386"/>
      <c r="WCH386"/>
      <c r="WCI386"/>
      <c r="WCJ386"/>
      <c r="WCK386"/>
      <c r="WCL386"/>
      <c r="WCM386"/>
      <c r="WCN386"/>
      <c r="WCO386"/>
      <c r="WCP386"/>
      <c r="WCQ386"/>
      <c r="WCR386"/>
      <c r="WCS386"/>
      <c r="WCT386"/>
      <c r="WCU386"/>
      <c r="WCV386"/>
      <c r="WCW386"/>
      <c r="WCX386"/>
      <c r="WCY386"/>
      <c r="WCZ386"/>
      <c r="WDA386"/>
      <c r="WDB386"/>
      <c r="WDC386"/>
      <c r="WDD386"/>
      <c r="WDE386"/>
      <c r="WDF386"/>
      <c r="WDG386"/>
      <c r="WDH386"/>
      <c r="WDI386"/>
      <c r="WDJ386"/>
      <c r="WDK386"/>
      <c r="WDL386"/>
      <c r="WDM386"/>
      <c r="WDN386"/>
      <c r="WDO386"/>
      <c r="WDP386"/>
      <c r="WDQ386"/>
      <c r="WDR386"/>
      <c r="WDS386"/>
      <c r="WDT386"/>
      <c r="WDU386"/>
      <c r="WDV386"/>
      <c r="WDW386"/>
      <c r="WDX386"/>
      <c r="WDY386"/>
      <c r="WDZ386"/>
      <c r="WEA386"/>
      <c r="WEB386"/>
      <c r="WEC386"/>
      <c r="WED386"/>
      <c r="WEE386"/>
      <c r="WEF386"/>
      <c r="WEG386"/>
      <c r="WEH386"/>
      <c r="WEI386"/>
      <c r="WEJ386"/>
      <c r="WEK386"/>
      <c r="WEL386"/>
      <c r="WEM386"/>
      <c r="WEN386"/>
      <c r="WEO386"/>
      <c r="WEP386"/>
      <c r="WEQ386"/>
      <c r="WER386"/>
      <c r="WES386"/>
      <c r="WET386"/>
      <c r="WEU386"/>
      <c r="WEV386"/>
      <c r="WEW386"/>
      <c r="WEX386"/>
      <c r="WEY386"/>
      <c r="WEZ386"/>
      <c r="WFA386"/>
      <c r="WFB386"/>
      <c r="WFC386"/>
      <c r="WFD386"/>
      <c r="WFE386"/>
      <c r="WFF386"/>
      <c r="WFG386"/>
      <c r="WFH386"/>
      <c r="WFI386"/>
      <c r="WFJ386"/>
      <c r="WFK386"/>
      <c r="WFL386"/>
      <c r="WFM386"/>
      <c r="WFN386"/>
      <c r="WFO386"/>
      <c r="WFP386"/>
      <c r="WFQ386"/>
      <c r="WFR386"/>
      <c r="WFS386"/>
      <c r="WFT386"/>
      <c r="WFU386"/>
      <c r="WFV386"/>
      <c r="WFW386"/>
      <c r="WFX386"/>
      <c r="WFY386"/>
      <c r="WFZ386"/>
      <c r="WGA386"/>
      <c r="WGB386"/>
      <c r="WGC386"/>
      <c r="WGD386"/>
      <c r="WGE386"/>
      <c r="WGF386"/>
      <c r="WGG386"/>
      <c r="WGH386"/>
      <c r="WGI386"/>
      <c r="WGJ386"/>
      <c r="WGK386"/>
      <c r="WGL386"/>
      <c r="WGM386"/>
      <c r="WGN386"/>
      <c r="WGO386"/>
      <c r="WGP386"/>
      <c r="WGQ386"/>
      <c r="WGR386"/>
      <c r="WGS386"/>
      <c r="WGT386"/>
      <c r="WGU386"/>
      <c r="WGV386"/>
      <c r="WGW386"/>
      <c r="WGX386"/>
      <c r="WGY386"/>
      <c r="WGZ386"/>
      <c r="WHA386"/>
      <c r="WHB386"/>
      <c r="WHC386"/>
      <c r="WHD386"/>
      <c r="WHE386"/>
      <c r="WHF386"/>
      <c r="WHG386"/>
      <c r="WHH386"/>
      <c r="WHI386"/>
      <c r="WHJ386"/>
      <c r="WHK386"/>
      <c r="WHL386"/>
      <c r="WHM386"/>
      <c r="WHN386"/>
      <c r="WHO386"/>
      <c r="WHP386"/>
      <c r="WHQ386"/>
      <c r="WHR386"/>
      <c r="WHS386"/>
      <c r="WHT386"/>
      <c r="WHU386"/>
      <c r="WHV386"/>
      <c r="WHW386"/>
      <c r="WHX386"/>
      <c r="WHY386"/>
      <c r="WHZ386"/>
      <c r="WIA386"/>
      <c r="WIB386"/>
      <c r="WIC386"/>
      <c r="WID386"/>
      <c r="WIE386"/>
      <c r="WIF386"/>
      <c r="WIG386"/>
      <c r="WIH386"/>
      <c r="WII386"/>
      <c r="WIJ386"/>
      <c r="WIK386"/>
      <c r="WIL386"/>
      <c r="WIM386"/>
      <c r="WIN386"/>
      <c r="WIO386"/>
      <c r="WIP386"/>
      <c r="WIQ386"/>
      <c r="WIR386"/>
      <c r="WIS386"/>
      <c r="WIT386"/>
      <c r="WIU386"/>
      <c r="WIV386"/>
      <c r="WIW386"/>
      <c r="WIX386"/>
      <c r="WIY386"/>
      <c r="WIZ386"/>
      <c r="WJA386"/>
      <c r="WJB386"/>
      <c r="WJC386"/>
      <c r="WJD386"/>
      <c r="WJE386"/>
      <c r="WJF386"/>
      <c r="WJG386"/>
      <c r="WJH386"/>
      <c r="WJI386"/>
      <c r="WJJ386"/>
      <c r="WJK386"/>
      <c r="WJL386"/>
      <c r="WJM386"/>
      <c r="WJN386"/>
      <c r="WJO386"/>
      <c r="WJP386"/>
      <c r="WJQ386"/>
      <c r="WJR386"/>
      <c r="WJS386"/>
      <c r="WJT386"/>
      <c r="WJU386"/>
      <c r="WJV386"/>
      <c r="WJW386"/>
      <c r="WJX386"/>
      <c r="WJY386"/>
      <c r="WJZ386"/>
      <c r="WKA386"/>
      <c r="WKB386"/>
      <c r="WKC386"/>
      <c r="WKD386"/>
      <c r="WKE386"/>
      <c r="WKF386"/>
      <c r="WKG386"/>
      <c r="WKH386"/>
      <c r="WKI386"/>
      <c r="WKJ386"/>
      <c r="WKK386"/>
      <c r="WKL386"/>
      <c r="WKM386"/>
      <c r="WKN386"/>
      <c r="WKO386"/>
      <c r="WKP386"/>
      <c r="WKQ386"/>
      <c r="WKR386"/>
      <c r="WKS386"/>
      <c r="WKT386"/>
      <c r="WKU386"/>
      <c r="WKV386"/>
      <c r="WKW386"/>
      <c r="WKX386"/>
      <c r="WKY386"/>
      <c r="WKZ386"/>
      <c r="WLA386"/>
      <c r="WLB386"/>
      <c r="WLC386"/>
      <c r="WLD386"/>
      <c r="WLE386"/>
      <c r="WLF386"/>
      <c r="WLG386"/>
      <c r="WLH386"/>
      <c r="WLI386"/>
      <c r="WLJ386"/>
      <c r="WLK386"/>
      <c r="WLL386"/>
      <c r="WLM386"/>
      <c r="WLN386"/>
      <c r="WLO386"/>
      <c r="WLP386"/>
      <c r="WLQ386"/>
      <c r="WLR386"/>
      <c r="WLS386"/>
      <c r="WLT386"/>
      <c r="WLU386"/>
      <c r="WLV386"/>
      <c r="WLW386"/>
      <c r="WLX386"/>
      <c r="WLY386"/>
      <c r="WLZ386"/>
      <c r="WMA386"/>
      <c r="WMB386"/>
      <c r="WMC386"/>
      <c r="WMD386"/>
      <c r="WME386"/>
      <c r="WMF386"/>
      <c r="WMG386"/>
      <c r="WMH386"/>
      <c r="WMI386"/>
      <c r="WMJ386"/>
      <c r="WMK386"/>
      <c r="WML386"/>
      <c r="WMM386"/>
      <c r="WMN386"/>
      <c r="WMO386"/>
      <c r="WMP386"/>
      <c r="WMQ386"/>
      <c r="WMR386"/>
      <c r="WMS386"/>
      <c r="WMT386"/>
      <c r="WMU386"/>
      <c r="WMV386"/>
      <c r="WMW386"/>
      <c r="WMX386"/>
      <c r="WMY386"/>
      <c r="WMZ386"/>
      <c r="WNA386"/>
      <c r="WNB386"/>
      <c r="WNC386"/>
      <c r="WND386"/>
      <c r="WNE386"/>
      <c r="WNF386"/>
      <c r="WNG386"/>
      <c r="WNH386"/>
      <c r="WNI386"/>
      <c r="WNJ386"/>
      <c r="WNK386"/>
      <c r="WNL386"/>
      <c r="WNM386"/>
      <c r="WNN386"/>
      <c r="WNO386"/>
      <c r="WNP386"/>
      <c r="WNQ386"/>
      <c r="WNR386"/>
      <c r="WNS386"/>
      <c r="WNT386"/>
      <c r="WNU386"/>
      <c r="WNV386"/>
      <c r="WNW386"/>
      <c r="WNX386"/>
      <c r="WNY386"/>
      <c r="WNZ386"/>
      <c r="WOA386"/>
      <c r="WOB386"/>
      <c r="WOC386"/>
      <c r="WOD386"/>
      <c r="WOE386"/>
      <c r="WOF386"/>
      <c r="WOG386"/>
      <c r="WOH386"/>
      <c r="WOI386"/>
      <c r="WOJ386"/>
      <c r="WOK386"/>
      <c r="WOL386"/>
      <c r="WOM386"/>
      <c r="WON386"/>
      <c r="WOO386"/>
      <c r="WOP386"/>
      <c r="WOQ386"/>
      <c r="WOR386"/>
      <c r="WOS386"/>
      <c r="WOT386"/>
      <c r="WOU386"/>
      <c r="WOV386"/>
      <c r="WOW386"/>
      <c r="WOX386"/>
      <c r="WOY386"/>
      <c r="WOZ386"/>
      <c r="WPA386"/>
      <c r="WPB386"/>
      <c r="WPC386"/>
      <c r="WPD386"/>
      <c r="WPE386"/>
      <c r="WPF386"/>
      <c r="WPG386"/>
      <c r="WPH386"/>
      <c r="WPI386"/>
      <c r="WPJ386"/>
      <c r="WPK386"/>
      <c r="WPL386"/>
      <c r="WPM386"/>
      <c r="WPN386"/>
      <c r="WPO386"/>
      <c r="WPP386"/>
      <c r="WPQ386"/>
      <c r="WPR386"/>
      <c r="WPS386"/>
      <c r="WPT386"/>
      <c r="WPU386"/>
      <c r="WPV386"/>
      <c r="WPW386"/>
      <c r="WPX386"/>
      <c r="WPY386"/>
      <c r="WPZ386"/>
      <c r="WQA386"/>
      <c r="WQB386"/>
      <c r="WQC386"/>
      <c r="WQD386"/>
      <c r="WQE386"/>
      <c r="WQF386"/>
      <c r="WQG386"/>
      <c r="WQH386"/>
      <c r="WQI386"/>
      <c r="WQJ386"/>
      <c r="WQK386"/>
      <c r="WQL386"/>
      <c r="WQM386"/>
      <c r="WQN386"/>
      <c r="WQO386"/>
      <c r="WQP386"/>
      <c r="WQQ386"/>
      <c r="WQR386"/>
      <c r="WQS386"/>
      <c r="WQT386"/>
      <c r="WQU386"/>
      <c r="WQV386"/>
      <c r="WQW386"/>
      <c r="WQX386"/>
      <c r="WQY386"/>
      <c r="WQZ386"/>
      <c r="WRA386"/>
      <c r="WRB386"/>
      <c r="WRC386"/>
      <c r="WRD386"/>
      <c r="WRE386"/>
      <c r="WRF386"/>
      <c r="WRG386"/>
      <c r="WRH386"/>
      <c r="WRI386"/>
      <c r="WRJ386"/>
      <c r="WRK386"/>
      <c r="WRL386"/>
      <c r="WRM386"/>
      <c r="WRN386"/>
      <c r="WRO386"/>
      <c r="WRP386"/>
      <c r="WRQ386"/>
      <c r="WRR386"/>
      <c r="WRS386"/>
      <c r="WRT386"/>
      <c r="WRU386"/>
      <c r="WRV386"/>
      <c r="WRW386"/>
      <c r="WRX386"/>
      <c r="WRY386"/>
      <c r="WRZ386"/>
      <c r="WSA386"/>
      <c r="WSB386"/>
      <c r="WSC386"/>
      <c r="WSD386"/>
      <c r="WSE386"/>
      <c r="WSF386"/>
      <c r="WSG386"/>
      <c r="WSH386"/>
      <c r="WSI386"/>
      <c r="WSJ386"/>
      <c r="WSK386"/>
      <c r="WSL386"/>
      <c r="WSM386"/>
      <c r="WSN386"/>
      <c r="WSO386"/>
      <c r="WSP386"/>
      <c r="WSQ386"/>
      <c r="WSR386"/>
      <c r="WSS386"/>
      <c r="WST386"/>
      <c r="WSU386"/>
      <c r="WSV386"/>
      <c r="WSW386"/>
      <c r="WSX386"/>
      <c r="WSY386"/>
      <c r="WSZ386"/>
      <c r="WTA386"/>
      <c r="WTB386"/>
      <c r="WTC386"/>
      <c r="WTD386"/>
      <c r="WTE386"/>
      <c r="WTF386"/>
      <c r="WTG386"/>
      <c r="WTH386"/>
      <c r="WTI386"/>
      <c r="WTJ386"/>
      <c r="WTK386"/>
      <c r="WTL386"/>
      <c r="WTM386"/>
      <c r="WTN386"/>
      <c r="WTO386"/>
      <c r="WTP386"/>
      <c r="WTQ386"/>
      <c r="WTR386"/>
      <c r="WTS386"/>
      <c r="WTT386"/>
      <c r="WTU386"/>
      <c r="WTV386"/>
      <c r="WTW386"/>
      <c r="WTX386"/>
      <c r="WTY386"/>
      <c r="WTZ386"/>
      <c r="WUA386"/>
      <c r="WUB386"/>
      <c r="WUC386"/>
      <c r="WUD386"/>
      <c r="WUE386"/>
      <c r="WUF386"/>
      <c r="WUG386"/>
      <c r="WUH386"/>
      <c r="WUI386"/>
      <c r="WUJ386"/>
      <c r="WUK386"/>
      <c r="WUL386"/>
      <c r="WUM386"/>
      <c r="WUN386"/>
      <c r="WUO386"/>
      <c r="WUP386"/>
      <c r="WUQ386"/>
      <c r="WUR386"/>
      <c r="WUS386"/>
      <c r="WUT386"/>
      <c r="WUU386"/>
      <c r="WUV386"/>
      <c r="WUW386"/>
      <c r="WUX386"/>
      <c r="WUY386"/>
      <c r="WUZ386"/>
      <c r="WVA386"/>
      <c r="WVB386"/>
      <c r="WVC386"/>
      <c r="WVD386"/>
      <c r="WVE386"/>
      <c r="WVF386"/>
      <c r="WVG386"/>
      <c r="WVH386"/>
      <c r="WVI386"/>
      <c r="WVJ386"/>
      <c r="WVK386"/>
      <c r="WVL386"/>
      <c r="WVM386"/>
      <c r="WVN386"/>
      <c r="WVO386"/>
      <c r="WVP386"/>
      <c r="WVQ386"/>
      <c r="WVR386"/>
      <c r="WVS386"/>
      <c r="WVT386"/>
      <c r="WVU386"/>
      <c r="WVV386"/>
      <c r="WVW386"/>
      <c r="WVX386"/>
      <c r="WVY386"/>
      <c r="WVZ386"/>
      <c r="WWA386"/>
      <c r="WWB386"/>
      <c r="WWC386"/>
      <c r="WWD386"/>
      <c r="WWE386"/>
      <c r="WWF386"/>
      <c r="WWG386"/>
      <c r="WWH386"/>
      <c r="WWI386"/>
      <c r="WWJ386"/>
      <c r="WWK386"/>
      <c r="WWL386"/>
      <c r="WWM386"/>
      <c r="WWN386"/>
      <c r="WWO386"/>
      <c r="WWP386"/>
      <c r="WWQ386"/>
      <c r="WWR386"/>
      <c r="WWS386"/>
      <c r="WWT386"/>
      <c r="WWU386"/>
      <c r="WWV386"/>
      <c r="WWW386"/>
      <c r="WWX386"/>
      <c r="WWY386"/>
      <c r="WWZ386"/>
      <c r="WXA386"/>
      <c r="WXB386"/>
      <c r="WXC386"/>
      <c r="WXD386"/>
      <c r="WXE386"/>
      <c r="WXF386"/>
      <c r="WXG386"/>
      <c r="WXH386"/>
      <c r="WXI386"/>
      <c r="WXJ386"/>
      <c r="WXK386"/>
      <c r="WXL386"/>
      <c r="WXM386"/>
      <c r="WXN386"/>
      <c r="WXO386"/>
      <c r="WXP386"/>
      <c r="WXQ386"/>
      <c r="WXR386"/>
      <c r="WXS386"/>
      <c r="WXT386"/>
      <c r="WXU386"/>
      <c r="WXV386"/>
      <c r="WXW386"/>
      <c r="WXX386"/>
      <c r="WXY386"/>
      <c r="WXZ386"/>
      <c r="WYA386"/>
      <c r="WYB386"/>
      <c r="WYC386"/>
      <c r="WYD386"/>
      <c r="WYE386"/>
      <c r="WYF386"/>
      <c r="WYG386"/>
      <c r="WYH386"/>
      <c r="WYI386"/>
      <c r="WYJ386"/>
      <c r="WYK386"/>
      <c r="WYL386"/>
      <c r="WYM386"/>
      <c r="WYN386"/>
      <c r="WYO386"/>
      <c r="WYP386"/>
      <c r="WYQ386"/>
      <c r="WYR386"/>
      <c r="WYS386"/>
      <c r="WYT386"/>
      <c r="WYU386"/>
      <c r="WYV386"/>
      <c r="WYW386"/>
      <c r="WYX386"/>
      <c r="WYY386"/>
      <c r="WYZ386"/>
      <c r="WZA386"/>
      <c r="WZB386"/>
      <c r="WZC386"/>
      <c r="WZD386"/>
      <c r="WZE386"/>
      <c r="WZF386"/>
      <c r="WZG386"/>
      <c r="WZH386"/>
      <c r="WZI386"/>
      <c r="WZJ386"/>
      <c r="WZK386"/>
      <c r="WZL386"/>
      <c r="WZM386"/>
      <c r="WZN386"/>
      <c r="WZO386"/>
      <c r="WZP386"/>
      <c r="WZQ386"/>
      <c r="WZR386"/>
      <c r="WZS386"/>
      <c r="WZT386"/>
      <c r="WZU386"/>
      <c r="WZV386"/>
      <c r="WZW386"/>
      <c r="WZX386"/>
      <c r="WZY386"/>
      <c r="WZZ386"/>
      <c r="XAA386"/>
      <c r="XAB386"/>
      <c r="XAC386"/>
      <c r="XAD386"/>
      <c r="XAE386"/>
      <c r="XAF386"/>
      <c r="XAG386"/>
      <c r="XAH386"/>
      <c r="XAI386"/>
      <c r="XAJ386"/>
      <c r="XAK386"/>
      <c r="XAL386"/>
      <c r="XAM386"/>
      <c r="XAN386"/>
      <c r="XAO386"/>
      <c r="XAP386"/>
      <c r="XAQ386"/>
      <c r="XAR386"/>
      <c r="XAS386"/>
      <c r="XAT386"/>
      <c r="XAU386"/>
      <c r="XAV386"/>
      <c r="XAW386"/>
      <c r="XAX386"/>
      <c r="XAY386"/>
      <c r="XAZ386"/>
      <c r="XBA386"/>
      <c r="XBB386"/>
      <c r="XBC386"/>
      <c r="XBD386"/>
      <c r="XBE386"/>
      <c r="XBF386"/>
      <c r="XBG386"/>
      <c r="XBH386"/>
      <c r="XBI386"/>
      <c r="XBJ386"/>
      <c r="XBK386"/>
      <c r="XBL386"/>
      <c r="XBM386"/>
      <c r="XBN386"/>
      <c r="XBO386"/>
      <c r="XBP386"/>
      <c r="XBQ386"/>
      <c r="XBR386"/>
      <c r="XBS386"/>
      <c r="XBT386"/>
      <c r="XBU386"/>
      <c r="XBV386"/>
      <c r="XBW386"/>
      <c r="XBX386"/>
      <c r="XBY386"/>
      <c r="XBZ386"/>
      <c r="XCA386"/>
      <c r="XCB386"/>
      <c r="XCC386"/>
      <c r="XCD386"/>
      <c r="XCE386"/>
      <c r="XCF386"/>
      <c r="XCG386"/>
      <c r="XCH386"/>
      <c r="XCI386"/>
      <c r="XCJ386"/>
      <c r="XCK386"/>
      <c r="XCL386"/>
      <c r="XCM386"/>
      <c r="XCN386"/>
      <c r="XCO386"/>
      <c r="XCP386"/>
      <c r="XCQ386"/>
      <c r="XCR386"/>
      <c r="XCS386"/>
      <c r="XCT386"/>
      <c r="XCU386"/>
      <c r="XCV386"/>
      <c r="XCW386"/>
      <c r="XCX386"/>
      <c r="XCY386"/>
      <c r="XCZ386"/>
      <c r="XDA386"/>
      <c r="XDB386"/>
      <c r="XDC386"/>
      <c r="XDD386"/>
      <c r="XDE386"/>
      <c r="XDF386"/>
      <c r="XDG386"/>
      <c r="XDH386"/>
      <c r="XDI386"/>
      <c r="XDJ386"/>
      <c r="XDK386"/>
      <c r="XDL386"/>
      <c r="XDM386"/>
      <c r="XDN386"/>
      <c r="XDO386"/>
      <c r="XDP386"/>
      <c r="XDQ386"/>
      <c r="XDR386"/>
      <c r="XDS386"/>
      <c r="XDT386"/>
      <c r="XDU386"/>
      <c r="XDV386"/>
      <c r="XDW386"/>
      <c r="XDX386"/>
      <c r="XDY386"/>
      <c r="XDZ386"/>
      <c r="XEA386"/>
      <c r="XEB386"/>
      <c r="XEC386"/>
      <c r="XED386"/>
      <c r="XEE386"/>
      <c r="XEF386"/>
      <c r="XEG386"/>
      <c r="XEH386"/>
      <c r="XEI386"/>
      <c r="XEJ386"/>
      <c r="XEK386"/>
      <c r="XEL386"/>
      <c r="XEM386"/>
      <c r="XEN386"/>
      <c r="XEO386"/>
      <c r="XEP386"/>
    </row>
    <row r="387" spans="1:16370" s="51" customFormat="1" ht="12.75" customHeight="1">
      <c r="A387" s="1105" t="s">
        <v>584</v>
      </c>
      <c r="B387" s="870" t="s">
        <v>582</v>
      </c>
      <c r="C387" s="881" t="s">
        <v>1098</v>
      </c>
      <c r="D387" s="84" t="s">
        <v>16</v>
      </c>
      <c r="E387" s="85">
        <f t="shared" ref="E387:J387" si="129">E389+E390+E388</f>
        <v>250</v>
      </c>
      <c r="F387" s="85">
        <f t="shared" si="129"/>
        <v>250</v>
      </c>
      <c r="G387" s="85">
        <f t="shared" si="129"/>
        <v>0</v>
      </c>
      <c r="H387" s="85">
        <f t="shared" si="129"/>
        <v>0</v>
      </c>
      <c r="I387" s="85">
        <f t="shared" si="129"/>
        <v>0</v>
      </c>
      <c r="J387" s="85">
        <f t="shared" si="129"/>
        <v>0</v>
      </c>
      <c r="K387" s="76">
        <v>0</v>
      </c>
      <c r="L387" s="497">
        <f t="shared" ref="L387:L392" si="130">F387+G387+H387+I387+J387</f>
        <v>250</v>
      </c>
      <c r="M387" s="341"/>
      <c r="N387" s="476"/>
      <c r="O387" s="301"/>
      <c r="P387" s="1154"/>
      <c r="Q387" s="509"/>
      <c r="R387" s="509"/>
      <c r="S387" s="509"/>
      <c r="T387" s="509"/>
      <c r="U387" s="509"/>
      <c r="V387" s="509"/>
      <c r="W387" s="509"/>
      <c r="X387" s="509"/>
      <c r="Y387" s="509"/>
      <c r="Z387" s="509"/>
      <c r="AA387" s="509"/>
      <c r="AB387" s="509"/>
      <c r="AC387" s="509"/>
      <c r="AD387" s="509"/>
      <c r="AE387" s="509"/>
      <c r="AF387" s="509"/>
      <c r="AG387" s="509"/>
      <c r="AH387" s="509"/>
      <c r="AI387" s="509"/>
      <c r="AJ387" s="509"/>
      <c r="AK387" s="509"/>
      <c r="AL387" s="509"/>
      <c r="AM387" s="509"/>
      <c r="AN387" s="509"/>
      <c r="AO387" s="509"/>
      <c r="AP387" s="509"/>
      <c r="AQ387" s="509"/>
      <c r="AR387" s="509"/>
      <c r="AS387" s="509"/>
      <c r="AT387" s="509"/>
      <c r="AU387" s="509"/>
      <c r="AV387" s="509"/>
      <c r="AW387" s="509"/>
      <c r="AX387" s="509"/>
      <c r="AY387" s="509"/>
      <c r="AZ387" s="509"/>
      <c r="BA387" s="509"/>
      <c r="BB387" s="509"/>
      <c r="BC387" s="509"/>
      <c r="BD387" s="509"/>
      <c r="BE387" s="509"/>
      <c r="BF387" s="68"/>
    </row>
    <row r="388" spans="1:16370" s="51" customFormat="1">
      <c r="A388" s="921"/>
      <c r="B388" s="870"/>
      <c r="C388" s="882"/>
      <c r="D388" s="284">
        <v>2028</v>
      </c>
      <c r="E388" s="314">
        <f>F388+G388+H388+I388+J388</f>
        <v>24</v>
      </c>
      <c r="F388" s="314">
        <v>24</v>
      </c>
      <c r="G388" s="314">
        <v>0</v>
      </c>
      <c r="H388" s="314">
        <v>0</v>
      </c>
      <c r="I388" s="314">
        <v>0</v>
      </c>
      <c r="J388" s="314">
        <v>0</v>
      </c>
      <c r="K388" s="76">
        <v>0</v>
      </c>
      <c r="L388" s="497">
        <f t="shared" si="130"/>
        <v>24</v>
      </c>
      <c r="M388" s="341"/>
      <c r="N388" s="476"/>
      <c r="O388" s="301"/>
      <c r="P388" s="1120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49"/>
      <c r="BF388" s="68"/>
    </row>
    <row r="389" spans="1:16370" s="51" customFormat="1">
      <c r="A389" s="921"/>
      <c r="B389" s="870"/>
      <c r="C389" s="882"/>
      <c r="D389" s="284">
        <v>2029</v>
      </c>
      <c r="E389" s="314">
        <f>F389+G389+H389+I389+J389</f>
        <v>110</v>
      </c>
      <c r="F389" s="314">
        <v>110</v>
      </c>
      <c r="G389" s="314">
        <v>0</v>
      </c>
      <c r="H389" s="314">
        <v>0</v>
      </c>
      <c r="I389" s="314">
        <v>0</v>
      </c>
      <c r="J389" s="314">
        <v>0</v>
      </c>
      <c r="K389" s="76">
        <v>0</v>
      </c>
      <c r="L389" s="497">
        <f t="shared" si="130"/>
        <v>110</v>
      </c>
      <c r="M389" s="341"/>
      <c r="N389" s="476"/>
      <c r="O389" s="301"/>
      <c r="P389" s="1120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68"/>
    </row>
    <row r="390" spans="1:16370" s="51" customFormat="1">
      <c r="A390" s="921"/>
      <c r="B390" s="870"/>
      <c r="C390" s="964"/>
      <c r="D390" s="284">
        <v>2030</v>
      </c>
      <c r="E390" s="314">
        <f>F390</f>
        <v>116</v>
      </c>
      <c r="F390" s="314">
        <v>116</v>
      </c>
      <c r="G390" s="63">
        <v>0</v>
      </c>
      <c r="H390" s="63">
        <v>0</v>
      </c>
      <c r="I390" s="63">
        <v>0</v>
      </c>
      <c r="J390" s="63">
        <v>0</v>
      </c>
      <c r="K390" s="76">
        <v>0</v>
      </c>
      <c r="L390" s="497">
        <f t="shared" si="130"/>
        <v>116</v>
      </c>
      <c r="M390" s="341" t="s">
        <v>583</v>
      </c>
      <c r="N390" s="476"/>
      <c r="O390" s="301"/>
      <c r="P390" s="1153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49"/>
      <c r="BF390" s="68"/>
    </row>
    <row r="391" spans="1:16370" s="51" customFormat="1">
      <c r="A391" s="1112" t="s">
        <v>1159</v>
      </c>
      <c r="B391" s="867" t="s">
        <v>570</v>
      </c>
      <c r="C391" s="881" t="s">
        <v>1155</v>
      </c>
      <c r="D391" s="84" t="s">
        <v>16</v>
      </c>
      <c r="E391" s="85">
        <f t="shared" ref="E391:J391" si="131">E392</f>
        <v>16.8</v>
      </c>
      <c r="F391" s="85">
        <f t="shared" si="131"/>
        <v>0</v>
      </c>
      <c r="G391" s="85">
        <f t="shared" si="131"/>
        <v>0</v>
      </c>
      <c r="H391" s="85">
        <f t="shared" si="131"/>
        <v>15.96</v>
      </c>
      <c r="I391" s="85">
        <f t="shared" si="131"/>
        <v>0</v>
      </c>
      <c r="J391" s="85">
        <f t="shared" si="131"/>
        <v>0.84</v>
      </c>
      <c r="K391" s="76">
        <v>0</v>
      </c>
      <c r="L391" s="497">
        <f t="shared" si="130"/>
        <v>16.8</v>
      </c>
      <c r="M391" s="538"/>
      <c r="N391" s="476"/>
      <c r="O391" s="539"/>
      <c r="P391" s="842" t="s">
        <v>571</v>
      </c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  <c r="AT391" s="49"/>
      <c r="AU391" s="49"/>
      <c r="AV391" s="49"/>
      <c r="AW391" s="49"/>
      <c r="AX391" s="49"/>
      <c r="AY391" s="49"/>
      <c r="AZ391" s="49"/>
      <c r="BA391" s="49"/>
      <c r="BB391" s="49"/>
      <c r="BC391" s="49"/>
      <c r="BD391" s="49"/>
      <c r="BE391" s="49"/>
      <c r="BF391" s="68"/>
    </row>
    <row r="392" spans="1:16370" s="51" customFormat="1" ht="21.75" customHeight="1">
      <c r="A392" s="1127"/>
      <c r="B392" s="869"/>
      <c r="C392" s="1103"/>
      <c r="D392" s="62">
        <v>2023</v>
      </c>
      <c r="E392" s="63">
        <f>F392+G392+H392+I392+J392</f>
        <v>16.8</v>
      </c>
      <c r="F392" s="63">
        <v>0</v>
      </c>
      <c r="G392" s="63">
        <v>0</v>
      </c>
      <c r="H392" s="63">
        <v>15.96</v>
      </c>
      <c r="I392" s="63">
        <v>0</v>
      </c>
      <c r="J392" s="63">
        <v>0.84</v>
      </c>
      <c r="K392" s="76">
        <v>0</v>
      </c>
      <c r="L392" s="497">
        <f t="shared" si="130"/>
        <v>16.8</v>
      </c>
      <c r="M392" s="540"/>
      <c r="N392" s="476"/>
      <c r="O392" s="100"/>
      <c r="P392" s="1147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49"/>
      <c r="BD392" s="49"/>
      <c r="BE392" s="49"/>
      <c r="BF392" s="68"/>
    </row>
    <row r="393" spans="1:16370" s="51" customFormat="1">
      <c r="A393" s="1112" t="s">
        <v>1160</v>
      </c>
      <c r="B393" s="881" t="s">
        <v>585</v>
      </c>
      <c r="C393" s="1077" t="s">
        <v>537</v>
      </c>
      <c r="D393" s="140" t="s">
        <v>429</v>
      </c>
      <c r="E393" s="314">
        <f t="shared" ref="E393:J393" si="132">E394</f>
        <v>120</v>
      </c>
      <c r="F393" s="314">
        <f t="shared" si="132"/>
        <v>0</v>
      </c>
      <c r="G393" s="314">
        <f t="shared" si="132"/>
        <v>0</v>
      </c>
      <c r="H393" s="314">
        <f t="shared" si="132"/>
        <v>114</v>
      </c>
      <c r="I393" s="314">
        <f t="shared" si="132"/>
        <v>0</v>
      </c>
      <c r="J393" s="314">
        <f t="shared" si="132"/>
        <v>6</v>
      </c>
      <c r="K393" s="76">
        <v>0</v>
      </c>
      <c r="L393" s="472">
        <f>L394</f>
        <v>120</v>
      </c>
      <c r="M393" s="382"/>
      <c r="N393" s="476"/>
      <c r="O393" s="301"/>
      <c r="P393" s="500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68"/>
    </row>
    <row r="394" spans="1:16370" s="51" customFormat="1" ht="37.5" customHeight="1">
      <c r="A394" s="796"/>
      <c r="B394" s="964"/>
      <c r="C394" s="1077"/>
      <c r="D394" s="62">
        <v>2029</v>
      </c>
      <c r="E394" s="63">
        <f>F394+G394+H394+I394+J394</f>
        <v>120</v>
      </c>
      <c r="F394" s="63">
        <v>0</v>
      </c>
      <c r="G394" s="63">
        <v>0</v>
      </c>
      <c r="H394" s="63">
        <v>114</v>
      </c>
      <c r="I394" s="63">
        <v>0</v>
      </c>
      <c r="J394" s="63">
        <v>6</v>
      </c>
      <c r="K394" s="76">
        <v>0</v>
      </c>
      <c r="L394" s="497">
        <f t="shared" ref="L394:L402" si="133">F394+G394+H394+I394+J394</f>
        <v>120</v>
      </c>
      <c r="M394" s="292" t="s">
        <v>538</v>
      </c>
      <c r="N394" s="476"/>
      <c r="O394" s="301"/>
      <c r="P394" s="541" t="s">
        <v>586</v>
      </c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49"/>
      <c r="BC394" s="49"/>
      <c r="BD394" s="49"/>
      <c r="BE394" s="49"/>
      <c r="BF394" s="68"/>
    </row>
    <row r="395" spans="1:16370" s="51" customFormat="1" ht="28.5" customHeight="1">
      <c r="A395" s="1112" t="s">
        <v>593</v>
      </c>
      <c r="B395" s="867" t="s">
        <v>588</v>
      </c>
      <c r="C395" s="1077" t="s">
        <v>537</v>
      </c>
      <c r="D395" s="84" t="s">
        <v>16</v>
      </c>
      <c r="E395" s="85">
        <f t="shared" ref="E395:J395" si="134">E396</f>
        <v>120</v>
      </c>
      <c r="F395" s="85">
        <f t="shared" si="134"/>
        <v>0</v>
      </c>
      <c r="G395" s="85">
        <f t="shared" si="134"/>
        <v>0</v>
      </c>
      <c r="H395" s="85">
        <f t="shared" si="134"/>
        <v>114</v>
      </c>
      <c r="I395" s="85">
        <f t="shared" si="134"/>
        <v>0</v>
      </c>
      <c r="J395" s="85">
        <f t="shared" si="134"/>
        <v>6</v>
      </c>
      <c r="K395" s="76">
        <v>0</v>
      </c>
      <c r="L395" s="497">
        <f t="shared" si="133"/>
        <v>120</v>
      </c>
      <c r="M395" s="292"/>
      <c r="N395" s="476"/>
      <c r="O395" s="301"/>
      <c r="P395" s="1158" t="s">
        <v>589</v>
      </c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49"/>
      <c r="BC395" s="49"/>
      <c r="BD395" s="49"/>
      <c r="BE395" s="49"/>
      <c r="BF395" s="68"/>
    </row>
    <row r="396" spans="1:16370" s="51" customFormat="1" ht="28.5" customHeight="1">
      <c r="A396" s="958"/>
      <c r="B396" s="873"/>
      <c r="C396" s="1077"/>
      <c r="D396" s="84">
        <v>2025</v>
      </c>
      <c r="E396" s="63">
        <f>F396+G396+H396+I396+J396</f>
        <v>120</v>
      </c>
      <c r="F396" s="63">
        <v>0</v>
      </c>
      <c r="G396" s="63">
        <v>0</v>
      </c>
      <c r="H396" s="63">
        <v>114</v>
      </c>
      <c r="I396" s="63">
        <v>0</v>
      </c>
      <c r="J396" s="63">
        <v>6</v>
      </c>
      <c r="K396" s="76">
        <v>0</v>
      </c>
      <c r="L396" s="497">
        <f t="shared" si="133"/>
        <v>120</v>
      </c>
      <c r="M396" s="347" t="s">
        <v>538</v>
      </c>
      <c r="N396" s="476"/>
      <c r="O396" s="301"/>
      <c r="P396" s="101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49"/>
      <c r="BF396" s="68"/>
    </row>
    <row r="397" spans="1:16370" s="51" customFormat="1">
      <c r="A397" s="1105" t="s">
        <v>597</v>
      </c>
      <c r="B397" s="870" t="s">
        <v>591</v>
      </c>
      <c r="C397" s="1019" t="s">
        <v>592</v>
      </c>
      <c r="D397" s="84" t="s">
        <v>16</v>
      </c>
      <c r="E397" s="85">
        <f t="shared" ref="E397:J397" si="135">E398+E399</f>
        <v>5.0999999999999996</v>
      </c>
      <c r="F397" s="85">
        <f t="shared" si="135"/>
        <v>0</v>
      </c>
      <c r="G397" s="85">
        <f t="shared" si="135"/>
        <v>4</v>
      </c>
      <c r="H397" s="85">
        <f t="shared" si="135"/>
        <v>0.75</v>
      </c>
      <c r="I397" s="85">
        <f t="shared" si="135"/>
        <v>0</v>
      </c>
      <c r="J397" s="85">
        <f t="shared" si="135"/>
        <v>0.35</v>
      </c>
      <c r="K397" s="76">
        <v>0</v>
      </c>
      <c r="L397" s="497">
        <f t="shared" si="133"/>
        <v>5.0999999999999996</v>
      </c>
      <c r="M397" s="505"/>
      <c r="N397" s="476"/>
      <c r="O397" s="301"/>
      <c r="P397" s="190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49"/>
      <c r="BC397" s="49"/>
      <c r="BD397" s="49"/>
      <c r="BE397" s="49"/>
      <c r="BF397" s="68"/>
    </row>
    <row r="398" spans="1:16370" s="51" customFormat="1">
      <c r="A398" s="921"/>
      <c r="B398" s="870"/>
      <c r="C398" s="1019"/>
      <c r="D398" s="84">
        <v>2019</v>
      </c>
      <c r="E398" s="63">
        <f>F398+G398+H398+I398+J398</f>
        <v>0.1</v>
      </c>
      <c r="F398" s="63">
        <v>0</v>
      </c>
      <c r="G398" s="63">
        <v>0</v>
      </c>
      <c r="H398" s="63">
        <v>0</v>
      </c>
      <c r="I398" s="63">
        <v>0</v>
      </c>
      <c r="J398" s="63">
        <v>0.1</v>
      </c>
      <c r="K398" s="76">
        <v>0</v>
      </c>
      <c r="L398" s="497">
        <f t="shared" si="133"/>
        <v>0.1</v>
      </c>
      <c r="M398" s="347"/>
      <c r="N398" s="476"/>
      <c r="O398" s="301"/>
      <c r="P398" s="881" t="s">
        <v>574</v>
      </c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49"/>
      <c r="BC398" s="49"/>
      <c r="BD398" s="49"/>
      <c r="BE398" s="49"/>
      <c r="BF398" s="68"/>
    </row>
    <row r="399" spans="1:16370" s="51" customFormat="1" ht="42.75" customHeight="1">
      <c r="A399" s="921"/>
      <c r="B399" s="870"/>
      <c r="C399" s="1019"/>
      <c r="D399" s="84">
        <v>2020</v>
      </c>
      <c r="E399" s="63">
        <f>F399+G399+H399+I399+J399</f>
        <v>5</v>
      </c>
      <c r="F399" s="63">
        <v>0</v>
      </c>
      <c r="G399" s="63">
        <v>4</v>
      </c>
      <c r="H399" s="63">
        <v>0.75</v>
      </c>
      <c r="I399" s="63">
        <v>0</v>
      </c>
      <c r="J399" s="63">
        <v>0.25</v>
      </c>
      <c r="K399" s="76">
        <v>0</v>
      </c>
      <c r="L399" s="497">
        <f t="shared" si="133"/>
        <v>5</v>
      </c>
      <c r="M399" s="293"/>
      <c r="N399" s="476"/>
      <c r="O399" s="301"/>
      <c r="P399" s="1103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49"/>
      <c r="BD399" s="49"/>
      <c r="BE399" s="49"/>
      <c r="BF399" s="68"/>
    </row>
    <row r="400" spans="1:16370" s="51" customFormat="1" ht="20.25" customHeight="1">
      <c r="A400" s="1105" t="s">
        <v>602</v>
      </c>
      <c r="B400" s="870" t="s">
        <v>594</v>
      </c>
      <c r="C400" s="1019" t="s">
        <v>1161</v>
      </c>
      <c r="D400" s="84" t="s">
        <v>16</v>
      </c>
      <c r="E400" s="85">
        <f t="shared" ref="E400:J400" si="136">E401</f>
        <v>1.996</v>
      </c>
      <c r="F400" s="85">
        <f t="shared" si="136"/>
        <v>0</v>
      </c>
      <c r="G400" s="85">
        <f t="shared" si="136"/>
        <v>0</v>
      </c>
      <c r="H400" s="85">
        <f t="shared" si="136"/>
        <v>1.198</v>
      </c>
      <c r="I400" s="85">
        <f t="shared" si="136"/>
        <v>0.59899999999999998</v>
      </c>
      <c r="J400" s="85">
        <f t="shared" si="136"/>
        <v>0.19900000000000001</v>
      </c>
      <c r="K400" s="76">
        <v>0</v>
      </c>
      <c r="L400" s="497">
        <f t="shared" si="133"/>
        <v>1.996</v>
      </c>
      <c r="M400" s="293"/>
      <c r="N400" s="476"/>
      <c r="O400" s="301"/>
      <c r="P400" s="47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49"/>
      <c r="BC400" s="49"/>
      <c r="BD400" s="49"/>
      <c r="BE400" s="49"/>
      <c r="BF400" s="68"/>
    </row>
    <row r="401" spans="1:138" s="51" customFormat="1" ht="54" customHeight="1">
      <c r="A401" s="921"/>
      <c r="B401" s="870"/>
      <c r="C401" s="1019"/>
      <c r="D401" s="84">
        <v>2020</v>
      </c>
      <c r="E401" s="63">
        <f>F401+G401+H401+I401+J401</f>
        <v>1.996</v>
      </c>
      <c r="F401" s="491">
        <v>0</v>
      </c>
      <c r="G401" s="491">
        <v>0</v>
      </c>
      <c r="H401" s="491">
        <v>1.198</v>
      </c>
      <c r="I401" s="491">
        <v>0.59899999999999998</v>
      </c>
      <c r="J401" s="491">
        <v>0.19900000000000001</v>
      </c>
      <c r="K401" s="76">
        <v>0</v>
      </c>
      <c r="L401" s="497">
        <f t="shared" si="133"/>
        <v>1.996</v>
      </c>
      <c r="M401" s="316" t="s">
        <v>595</v>
      </c>
      <c r="N401" s="476"/>
      <c r="O401" s="301"/>
      <c r="P401" s="188" t="s">
        <v>596</v>
      </c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AU401" s="49"/>
      <c r="AV401" s="49"/>
      <c r="AW401" s="49"/>
      <c r="AX401" s="49"/>
      <c r="AY401" s="49"/>
      <c r="AZ401" s="49"/>
      <c r="BA401" s="49"/>
      <c r="BB401" s="49"/>
      <c r="BC401" s="49"/>
      <c r="BD401" s="49"/>
      <c r="BE401" s="49"/>
      <c r="BF401" s="68"/>
    </row>
    <row r="402" spans="1:138" s="51" customFormat="1">
      <c r="A402" s="1112" t="s">
        <v>1162</v>
      </c>
      <c r="B402" s="1157" t="s">
        <v>598</v>
      </c>
      <c r="C402" s="881" t="s">
        <v>599</v>
      </c>
      <c r="D402" s="84" t="s">
        <v>16</v>
      </c>
      <c r="E402" s="412">
        <f>E403+E404+E405</f>
        <v>40</v>
      </c>
      <c r="F402" s="532">
        <f>F404</f>
        <v>0</v>
      </c>
      <c r="G402" s="532">
        <f>G404</f>
        <v>0</v>
      </c>
      <c r="H402" s="532">
        <f>H404</f>
        <v>0</v>
      </c>
      <c r="I402" s="542">
        <f>I404</f>
        <v>10</v>
      </c>
      <c r="J402" s="532">
        <f>J404</f>
        <v>0</v>
      </c>
      <c r="K402" s="76">
        <v>0</v>
      </c>
      <c r="L402" s="497">
        <f t="shared" si="133"/>
        <v>10</v>
      </c>
      <c r="M402" s="965" t="s">
        <v>600</v>
      </c>
      <c r="N402" s="476"/>
      <c r="O402" s="301"/>
      <c r="P402" s="881" t="s">
        <v>601</v>
      </c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49"/>
      <c r="BC402" s="49"/>
      <c r="BD402" s="49"/>
      <c r="BE402" s="49"/>
      <c r="BF402" s="68"/>
    </row>
    <row r="403" spans="1:138" s="51" customFormat="1">
      <c r="A403" s="795"/>
      <c r="B403" s="882"/>
      <c r="C403" s="882"/>
      <c r="D403" s="84">
        <v>2020</v>
      </c>
      <c r="E403" s="412">
        <v>20</v>
      </c>
      <c r="F403" s="532">
        <v>0</v>
      </c>
      <c r="G403" s="532">
        <v>0</v>
      </c>
      <c r="H403" s="532">
        <v>0</v>
      </c>
      <c r="I403" s="542">
        <v>20</v>
      </c>
      <c r="J403" s="532">
        <v>0</v>
      </c>
      <c r="K403" s="76">
        <v>0</v>
      </c>
      <c r="L403" s="497"/>
      <c r="M403" s="1141"/>
      <c r="N403" s="476"/>
      <c r="O403" s="301"/>
      <c r="P403" s="882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49"/>
      <c r="BD403" s="49"/>
      <c r="BE403" s="49"/>
      <c r="BF403" s="68"/>
    </row>
    <row r="404" spans="1:138" s="51" customFormat="1">
      <c r="A404" s="795"/>
      <c r="B404" s="882"/>
      <c r="C404" s="882"/>
      <c r="D404" s="84">
        <v>2021</v>
      </c>
      <c r="E404" s="543">
        <f>F404+G404+H404+I404+J404</f>
        <v>10</v>
      </c>
      <c r="F404" s="531">
        <v>0</v>
      </c>
      <c r="G404" s="531">
        <v>0</v>
      </c>
      <c r="H404" s="531">
        <v>0</v>
      </c>
      <c r="I404" s="544">
        <v>10</v>
      </c>
      <c r="J404" s="531">
        <v>0</v>
      </c>
      <c r="K404" s="76">
        <v>0</v>
      </c>
      <c r="L404" s="497">
        <f>F404+G404+H404+I404+J404</f>
        <v>10</v>
      </c>
      <c r="M404" s="966"/>
      <c r="N404" s="476"/>
      <c r="O404" s="301"/>
      <c r="P404" s="882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49"/>
      <c r="BC404" s="49"/>
      <c r="BD404" s="49"/>
      <c r="BE404" s="49"/>
      <c r="BF404" s="68"/>
    </row>
    <row r="405" spans="1:138" s="51" customFormat="1">
      <c r="A405" s="796"/>
      <c r="B405" s="964"/>
      <c r="C405" s="964"/>
      <c r="D405" s="84">
        <v>2022</v>
      </c>
      <c r="E405" s="543">
        <f>F405+G405+H405+I405+J405</f>
        <v>10</v>
      </c>
      <c r="F405" s="531">
        <v>0</v>
      </c>
      <c r="G405" s="531">
        <v>0</v>
      </c>
      <c r="H405" s="531">
        <v>0</v>
      </c>
      <c r="I405" s="544">
        <v>10</v>
      </c>
      <c r="J405" s="531">
        <v>0</v>
      </c>
      <c r="K405" s="76">
        <v>0</v>
      </c>
      <c r="L405" s="497"/>
      <c r="M405" s="293"/>
      <c r="N405" s="476"/>
      <c r="O405" s="301"/>
      <c r="P405" s="964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49"/>
      <c r="BC405" s="49"/>
      <c r="BD405" s="49"/>
      <c r="BE405" s="49"/>
      <c r="BF405" s="68"/>
    </row>
    <row r="406" spans="1:138" s="51" customFormat="1">
      <c r="A406" s="1112" t="s">
        <v>1163</v>
      </c>
      <c r="B406" s="867" t="s">
        <v>603</v>
      </c>
      <c r="C406" s="1019" t="s">
        <v>1155</v>
      </c>
      <c r="D406" s="84" t="s">
        <v>16</v>
      </c>
      <c r="E406" s="63">
        <f t="shared" ref="E406:J406" si="137">E407</f>
        <v>3.5059999999999998</v>
      </c>
      <c r="F406" s="531">
        <f t="shared" si="137"/>
        <v>0</v>
      </c>
      <c r="G406" s="531">
        <f t="shared" si="137"/>
        <v>0</v>
      </c>
      <c r="H406" s="531">
        <f t="shared" si="137"/>
        <v>3.4359999999999999</v>
      </c>
      <c r="I406" s="531">
        <f t="shared" si="137"/>
        <v>0</v>
      </c>
      <c r="J406" s="531">
        <f t="shared" si="137"/>
        <v>7.0000000000000007E-2</v>
      </c>
      <c r="K406" s="76">
        <v>0</v>
      </c>
      <c r="L406" s="497">
        <f>F406+G406+H406+I406+J406</f>
        <v>3.5059999999999998</v>
      </c>
      <c r="M406" s="293"/>
      <c r="N406" s="476"/>
      <c r="O406" s="301"/>
      <c r="P406" s="881" t="s">
        <v>604</v>
      </c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49"/>
      <c r="BF406" s="68"/>
    </row>
    <row r="407" spans="1:138" s="51" customFormat="1" ht="30" customHeight="1">
      <c r="A407" s="796"/>
      <c r="B407" s="873"/>
      <c r="C407" s="1159"/>
      <c r="D407" s="84">
        <v>2020</v>
      </c>
      <c r="E407" s="63">
        <f>F407+G407+H407+I407+J407</f>
        <v>3.5059999999999998</v>
      </c>
      <c r="F407" s="531">
        <v>0</v>
      </c>
      <c r="G407" s="531">
        <v>0</v>
      </c>
      <c r="H407" s="531">
        <v>3.4359999999999999</v>
      </c>
      <c r="I407" s="531">
        <v>0</v>
      </c>
      <c r="J407" s="531">
        <v>7.0000000000000007E-2</v>
      </c>
      <c r="K407" s="76">
        <v>0</v>
      </c>
      <c r="L407" s="497">
        <f>F407+G407+H407+I407+J407</f>
        <v>3.5059999999999998</v>
      </c>
      <c r="M407" s="293" t="s">
        <v>605</v>
      </c>
      <c r="N407" s="476"/>
      <c r="O407" s="301"/>
      <c r="P407" s="964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AU407" s="49"/>
      <c r="AV407" s="49"/>
      <c r="AW407" s="49"/>
      <c r="AX407" s="49"/>
      <c r="AY407" s="49"/>
      <c r="AZ407" s="49"/>
      <c r="BA407" s="49"/>
      <c r="BB407" s="49"/>
      <c r="BC407" s="49"/>
      <c r="BD407" s="49"/>
      <c r="BE407" s="49"/>
      <c r="BF407" s="68"/>
    </row>
    <row r="408" spans="1:138" s="51" customFormat="1" ht="12.75" customHeight="1">
      <c r="A408" s="1105" t="s">
        <v>1164</v>
      </c>
      <c r="B408" s="881" t="s">
        <v>1165</v>
      </c>
      <c r="C408" s="881" t="s">
        <v>1166</v>
      </c>
      <c r="D408" s="84" t="s">
        <v>16</v>
      </c>
      <c r="E408" s="63">
        <f t="shared" ref="E408:J408" si="138">E409</f>
        <v>120</v>
      </c>
      <c r="F408" s="531">
        <f t="shared" si="138"/>
        <v>0</v>
      </c>
      <c r="G408" s="531">
        <f t="shared" si="138"/>
        <v>0</v>
      </c>
      <c r="H408" s="531">
        <f t="shared" si="138"/>
        <v>114</v>
      </c>
      <c r="I408" s="531">
        <f t="shared" si="138"/>
        <v>0</v>
      </c>
      <c r="J408" s="531">
        <f t="shared" si="138"/>
        <v>6</v>
      </c>
      <c r="K408" s="76">
        <v>0</v>
      </c>
      <c r="L408" s="497"/>
      <c r="M408" s="293"/>
      <c r="N408" s="476"/>
      <c r="O408" s="301"/>
      <c r="P408" s="1019" t="s">
        <v>715</v>
      </c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49"/>
      <c r="BD408" s="49"/>
      <c r="BE408" s="49"/>
      <c r="BF408" s="68"/>
    </row>
    <row r="409" spans="1:138" s="51" customFormat="1">
      <c r="A409" s="921"/>
      <c r="B409" s="964"/>
      <c r="C409" s="882"/>
      <c r="D409" s="84">
        <v>2028</v>
      </c>
      <c r="E409" s="63">
        <f>F409+G409+H409+I409+J409</f>
        <v>120</v>
      </c>
      <c r="F409" s="531">
        <v>0</v>
      </c>
      <c r="G409" s="531">
        <v>0</v>
      </c>
      <c r="H409" s="531">
        <v>114</v>
      </c>
      <c r="I409" s="531">
        <v>0</v>
      </c>
      <c r="J409" s="531">
        <v>6</v>
      </c>
      <c r="K409" s="76">
        <v>0</v>
      </c>
      <c r="L409" s="497"/>
      <c r="M409" s="293" t="s">
        <v>1167</v>
      </c>
      <c r="N409" s="476"/>
      <c r="O409" s="301"/>
      <c r="P409" s="101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49"/>
      <c r="BC409" s="49"/>
      <c r="BD409" s="49"/>
      <c r="BE409" s="49"/>
      <c r="BF409" s="68"/>
    </row>
    <row r="410" spans="1:138" s="51" customFormat="1">
      <c r="A410" s="1105" t="s">
        <v>1168</v>
      </c>
      <c r="B410" s="881" t="s">
        <v>1169</v>
      </c>
      <c r="C410" s="882"/>
      <c r="D410" s="84" t="s">
        <v>16</v>
      </c>
      <c r="E410" s="63">
        <f t="shared" ref="E410:J410" si="139">E411</f>
        <v>120</v>
      </c>
      <c r="F410" s="531">
        <f t="shared" si="139"/>
        <v>0</v>
      </c>
      <c r="G410" s="531">
        <f t="shared" si="139"/>
        <v>0</v>
      </c>
      <c r="H410" s="531">
        <f t="shared" si="139"/>
        <v>114</v>
      </c>
      <c r="I410" s="531">
        <f t="shared" si="139"/>
        <v>0</v>
      </c>
      <c r="J410" s="531">
        <f t="shared" si="139"/>
        <v>6</v>
      </c>
      <c r="K410" s="76">
        <v>0</v>
      </c>
      <c r="L410" s="497"/>
      <c r="M410" s="293"/>
      <c r="N410" s="476"/>
      <c r="O410" s="301"/>
      <c r="P410" s="101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49"/>
      <c r="BC410" s="49"/>
      <c r="BD410" s="49"/>
      <c r="BE410" s="49"/>
      <c r="BF410" s="68"/>
    </row>
    <row r="411" spans="1:138" s="51" customFormat="1">
      <c r="A411" s="921"/>
      <c r="B411" s="964"/>
      <c r="C411" s="964"/>
      <c r="D411" s="84">
        <v>2028</v>
      </c>
      <c r="E411" s="63">
        <f>F411+G411+H411+I411+J411</f>
        <v>120</v>
      </c>
      <c r="F411" s="531">
        <v>0</v>
      </c>
      <c r="G411" s="531">
        <v>0</v>
      </c>
      <c r="H411" s="531">
        <v>114</v>
      </c>
      <c r="I411" s="531">
        <v>0</v>
      </c>
      <c r="J411" s="531">
        <v>6</v>
      </c>
      <c r="K411" s="76">
        <v>0</v>
      </c>
      <c r="L411" s="497"/>
      <c r="M411" s="293" t="s">
        <v>1167</v>
      </c>
      <c r="N411" s="476"/>
      <c r="O411" s="301"/>
      <c r="P411" s="101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49"/>
      <c r="BC411" s="49"/>
      <c r="BD411" s="49"/>
      <c r="BE411" s="49"/>
      <c r="BF411" s="68"/>
    </row>
    <row r="412" spans="1:138" s="51" customFormat="1" ht="23.25" customHeight="1">
      <c r="A412" s="1112" t="s">
        <v>1170</v>
      </c>
      <c r="B412" s="881" t="s">
        <v>647</v>
      </c>
      <c r="C412" s="61" t="s">
        <v>1156</v>
      </c>
      <c r="D412" s="84" t="s">
        <v>429</v>
      </c>
      <c r="E412" s="63">
        <f t="shared" ref="E412:J412" si="140">E413</f>
        <v>0</v>
      </c>
      <c r="F412" s="531">
        <f t="shared" si="140"/>
        <v>0</v>
      </c>
      <c r="G412" s="531">
        <f t="shared" si="140"/>
        <v>0</v>
      </c>
      <c r="H412" s="531">
        <f t="shared" si="140"/>
        <v>0</v>
      </c>
      <c r="I412" s="531">
        <f t="shared" si="140"/>
        <v>0</v>
      </c>
      <c r="J412" s="531">
        <f t="shared" si="140"/>
        <v>0</v>
      </c>
      <c r="K412" s="76">
        <v>0</v>
      </c>
      <c r="L412" s="497">
        <f>F412+G412+H412+I412+J412</f>
        <v>0</v>
      </c>
      <c r="M412" s="293"/>
      <c r="N412" s="476"/>
      <c r="O412" s="301"/>
      <c r="P412" s="1104" t="s">
        <v>1171</v>
      </c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  <c r="AT412" s="49"/>
      <c r="AU412" s="49"/>
      <c r="AV412" s="49"/>
      <c r="AW412" s="49"/>
      <c r="AX412" s="49"/>
      <c r="AY412" s="49"/>
      <c r="AZ412" s="49"/>
      <c r="BA412" s="49"/>
      <c r="BB412" s="49"/>
      <c r="BC412" s="49"/>
      <c r="BD412" s="49"/>
      <c r="BE412" s="49"/>
      <c r="BF412" s="68"/>
    </row>
    <row r="413" spans="1:138" s="334" customFormat="1">
      <c r="A413" s="796"/>
      <c r="B413" s="964"/>
      <c r="C413" s="69"/>
      <c r="D413" s="62">
        <v>2020</v>
      </c>
      <c r="E413" s="314">
        <f>F413+G413+H413+I413+J413</f>
        <v>0</v>
      </c>
      <c r="F413" s="545">
        <v>0</v>
      </c>
      <c r="G413" s="545">
        <v>0</v>
      </c>
      <c r="H413" s="545">
        <v>0</v>
      </c>
      <c r="I413" s="545">
        <v>0</v>
      </c>
      <c r="J413" s="545">
        <v>0</v>
      </c>
      <c r="K413" s="76">
        <v>0</v>
      </c>
      <c r="L413" s="497">
        <f>F413+G413+H413+I413+J413</f>
        <v>0</v>
      </c>
      <c r="M413" s="375"/>
      <c r="N413" s="476"/>
      <c r="O413" s="335"/>
      <c r="P413" s="993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49"/>
      <c r="BD413" s="49"/>
      <c r="BE413" s="49"/>
      <c r="BF413" s="336"/>
      <c r="EH413" s="334" t="s">
        <v>1172</v>
      </c>
    </row>
    <row r="414" spans="1:138" s="334" customFormat="1" ht="12.75" customHeight="1">
      <c r="A414" s="1112" t="s">
        <v>1173</v>
      </c>
      <c r="B414" s="1162" t="s">
        <v>1174</v>
      </c>
      <c r="C414" s="914" t="s">
        <v>1156</v>
      </c>
      <c r="D414" s="84" t="s">
        <v>429</v>
      </c>
      <c r="E414" s="63">
        <f t="shared" ref="E414:J414" si="141">E415</f>
        <v>0</v>
      </c>
      <c r="F414" s="531">
        <f t="shared" si="141"/>
        <v>0</v>
      </c>
      <c r="G414" s="531">
        <f t="shared" si="141"/>
        <v>0</v>
      </c>
      <c r="H414" s="531">
        <f t="shared" si="141"/>
        <v>0</v>
      </c>
      <c r="I414" s="531">
        <f t="shared" si="141"/>
        <v>0</v>
      </c>
      <c r="J414" s="531">
        <f t="shared" si="141"/>
        <v>0</v>
      </c>
      <c r="K414" s="76">
        <v>0</v>
      </c>
      <c r="L414" s="497"/>
      <c r="M414" s="375"/>
      <c r="N414" s="476"/>
      <c r="O414" s="335"/>
      <c r="P414" s="881" t="s">
        <v>405</v>
      </c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49"/>
      <c r="BF414" s="336"/>
    </row>
    <row r="415" spans="1:138" s="334" customFormat="1">
      <c r="A415" s="795"/>
      <c r="B415" s="826"/>
      <c r="C415" s="826"/>
      <c r="D415" s="62">
        <v>2021</v>
      </c>
      <c r="E415" s="314">
        <v>0</v>
      </c>
      <c r="F415" s="545">
        <v>0</v>
      </c>
      <c r="G415" s="545">
        <v>0</v>
      </c>
      <c r="H415" s="545">
        <v>0</v>
      </c>
      <c r="I415" s="545">
        <v>0</v>
      </c>
      <c r="J415" s="545">
        <v>0</v>
      </c>
      <c r="K415" s="76">
        <v>0</v>
      </c>
      <c r="L415" s="497">
        <f>F415+G415+H415+I415+J415</f>
        <v>0</v>
      </c>
      <c r="M415" s="375"/>
      <c r="N415" s="476"/>
      <c r="O415" s="335"/>
      <c r="P415" s="882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49"/>
      <c r="BF415" s="336"/>
    </row>
    <row r="416" spans="1:138" s="334" customFormat="1" ht="12.75" customHeight="1">
      <c r="A416" s="795"/>
      <c r="B416" s="826"/>
      <c r="C416" s="826"/>
      <c r="D416" s="62">
        <v>2022</v>
      </c>
      <c r="E416" s="314">
        <f>F416+H416</f>
        <v>75.721599999999995</v>
      </c>
      <c r="F416" s="546">
        <v>7.5800000000000006E-2</v>
      </c>
      <c r="G416" s="545">
        <v>0</v>
      </c>
      <c r="H416" s="546">
        <v>75.645799999999994</v>
      </c>
      <c r="I416" s="545">
        <v>0</v>
      </c>
      <c r="J416" s="545">
        <v>0</v>
      </c>
      <c r="K416" s="76">
        <v>0</v>
      </c>
      <c r="L416" s="497"/>
      <c r="M416" s="375"/>
      <c r="N416" s="476"/>
      <c r="O416" s="335"/>
      <c r="P416" s="882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AU416" s="49"/>
      <c r="AV416" s="49"/>
      <c r="AW416" s="49"/>
      <c r="AX416" s="49"/>
      <c r="AY416" s="49"/>
      <c r="AZ416" s="49"/>
      <c r="BA416" s="49"/>
      <c r="BB416" s="49"/>
      <c r="BC416" s="49"/>
      <c r="BD416" s="49"/>
      <c r="BE416" s="49"/>
      <c r="BF416" s="336"/>
    </row>
    <row r="417" spans="1:58" s="334" customFormat="1" ht="42.75" customHeight="1">
      <c r="A417" s="796"/>
      <c r="B417" s="952"/>
      <c r="C417" s="952"/>
      <c r="D417" s="62">
        <v>2023</v>
      </c>
      <c r="E417" s="314">
        <f>F417+H417</f>
        <v>3.6978999999999997</v>
      </c>
      <c r="F417" s="546">
        <v>3.7000000000000002E-3</v>
      </c>
      <c r="G417" s="545">
        <v>0</v>
      </c>
      <c r="H417" s="546">
        <v>3.6941999999999999</v>
      </c>
      <c r="I417" s="545">
        <v>0</v>
      </c>
      <c r="J417" s="545">
        <v>0</v>
      </c>
      <c r="K417" s="76">
        <v>0</v>
      </c>
      <c r="L417" s="497"/>
      <c r="M417" s="375"/>
      <c r="N417" s="476"/>
      <c r="O417" s="335"/>
      <c r="P417" s="964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  <c r="AT417" s="49"/>
      <c r="AU417" s="49"/>
      <c r="AV417" s="49"/>
      <c r="AW417" s="49"/>
      <c r="AX417" s="49"/>
      <c r="AY417" s="49"/>
      <c r="AZ417" s="49"/>
      <c r="BA417" s="49"/>
      <c r="BB417" s="49"/>
      <c r="BC417" s="49"/>
      <c r="BD417" s="49"/>
      <c r="BE417" s="49"/>
      <c r="BF417" s="336"/>
    </row>
    <row r="418" spans="1:58" s="51" customFormat="1" ht="18.75" customHeight="1">
      <c r="A418" s="1149">
        <v>5</v>
      </c>
      <c r="B418" s="929" t="s">
        <v>606</v>
      </c>
      <c r="C418" s="1161"/>
      <c r="D418" s="84" t="s">
        <v>16</v>
      </c>
      <c r="E418" s="85">
        <f t="shared" ref="E418:J418" si="142">E419+E420+E421+E422+E423+E424+E425+E427+E426</f>
        <v>106.21339999999999</v>
      </c>
      <c r="F418" s="85">
        <f t="shared" si="142"/>
        <v>0</v>
      </c>
      <c r="G418" s="85">
        <f t="shared" si="142"/>
        <v>4.6056999999999997</v>
      </c>
      <c r="H418" s="85">
        <f t="shared" si="142"/>
        <v>97.203999999999994</v>
      </c>
      <c r="I418" s="85">
        <f t="shared" si="142"/>
        <v>2.6</v>
      </c>
      <c r="J418" s="85">
        <f t="shared" si="142"/>
        <v>1.8037000000000001</v>
      </c>
      <c r="K418" s="76">
        <v>0</v>
      </c>
      <c r="L418" s="497">
        <f t="shared" ref="L418:L445" si="143">F418+G418+H418+I418+J418</f>
        <v>106.21339999999999</v>
      </c>
      <c r="M418" s="293"/>
      <c r="N418" s="476"/>
      <c r="O418" s="301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  <c r="AT418" s="49"/>
      <c r="AU418" s="49"/>
      <c r="AV418" s="49"/>
      <c r="AW418" s="49"/>
      <c r="AX418" s="49"/>
      <c r="AY418" s="49"/>
      <c r="AZ418" s="49"/>
      <c r="BA418" s="49"/>
      <c r="BB418" s="49"/>
      <c r="BC418" s="49"/>
      <c r="BD418" s="49"/>
      <c r="BE418" s="49"/>
      <c r="BF418" s="68"/>
    </row>
    <row r="419" spans="1:58" s="51" customFormat="1" ht="18.75" customHeight="1">
      <c r="A419" s="1150"/>
      <c r="B419" s="953"/>
      <c r="C419" s="1125"/>
      <c r="D419" s="84">
        <v>2019</v>
      </c>
      <c r="E419" s="85">
        <f t="shared" ref="E419:J419" si="144">E449</f>
        <v>14.9</v>
      </c>
      <c r="F419" s="85">
        <f t="shared" si="144"/>
        <v>0</v>
      </c>
      <c r="G419" s="85">
        <f t="shared" si="144"/>
        <v>0</v>
      </c>
      <c r="H419" s="85">
        <f t="shared" si="144"/>
        <v>12.4</v>
      </c>
      <c r="I419" s="85">
        <f t="shared" si="144"/>
        <v>2.5</v>
      </c>
      <c r="J419" s="85">
        <f t="shared" si="144"/>
        <v>0</v>
      </c>
      <c r="K419" s="76">
        <v>0</v>
      </c>
      <c r="L419" s="497">
        <f t="shared" si="143"/>
        <v>14.9</v>
      </c>
      <c r="M419" s="515"/>
      <c r="N419" s="476"/>
      <c r="O419" s="301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  <c r="AT419" s="49"/>
      <c r="AU419" s="49"/>
      <c r="AV419" s="49"/>
      <c r="AW419" s="49"/>
      <c r="AX419" s="49"/>
      <c r="AY419" s="49"/>
      <c r="AZ419" s="49"/>
      <c r="BA419" s="49"/>
      <c r="BB419" s="49"/>
      <c r="BC419" s="49"/>
      <c r="BD419" s="49"/>
      <c r="BE419" s="49"/>
      <c r="BF419" s="68"/>
    </row>
    <row r="420" spans="1:58" s="51" customFormat="1" ht="18.75" customHeight="1">
      <c r="A420" s="1150"/>
      <c r="B420" s="953"/>
      <c r="C420" s="1125"/>
      <c r="D420" s="84">
        <v>2020</v>
      </c>
      <c r="E420" s="85">
        <f t="shared" ref="E420:K420" si="145">E435+E453</f>
        <v>6.83</v>
      </c>
      <c r="F420" s="85">
        <f t="shared" si="145"/>
        <v>0</v>
      </c>
      <c r="G420" s="85">
        <f t="shared" si="145"/>
        <v>0</v>
      </c>
      <c r="H420" s="85">
        <f t="shared" si="145"/>
        <v>6.6099999999999994</v>
      </c>
      <c r="I420" s="85">
        <f t="shared" si="145"/>
        <v>0</v>
      </c>
      <c r="J420" s="85">
        <f t="shared" si="145"/>
        <v>0.22</v>
      </c>
      <c r="K420" s="63">
        <f t="shared" si="145"/>
        <v>0</v>
      </c>
      <c r="L420" s="497">
        <f t="shared" si="143"/>
        <v>6.8299999999999992</v>
      </c>
      <c r="M420" s="515"/>
      <c r="N420" s="476"/>
      <c r="O420" s="301"/>
      <c r="P420" s="265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  <c r="AT420" s="49"/>
      <c r="AU420" s="49"/>
      <c r="AV420" s="49"/>
      <c r="AW420" s="49"/>
      <c r="AX420" s="49"/>
      <c r="AY420" s="49"/>
      <c r="AZ420" s="49"/>
      <c r="BA420" s="49"/>
      <c r="BB420" s="49"/>
      <c r="BC420" s="49"/>
      <c r="BD420" s="49"/>
      <c r="BE420" s="49"/>
      <c r="BF420" s="68"/>
    </row>
    <row r="421" spans="1:58" s="51" customFormat="1" ht="18.75" customHeight="1">
      <c r="A421" s="1126"/>
      <c r="B421" s="868"/>
      <c r="C421" s="1125"/>
      <c r="D421" s="84">
        <v>2021</v>
      </c>
      <c r="E421" s="480">
        <f t="shared" ref="E421:J421" si="146">E436</f>
        <v>6.0750000000000002</v>
      </c>
      <c r="F421" s="480">
        <f t="shared" si="146"/>
        <v>0</v>
      </c>
      <c r="G421" s="480">
        <f t="shared" si="146"/>
        <v>0</v>
      </c>
      <c r="H421" s="480">
        <f t="shared" si="146"/>
        <v>6</v>
      </c>
      <c r="I421" s="480">
        <f t="shared" si="146"/>
        <v>0</v>
      </c>
      <c r="J421" s="480">
        <f t="shared" si="146"/>
        <v>7.4999999999999997E-2</v>
      </c>
      <c r="K421" s="76">
        <v>0</v>
      </c>
      <c r="L421" s="497">
        <f t="shared" si="143"/>
        <v>6.0750000000000002</v>
      </c>
      <c r="M421" s="185"/>
      <c r="N421" s="476"/>
      <c r="O421" s="301"/>
      <c r="P421" s="265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49"/>
      <c r="AU421" s="49"/>
      <c r="AV421" s="49"/>
      <c r="AW421" s="49"/>
      <c r="AX421" s="49"/>
      <c r="AY421" s="49"/>
      <c r="AZ421" s="49"/>
      <c r="BA421" s="49"/>
      <c r="BB421" s="49"/>
      <c r="BC421" s="49"/>
      <c r="BD421" s="49"/>
      <c r="BE421" s="49"/>
      <c r="BF421" s="68"/>
    </row>
    <row r="422" spans="1:58" s="51" customFormat="1" ht="18.75" customHeight="1">
      <c r="A422" s="1126"/>
      <c r="B422" s="868"/>
      <c r="C422" s="1125"/>
      <c r="D422" s="84">
        <v>2022</v>
      </c>
      <c r="E422" s="85">
        <f t="shared" ref="E422:J422" si="147">E451+E454+E456</f>
        <v>6.3950999999999993</v>
      </c>
      <c r="F422" s="85">
        <f t="shared" si="147"/>
        <v>0</v>
      </c>
      <c r="G422" s="85">
        <f t="shared" si="147"/>
        <v>4.6056999999999997</v>
      </c>
      <c r="H422" s="85">
        <f t="shared" si="147"/>
        <v>1.6044</v>
      </c>
      <c r="I422" s="85">
        <f t="shared" si="147"/>
        <v>0.1</v>
      </c>
      <c r="J422" s="85">
        <f t="shared" si="147"/>
        <v>8.4999999999999992E-2</v>
      </c>
      <c r="K422" s="76">
        <v>0</v>
      </c>
      <c r="L422" s="497">
        <f t="shared" si="143"/>
        <v>6.3950999999999993</v>
      </c>
      <c r="M422" s="185"/>
      <c r="N422" s="476"/>
      <c r="O422" s="301"/>
      <c r="P422" s="265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49"/>
      <c r="BD422" s="49"/>
      <c r="BE422" s="49"/>
      <c r="BF422" s="68"/>
    </row>
    <row r="423" spans="1:58" s="51" customFormat="1" ht="18" customHeight="1">
      <c r="A423" s="1126"/>
      <c r="B423" s="868"/>
      <c r="C423" s="1125"/>
      <c r="D423" s="84">
        <v>2023</v>
      </c>
      <c r="E423" s="85">
        <f t="shared" ref="E423:J423" si="148">E437+E457</f>
        <v>38.613300000000002</v>
      </c>
      <c r="F423" s="85">
        <f t="shared" si="148"/>
        <v>0</v>
      </c>
      <c r="G423" s="85">
        <f t="shared" si="148"/>
        <v>0</v>
      </c>
      <c r="H423" s="85">
        <f t="shared" si="148"/>
        <v>38.613300000000002</v>
      </c>
      <c r="I423" s="85">
        <f t="shared" si="148"/>
        <v>0</v>
      </c>
      <c r="J423" s="85">
        <f t="shared" si="148"/>
        <v>0</v>
      </c>
      <c r="K423" s="76">
        <v>0</v>
      </c>
      <c r="L423" s="497">
        <f t="shared" si="143"/>
        <v>38.613300000000002</v>
      </c>
      <c r="M423" s="185"/>
      <c r="N423" s="476"/>
      <c r="O423" s="301"/>
      <c r="P423" s="265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49"/>
      <c r="BC423" s="49"/>
      <c r="BD423" s="49"/>
      <c r="BE423" s="49"/>
      <c r="BF423" s="68"/>
    </row>
    <row r="424" spans="1:58" s="51" customFormat="1" ht="16.5" customHeight="1">
      <c r="A424" s="1126"/>
      <c r="B424" s="868"/>
      <c r="C424" s="1125"/>
      <c r="D424" s="84">
        <v>2024</v>
      </c>
      <c r="E424" s="85">
        <f t="shared" ref="E424:J424" si="149">E429+E431+E439+E447</f>
        <v>16.099999999999998</v>
      </c>
      <c r="F424" s="85">
        <f t="shared" si="149"/>
        <v>0</v>
      </c>
      <c r="G424" s="85">
        <f t="shared" si="149"/>
        <v>0</v>
      </c>
      <c r="H424" s="85">
        <f t="shared" si="149"/>
        <v>15.33</v>
      </c>
      <c r="I424" s="85">
        <f t="shared" si="149"/>
        <v>0</v>
      </c>
      <c r="J424" s="85">
        <f t="shared" si="149"/>
        <v>0.77</v>
      </c>
      <c r="K424" s="76">
        <v>0</v>
      </c>
      <c r="L424" s="497">
        <f t="shared" si="143"/>
        <v>16.100000000000001</v>
      </c>
      <c r="M424" s="185"/>
      <c r="N424" s="476"/>
      <c r="O424" s="301"/>
      <c r="P424" s="265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68"/>
    </row>
    <row r="425" spans="1:58" s="51" customFormat="1" ht="21" customHeight="1">
      <c r="A425" s="1126"/>
      <c r="B425" s="868"/>
      <c r="C425" s="1125"/>
      <c r="D425" s="84">
        <v>2025</v>
      </c>
      <c r="E425" s="85">
        <f t="shared" ref="E425:J425" si="150">E433+E441</f>
        <v>8.5</v>
      </c>
      <c r="F425" s="85">
        <f t="shared" si="150"/>
        <v>0</v>
      </c>
      <c r="G425" s="85">
        <f t="shared" si="150"/>
        <v>0</v>
      </c>
      <c r="H425" s="85">
        <f t="shared" si="150"/>
        <v>8.11</v>
      </c>
      <c r="I425" s="85">
        <f t="shared" si="150"/>
        <v>0</v>
      </c>
      <c r="J425" s="85">
        <f t="shared" si="150"/>
        <v>0.39</v>
      </c>
      <c r="K425" s="76">
        <v>0</v>
      </c>
      <c r="L425" s="497">
        <f t="shared" si="143"/>
        <v>8.5</v>
      </c>
      <c r="M425" s="185"/>
      <c r="N425" s="476"/>
      <c r="O425" s="301"/>
      <c r="P425" s="265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68"/>
    </row>
    <row r="426" spans="1:58" s="51" customFormat="1" ht="21" customHeight="1">
      <c r="A426" s="1126"/>
      <c r="B426" s="868"/>
      <c r="C426" s="1125"/>
      <c r="D426" s="84">
        <v>2026</v>
      </c>
      <c r="E426" s="85">
        <f t="shared" ref="E426:J426" si="151">E443</f>
        <v>3.8</v>
      </c>
      <c r="F426" s="85">
        <f t="shared" si="151"/>
        <v>0</v>
      </c>
      <c r="G426" s="85">
        <f t="shared" si="151"/>
        <v>0</v>
      </c>
      <c r="H426" s="85">
        <f t="shared" si="151"/>
        <v>3.61</v>
      </c>
      <c r="I426" s="85">
        <f t="shared" si="151"/>
        <v>0</v>
      </c>
      <c r="J426" s="85">
        <f t="shared" si="151"/>
        <v>0.19</v>
      </c>
      <c r="K426" s="76"/>
      <c r="L426" s="497">
        <f t="shared" si="143"/>
        <v>3.8</v>
      </c>
      <c r="M426" s="185"/>
      <c r="N426" s="476"/>
      <c r="O426" s="301"/>
      <c r="P426" s="265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68"/>
    </row>
    <row r="427" spans="1:58" s="51" customFormat="1" ht="21" customHeight="1">
      <c r="A427" s="1126"/>
      <c r="B427" s="868"/>
      <c r="C427" s="1125"/>
      <c r="D427" s="84">
        <v>2027</v>
      </c>
      <c r="E427" s="85">
        <f t="shared" ref="E427:J427" si="152">E445</f>
        <v>5</v>
      </c>
      <c r="F427" s="85">
        <f t="shared" si="152"/>
        <v>0</v>
      </c>
      <c r="G427" s="85">
        <f t="shared" si="152"/>
        <v>0</v>
      </c>
      <c r="H427" s="85">
        <f t="shared" si="152"/>
        <v>4.9263000000000003</v>
      </c>
      <c r="I427" s="85">
        <f t="shared" si="152"/>
        <v>0</v>
      </c>
      <c r="J427" s="85">
        <f t="shared" si="152"/>
        <v>7.3700000000000002E-2</v>
      </c>
      <c r="K427" s="76">
        <v>0</v>
      </c>
      <c r="L427" s="497">
        <f t="shared" si="143"/>
        <v>5</v>
      </c>
      <c r="M427" s="185"/>
      <c r="N427" s="476"/>
      <c r="O427" s="301"/>
      <c r="P427" s="284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68"/>
    </row>
    <row r="428" spans="1:58" s="51" customFormat="1">
      <c r="A428" s="794" t="s">
        <v>146</v>
      </c>
      <c r="B428" s="867" t="s">
        <v>615</v>
      </c>
      <c r="C428" s="881" t="s">
        <v>616</v>
      </c>
      <c r="D428" s="84" t="s">
        <v>16</v>
      </c>
      <c r="E428" s="85">
        <f t="shared" ref="E428:J428" si="153">E429</f>
        <v>3.8</v>
      </c>
      <c r="F428" s="85">
        <f t="shared" si="153"/>
        <v>0</v>
      </c>
      <c r="G428" s="85">
        <f t="shared" si="153"/>
        <v>0</v>
      </c>
      <c r="H428" s="85">
        <f t="shared" si="153"/>
        <v>3.61</v>
      </c>
      <c r="I428" s="85">
        <f t="shared" si="153"/>
        <v>0</v>
      </c>
      <c r="J428" s="85">
        <f t="shared" si="153"/>
        <v>0.19</v>
      </c>
      <c r="K428" s="76">
        <v>0</v>
      </c>
      <c r="L428" s="497">
        <f t="shared" si="143"/>
        <v>3.8</v>
      </c>
      <c r="M428" s="320"/>
      <c r="N428" s="476"/>
      <c r="O428" s="962">
        <v>1</v>
      </c>
      <c r="P428" s="842" t="s">
        <v>617</v>
      </c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68"/>
    </row>
    <row r="429" spans="1:58" s="51" customFormat="1" ht="51.75" customHeight="1">
      <c r="A429" s="796"/>
      <c r="B429" s="869"/>
      <c r="C429" s="1103"/>
      <c r="D429" s="62">
        <v>2024</v>
      </c>
      <c r="E429" s="63">
        <f>F429+G429+H429+I429+J429</f>
        <v>3.8</v>
      </c>
      <c r="F429" s="63">
        <v>0</v>
      </c>
      <c r="G429" s="63">
        <v>0</v>
      </c>
      <c r="H429" s="63">
        <v>3.61</v>
      </c>
      <c r="I429" s="63">
        <v>0</v>
      </c>
      <c r="J429" s="63">
        <v>0.19</v>
      </c>
      <c r="K429" s="76">
        <v>0</v>
      </c>
      <c r="L429" s="497">
        <f t="shared" si="143"/>
        <v>3.8</v>
      </c>
      <c r="M429" s="382" t="s">
        <v>618</v>
      </c>
      <c r="N429" s="476"/>
      <c r="O429" s="893"/>
      <c r="P429" s="843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68"/>
    </row>
    <row r="430" spans="1:58" s="51" customFormat="1">
      <c r="A430" s="794" t="s">
        <v>148</v>
      </c>
      <c r="B430" s="867" t="s">
        <v>620</v>
      </c>
      <c r="C430" s="881" t="s">
        <v>532</v>
      </c>
      <c r="D430" s="84" t="s">
        <v>16</v>
      </c>
      <c r="E430" s="85">
        <f t="shared" ref="E430:J430" si="154">E431</f>
        <v>3.8</v>
      </c>
      <c r="F430" s="85">
        <f t="shared" si="154"/>
        <v>0</v>
      </c>
      <c r="G430" s="85">
        <f t="shared" si="154"/>
        <v>0</v>
      </c>
      <c r="H430" s="85">
        <f t="shared" si="154"/>
        <v>3.61</v>
      </c>
      <c r="I430" s="85">
        <f t="shared" si="154"/>
        <v>0</v>
      </c>
      <c r="J430" s="85">
        <f t="shared" si="154"/>
        <v>0.19</v>
      </c>
      <c r="K430" s="76">
        <v>0</v>
      </c>
      <c r="L430" s="497">
        <f t="shared" si="143"/>
        <v>3.8</v>
      </c>
      <c r="M430" s="1031" t="s">
        <v>618</v>
      </c>
      <c r="N430" s="476"/>
      <c r="O430" s="962">
        <v>1</v>
      </c>
      <c r="P430" s="842" t="s">
        <v>539</v>
      </c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68"/>
    </row>
    <row r="431" spans="1:58" s="51" customFormat="1" ht="47.25" customHeight="1">
      <c r="A431" s="796"/>
      <c r="B431" s="869"/>
      <c r="C431" s="1103"/>
      <c r="D431" s="62">
        <v>2024</v>
      </c>
      <c r="E431" s="63">
        <f>F431+G431+H431+I431+J431</f>
        <v>3.8</v>
      </c>
      <c r="F431" s="63">
        <v>0</v>
      </c>
      <c r="G431" s="63">
        <v>0</v>
      </c>
      <c r="H431" s="63">
        <v>3.61</v>
      </c>
      <c r="I431" s="63">
        <v>0</v>
      </c>
      <c r="J431" s="63">
        <v>0.19</v>
      </c>
      <c r="K431" s="76">
        <v>0</v>
      </c>
      <c r="L431" s="497">
        <f t="shared" si="143"/>
        <v>3.8</v>
      </c>
      <c r="M431" s="945"/>
      <c r="N431" s="476"/>
      <c r="O431" s="893"/>
      <c r="P431" s="1016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AU431" s="49"/>
      <c r="AV431" s="49"/>
      <c r="AW431" s="49"/>
      <c r="AX431" s="49"/>
      <c r="AY431" s="49"/>
      <c r="AZ431" s="49"/>
      <c r="BA431" s="49"/>
      <c r="BB431" s="49"/>
      <c r="BC431" s="49"/>
      <c r="BD431" s="49"/>
      <c r="BE431" s="49"/>
      <c r="BF431" s="68"/>
    </row>
    <row r="432" spans="1:58" s="51" customFormat="1" ht="12.75" customHeight="1">
      <c r="A432" s="794" t="s">
        <v>150</v>
      </c>
      <c r="B432" s="867" t="s">
        <v>622</v>
      </c>
      <c r="C432" s="881" t="s">
        <v>532</v>
      </c>
      <c r="D432" s="84" t="s">
        <v>16</v>
      </c>
      <c r="E432" s="85">
        <f t="shared" ref="E432:J432" si="155">E433</f>
        <v>4.7</v>
      </c>
      <c r="F432" s="85">
        <f t="shared" si="155"/>
        <v>0</v>
      </c>
      <c r="G432" s="85">
        <f t="shared" si="155"/>
        <v>0</v>
      </c>
      <c r="H432" s="85">
        <f t="shared" si="155"/>
        <v>4.5</v>
      </c>
      <c r="I432" s="85">
        <f t="shared" si="155"/>
        <v>0</v>
      </c>
      <c r="J432" s="85">
        <f t="shared" si="155"/>
        <v>0.2</v>
      </c>
      <c r="K432" s="76">
        <v>0</v>
      </c>
      <c r="L432" s="497">
        <f t="shared" si="143"/>
        <v>4.7</v>
      </c>
      <c r="M432" s="320"/>
      <c r="N432" s="476"/>
      <c r="O432" s="1034">
        <v>2</v>
      </c>
      <c r="P432" s="842" t="s">
        <v>571</v>
      </c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49"/>
      <c r="BC432" s="49"/>
      <c r="BD432" s="49"/>
      <c r="BE432" s="49"/>
      <c r="BF432" s="68"/>
    </row>
    <row r="433" spans="1:58" s="51" customFormat="1" ht="45" customHeight="1">
      <c r="A433" s="796"/>
      <c r="B433" s="869"/>
      <c r="C433" s="1103"/>
      <c r="D433" s="62">
        <v>2025</v>
      </c>
      <c r="E433" s="63">
        <f>F433+G433+H433+I433+J433</f>
        <v>4.7</v>
      </c>
      <c r="F433" s="63">
        <v>0</v>
      </c>
      <c r="G433" s="63">
        <v>0</v>
      </c>
      <c r="H433" s="63">
        <v>4.5</v>
      </c>
      <c r="I433" s="63">
        <v>0</v>
      </c>
      <c r="J433" s="63">
        <v>0.2</v>
      </c>
      <c r="K433" s="76">
        <v>0</v>
      </c>
      <c r="L433" s="497">
        <f t="shared" si="143"/>
        <v>4.7</v>
      </c>
      <c r="M433" s="382" t="s">
        <v>442</v>
      </c>
      <c r="N433" s="476"/>
      <c r="O433" s="893"/>
      <c r="P433" s="1016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49"/>
      <c r="BC433" s="49"/>
      <c r="BD433" s="49"/>
      <c r="BE433" s="49"/>
      <c r="BF433" s="68"/>
    </row>
    <row r="434" spans="1:58" s="51" customFormat="1" ht="19.5" customHeight="1">
      <c r="A434" s="794" t="s">
        <v>152</v>
      </c>
      <c r="B434" s="881" t="s">
        <v>624</v>
      </c>
      <c r="C434" s="881" t="s">
        <v>609</v>
      </c>
      <c r="D434" s="84" t="s">
        <v>16</v>
      </c>
      <c r="E434" s="85">
        <f t="shared" ref="E434:J434" si="156">E435+E436+E437</f>
        <v>47.718299999999999</v>
      </c>
      <c r="F434" s="85">
        <f t="shared" si="156"/>
        <v>0</v>
      </c>
      <c r="G434" s="85">
        <f t="shared" si="156"/>
        <v>0</v>
      </c>
      <c r="H434" s="85">
        <f t="shared" si="156"/>
        <v>47.613300000000002</v>
      </c>
      <c r="I434" s="85">
        <f t="shared" si="156"/>
        <v>0</v>
      </c>
      <c r="J434" s="85">
        <f t="shared" si="156"/>
        <v>0.105</v>
      </c>
      <c r="K434" s="76">
        <v>0</v>
      </c>
      <c r="L434" s="497">
        <f t="shared" si="143"/>
        <v>47.718299999999999</v>
      </c>
      <c r="M434" s="1031" t="s">
        <v>1175</v>
      </c>
      <c r="N434" s="476"/>
      <c r="O434" s="513"/>
      <c r="P434" s="842" t="s">
        <v>1176</v>
      </c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49"/>
      <c r="BC434" s="49"/>
      <c r="BD434" s="49"/>
      <c r="BE434" s="49"/>
      <c r="BF434" s="68"/>
    </row>
    <row r="435" spans="1:58" s="51" customFormat="1">
      <c r="A435" s="795"/>
      <c r="B435" s="882"/>
      <c r="C435" s="882"/>
      <c r="D435" s="62">
        <v>2020</v>
      </c>
      <c r="E435" s="63">
        <f>F435+G435+H435+I435+J435</f>
        <v>3.03</v>
      </c>
      <c r="F435" s="63">
        <v>0</v>
      </c>
      <c r="G435" s="63">
        <v>0</v>
      </c>
      <c r="H435" s="63">
        <v>3</v>
      </c>
      <c r="I435" s="63">
        <v>0</v>
      </c>
      <c r="J435" s="63">
        <v>0.03</v>
      </c>
      <c r="K435" s="76">
        <v>0</v>
      </c>
      <c r="L435" s="497">
        <f t="shared" si="143"/>
        <v>3.03</v>
      </c>
      <c r="M435" s="1032"/>
      <c r="N435" s="476"/>
      <c r="O435" s="323"/>
      <c r="P435" s="1016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49"/>
      <c r="BC435" s="49"/>
      <c r="BD435" s="49"/>
      <c r="BE435" s="49"/>
      <c r="BF435" s="68"/>
    </row>
    <row r="436" spans="1:58" s="51" customFormat="1">
      <c r="A436" s="795"/>
      <c r="B436" s="882"/>
      <c r="C436" s="882"/>
      <c r="D436" s="62">
        <v>2021</v>
      </c>
      <c r="E436" s="63">
        <f>F436+G436+H436+I436+J436</f>
        <v>6.0750000000000002</v>
      </c>
      <c r="F436" s="63">
        <v>0</v>
      </c>
      <c r="G436" s="63">
        <v>0</v>
      </c>
      <c r="H436" s="63">
        <v>6</v>
      </c>
      <c r="I436" s="63">
        <v>0</v>
      </c>
      <c r="J436" s="504">
        <v>7.4999999999999997E-2</v>
      </c>
      <c r="K436" s="76">
        <v>0</v>
      </c>
      <c r="L436" s="497">
        <f t="shared" si="143"/>
        <v>6.0750000000000002</v>
      </c>
      <c r="M436" s="1032"/>
      <c r="N436" s="476"/>
      <c r="O436" s="324"/>
      <c r="P436" s="1016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49"/>
      <c r="BC436" s="49"/>
      <c r="BD436" s="49"/>
      <c r="BE436" s="49"/>
      <c r="BF436" s="68"/>
    </row>
    <row r="437" spans="1:58" s="51" customFormat="1" ht="26.25" customHeight="1">
      <c r="A437" s="796"/>
      <c r="B437" s="964"/>
      <c r="C437" s="964"/>
      <c r="D437" s="62">
        <v>2023</v>
      </c>
      <c r="E437" s="63">
        <f>F437+G437+H437+I437+J437</f>
        <v>38.613300000000002</v>
      </c>
      <c r="F437" s="63">
        <v>0</v>
      </c>
      <c r="G437" s="63">
        <v>0</v>
      </c>
      <c r="H437" s="63">
        <v>38.613300000000002</v>
      </c>
      <c r="I437" s="63">
        <v>0</v>
      </c>
      <c r="J437" s="504">
        <v>0</v>
      </c>
      <c r="K437" s="76">
        <v>0</v>
      </c>
      <c r="L437" s="497">
        <f t="shared" si="143"/>
        <v>38.613300000000002</v>
      </c>
      <c r="M437" s="1033"/>
      <c r="N437" s="476"/>
      <c r="O437" s="324"/>
      <c r="P437" s="843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49"/>
      <c r="BC437" s="49"/>
      <c r="BD437" s="49"/>
      <c r="BE437" s="49"/>
      <c r="BF437" s="68"/>
    </row>
    <row r="438" spans="1:58" s="51" customFormat="1" ht="18.75" customHeight="1">
      <c r="A438" s="794" t="s">
        <v>154</v>
      </c>
      <c r="B438" s="867" t="s">
        <v>1177</v>
      </c>
      <c r="C438" s="881" t="s">
        <v>532</v>
      </c>
      <c r="D438" s="84" t="s">
        <v>16</v>
      </c>
      <c r="E438" s="85">
        <f t="shared" ref="E438:J438" si="157">E439</f>
        <v>3.8</v>
      </c>
      <c r="F438" s="85">
        <f t="shared" si="157"/>
        <v>0</v>
      </c>
      <c r="G438" s="85">
        <f t="shared" si="157"/>
        <v>0</v>
      </c>
      <c r="H438" s="85">
        <f t="shared" si="157"/>
        <v>3.61</v>
      </c>
      <c r="I438" s="85">
        <f t="shared" si="157"/>
        <v>0</v>
      </c>
      <c r="J438" s="85">
        <f t="shared" si="157"/>
        <v>0.19</v>
      </c>
      <c r="K438" s="76">
        <v>0</v>
      </c>
      <c r="L438" s="497">
        <f t="shared" si="143"/>
        <v>3.8</v>
      </c>
      <c r="M438" s="1031" t="s">
        <v>618</v>
      </c>
      <c r="N438" s="476"/>
      <c r="O438" s="962">
        <v>1</v>
      </c>
      <c r="P438" s="842" t="s">
        <v>586</v>
      </c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68"/>
    </row>
    <row r="439" spans="1:58" s="51" customFormat="1" ht="33.75" customHeight="1">
      <c r="A439" s="796"/>
      <c r="B439" s="869"/>
      <c r="C439" s="1103"/>
      <c r="D439" s="84">
        <v>2024</v>
      </c>
      <c r="E439" s="63">
        <f>F439+G439+H439+I439+J439</f>
        <v>3.8</v>
      </c>
      <c r="F439" s="63">
        <v>0</v>
      </c>
      <c r="G439" s="63">
        <v>0</v>
      </c>
      <c r="H439" s="63">
        <v>3.61</v>
      </c>
      <c r="I439" s="63">
        <v>0</v>
      </c>
      <c r="J439" s="63">
        <v>0.19</v>
      </c>
      <c r="K439" s="76">
        <v>0</v>
      </c>
      <c r="L439" s="497">
        <f t="shared" si="143"/>
        <v>3.8</v>
      </c>
      <c r="M439" s="945"/>
      <c r="N439" s="476"/>
      <c r="O439" s="893"/>
      <c r="P439" s="1016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49"/>
      <c r="BC439" s="49"/>
      <c r="BD439" s="49"/>
      <c r="BE439" s="49"/>
      <c r="BF439" s="68"/>
    </row>
    <row r="440" spans="1:58" s="51" customFormat="1" ht="18.75" customHeight="1">
      <c r="A440" s="794" t="s">
        <v>156</v>
      </c>
      <c r="B440" s="867" t="s">
        <v>628</v>
      </c>
      <c r="C440" s="881" t="s">
        <v>532</v>
      </c>
      <c r="D440" s="84" t="s">
        <v>16</v>
      </c>
      <c r="E440" s="85">
        <f t="shared" ref="E440:J440" si="158">E441</f>
        <v>3.8</v>
      </c>
      <c r="F440" s="85">
        <f t="shared" si="158"/>
        <v>0</v>
      </c>
      <c r="G440" s="85">
        <f t="shared" si="158"/>
        <v>0</v>
      </c>
      <c r="H440" s="85">
        <f t="shared" si="158"/>
        <v>3.61</v>
      </c>
      <c r="I440" s="85">
        <f t="shared" si="158"/>
        <v>0</v>
      </c>
      <c r="J440" s="85">
        <f t="shared" si="158"/>
        <v>0.19</v>
      </c>
      <c r="K440" s="76">
        <v>0</v>
      </c>
      <c r="L440" s="497">
        <f t="shared" si="143"/>
        <v>3.8</v>
      </c>
      <c r="M440" s="1031" t="s">
        <v>618</v>
      </c>
      <c r="N440" s="476"/>
      <c r="O440" s="962">
        <v>1</v>
      </c>
      <c r="P440" s="1016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49"/>
      <c r="BC440" s="49"/>
      <c r="BD440" s="49"/>
      <c r="BE440" s="49"/>
      <c r="BF440" s="68"/>
    </row>
    <row r="441" spans="1:58" s="51" customFormat="1" ht="42" customHeight="1">
      <c r="A441" s="796"/>
      <c r="B441" s="869"/>
      <c r="C441" s="1103"/>
      <c r="D441" s="84">
        <v>2025</v>
      </c>
      <c r="E441" s="63">
        <f>F441+G441+H441+I441+J441</f>
        <v>3.8</v>
      </c>
      <c r="F441" s="63">
        <v>0</v>
      </c>
      <c r="G441" s="63">
        <v>0</v>
      </c>
      <c r="H441" s="63">
        <v>3.61</v>
      </c>
      <c r="I441" s="63">
        <v>0</v>
      </c>
      <c r="J441" s="63">
        <v>0.19</v>
      </c>
      <c r="K441" s="76">
        <v>0</v>
      </c>
      <c r="L441" s="497">
        <f t="shared" si="143"/>
        <v>3.8</v>
      </c>
      <c r="M441" s="945"/>
      <c r="N441" s="476"/>
      <c r="O441" s="893"/>
      <c r="P441" s="1016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  <c r="AT441" s="49"/>
      <c r="AU441" s="49"/>
      <c r="AV441" s="49"/>
      <c r="AW441" s="49"/>
      <c r="AX441" s="49"/>
      <c r="AY441" s="49"/>
      <c r="AZ441" s="49"/>
      <c r="BA441" s="49"/>
      <c r="BB441" s="49"/>
      <c r="BC441" s="49"/>
      <c r="BD441" s="49"/>
      <c r="BE441" s="49"/>
      <c r="BF441" s="68"/>
    </row>
    <row r="442" spans="1:58" s="51" customFormat="1" ht="21" customHeight="1">
      <c r="A442" s="794" t="s">
        <v>158</v>
      </c>
      <c r="B442" s="867" t="s">
        <v>630</v>
      </c>
      <c r="C442" s="881" t="s">
        <v>532</v>
      </c>
      <c r="D442" s="84" t="s">
        <v>16</v>
      </c>
      <c r="E442" s="85">
        <f t="shared" ref="E442:J442" si="159">E443</f>
        <v>3.8</v>
      </c>
      <c r="F442" s="85">
        <f t="shared" si="159"/>
        <v>0</v>
      </c>
      <c r="G442" s="85">
        <f t="shared" si="159"/>
        <v>0</v>
      </c>
      <c r="H442" s="85">
        <f t="shared" si="159"/>
        <v>3.61</v>
      </c>
      <c r="I442" s="85">
        <f t="shared" si="159"/>
        <v>0</v>
      </c>
      <c r="J442" s="85">
        <f t="shared" si="159"/>
        <v>0.19</v>
      </c>
      <c r="K442" s="76">
        <v>0</v>
      </c>
      <c r="L442" s="497">
        <f t="shared" si="143"/>
        <v>3.8</v>
      </c>
      <c r="M442" s="341" t="s">
        <v>618</v>
      </c>
      <c r="N442" s="476"/>
      <c r="O442" s="962">
        <v>1</v>
      </c>
      <c r="P442" s="842" t="s">
        <v>589</v>
      </c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  <c r="AT442" s="49"/>
      <c r="AU442" s="49"/>
      <c r="AV442" s="49"/>
      <c r="AW442" s="49"/>
      <c r="AX442" s="49"/>
      <c r="AY442" s="49"/>
      <c r="AZ442" s="49"/>
      <c r="BA442" s="49"/>
      <c r="BB442" s="49"/>
      <c r="BC442" s="49"/>
      <c r="BD442" s="49"/>
      <c r="BE442" s="49"/>
      <c r="BF442" s="68"/>
    </row>
    <row r="443" spans="1:58" s="51" customFormat="1" ht="31.5" customHeight="1">
      <c r="A443" s="796"/>
      <c r="B443" s="869"/>
      <c r="C443" s="1103"/>
      <c r="D443" s="84">
        <v>2026</v>
      </c>
      <c r="E443" s="63">
        <f>F443+G443+H443+I443+J443</f>
        <v>3.8</v>
      </c>
      <c r="F443" s="63">
        <v>0</v>
      </c>
      <c r="G443" s="63">
        <v>0</v>
      </c>
      <c r="H443" s="63">
        <v>3.61</v>
      </c>
      <c r="I443" s="63">
        <v>0</v>
      </c>
      <c r="J443" s="63">
        <v>0.19</v>
      </c>
      <c r="K443" s="76">
        <v>0</v>
      </c>
      <c r="L443" s="497">
        <f t="shared" si="143"/>
        <v>3.8</v>
      </c>
      <c r="M443" s="239"/>
      <c r="N443" s="476"/>
      <c r="O443" s="893"/>
      <c r="P443" s="1016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49"/>
      <c r="BC443" s="49"/>
      <c r="BD443" s="49"/>
      <c r="BE443" s="49"/>
      <c r="BF443" s="68"/>
    </row>
    <row r="444" spans="1:58" s="51" customFormat="1" ht="19.5" customHeight="1">
      <c r="A444" s="794" t="s">
        <v>160</v>
      </c>
      <c r="B444" s="867" t="s">
        <v>632</v>
      </c>
      <c r="C444" s="881" t="s">
        <v>532</v>
      </c>
      <c r="D444" s="84" t="s">
        <v>16</v>
      </c>
      <c r="E444" s="85">
        <f t="shared" ref="E444:J444" si="160">E445</f>
        <v>5</v>
      </c>
      <c r="F444" s="85">
        <f t="shared" si="160"/>
        <v>0</v>
      </c>
      <c r="G444" s="85">
        <f t="shared" si="160"/>
        <v>0</v>
      </c>
      <c r="H444" s="85">
        <f t="shared" si="160"/>
        <v>4.9263000000000003</v>
      </c>
      <c r="I444" s="85">
        <f t="shared" si="160"/>
        <v>0</v>
      </c>
      <c r="J444" s="85">
        <f t="shared" si="160"/>
        <v>7.3700000000000002E-2</v>
      </c>
      <c r="K444" s="76">
        <v>0</v>
      </c>
      <c r="L444" s="497">
        <f t="shared" si="143"/>
        <v>5</v>
      </c>
      <c r="M444" s="1031" t="s">
        <v>618</v>
      </c>
      <c r="N444" s="1168"/>
      <c r="O444" s="962">
        <v>1</v>
      </c>
      <c r="P444" s="842" t="s">
        <v>633</v>
      </c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68"/>
    </row>
    <row r="445" spans="1:58" s="51" customFormat="1" ht="34.5" customHeight="1">
      <c r="A445" s="796"/>
      <c r="B445" s="873"/>
      <c r="C445" s="1103"/>
      <c r="D445" s="62">
        <v>2027</v>
      </c>
      <c r="E445" s="63">
        <f>F445+G445+H445+I445+J445</f>
        <v>5</v>
      </c>
      <c r="F445" s="63">
        <v>0</v>
      </c>
      <c r="G445" s="63">
        <v>0</v>
      </c>
      <c r="H445" s="63">
        <v>4.9263000000000003</v>
      </c>
      <c r="I445" s="63">
        <v>0</v>
      </c>
      <c r="J445" s="63">
        <v>7.3700000000000002E-2</v>
      </c>
      <c r="K445" s="76">
        <v>0</v>
      </c>
      <c r="L445" s="497">
        <f t="shared" si="143"/>
        <v>5</v>
      </c>
      <c r="M445" s="945"/>
      <c r="N445" s="1168"/>
      <c r="O445" s="893"/>
      <c r="P445" s="843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  <c r="AY445" s="49"/>
      <c r="AZ445" s="49"/>
      <c r="BA445" s="49"/>
      <c r="BB445" s="49"/>
      <c r="BC445" s="49"/>
      <c r="BD445" s="49"/>
      <c r="BE445" s="49"/>
      <c r="BF445" s="68"/>
    </row>
    <row r="446" spans="1:58" s="51" customFormat="1" ht="24" customHeight="1">
      <c r="A446" s="794" t="s">
        <v>162</v>
      </c>
      <c r="B446" s="867" t="s">
        <v>1178</v>
      </c>
      <c r="C446" s="881" t="s">
        <v>532</v>
      </c>
      <c r="D446" s="84" t="s">
        <v>16</v>
      </c>
      <c r="E446" s="85">
        <f t="shared" ref="E446:J446" si="161">E447</f>
        <v>4.7</v>
      </c>
      <c r="F446" s="85">
        <f t="shared" si="161"/>
        <v>0</v>
      </c>
      <c r="G446" s="85">
        <f t="shared" si="161"/>
        <v>0</v>
      </c>
      <c r="H446" s="85">
        <f t="shared" si="161"/>
        <v>4.5</v>
      </c>
      <c r="I446" s="85">
        <f t="shared" si="161"/>
        <v>0</v>
      </c>
      <c r="J446" s="85">
        <f t="shared" si="161"/>
        <v>0.2</v>
      </c>
      <c r="K446" s="76">
        <v>0</v>
      </c>
      <c r="L446" s="497"/>
      <c r="M446" s="1031" t="s">
        <v>442</v>
      </c>
      <c r="N446" s="1100"/>
      <c r="O446" s="1102">
        <v>2</v>
      </c>
      <c r="P446" s="842" t="s">
        <v>549</v>
      </c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49"/>
      <c r="BF446" s="68"/>
    </row>
    <row r="447" spans="1:58" s="51" customFormat="1" ht="34.5" customHeight="1">
      <c r="A447" s="796"/>
      <c r="B447" s="873"/>
      <c r="C447" s="1103"/>
      <c r="D447" s="62">
        <v>2024</v>
      </c>
      <c r="E447" s="63">
        <f>F447+G447+H447+I447+J447</f>
        <v>4.7</v>
      </c>
      <c r="F447" s="63">
        <v>0</v>
      </c>
      <c r="G447" s="63">
        <v>0</v>
      </c>
      <c r="H447" s="63">
        <v>4.5</v>
      </c>
      <c r="I447" s="63">
        <v>0</v>
      </c>
      <c r="J447" s="63">
        <v>0.2</v>
      </c>
      <c r="K447" s="76">
        <v>0</v>
      </c>
      <c r="L447" s="497"/>
      <c r="M447" s="1033"/>
      <c r="N447" s="1101"/>
      <c r="O447" s="945"/>
      <c r="P447" s="1016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68"/>
    </row>
    <row r="448" spans="1:58" s="51" customFormat="1">
      <c r="A448" s="794" t="s">
        <v>1179</v>
      </c>
      <c r="B448" s="867" t="s">
        <v>638</v>
      </c>
      <c r="C448" s="1077" t="s">
        <v>639</v>
      </c>
      <c r="D448" s="84" t="s">
        <v>16</v>
      </c>
      <c r="E448" s="85">
        <f t="shared" ref="E448:J448" si="162">E449</f>
        <v>14.9</v>
      </c>
      <c r="F448" s="85">
        <f t="shared" si="162"/>
        <v>0</v>
      </c>
      <c r="G448" s="85">
        <f t="shared" si="162"/>
        <v>0</v>
      </c>
      <c r="H448" s="85">
        <f t="shared" si="162"/>
        <v>12.4</v>
      </c>
      <c r="I448" s="85">
        <f t="shared" si="162"/>
        <v>2.5</v>
      </c>
      <c r="J448" s="85">
        <f t="shared" si="162"/>
        <v>0</v>
      </c>
      <c r="K448" s="76">
        <v>0</v>
      </c>
      <c r="L448" s="497">
        <f>F448+G448+H448+I448+J448</f>
        <v>14.9</v>
      </c>
      <c r="M448" s="330"/>
      <c r="N448" s="476"/>
      <c r="O448" s="301"/>
      <c r="P448" s="842" t="s">
        <v>640</v>
      </c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49"/>
      <c r="BC448" s="49"/>
      <c r="BD448" s="49"/>
      <c r="BE448" s="49"/>
      <c r="BF448" s="68"/>
    </row>
    <row r="449" spans="1:58" s="51" customFormat="1" ht="93" customHeight="1">
      <c r="A449" s="1217"/>
      <c r="B449" s="873"/>
      <c r="C449" s="1077"/>
      <c r="D449" s="84">
        <v>2019</v>
      </c>
      <c r="E449" s="63">
        <f>F449+G449+H449+I449+J449</f>
        <v>14.9</v>
      </c>
      <c r="F449" s="63">
        <v>0</v>
      </c>
      <c r="G449" s="63">
        <v>0</v>
      </c>
      <c r="H449" s="63">
        <v>12.4</v>
      </c>
      <c r="I449" s="63">
        <v>2.5</v>
      </c>
      <c r="J449" s="63">
        <v>0</v>
      </c>
      <c r="K449" s="76">
        <v>0</v>
      </c>
      <c r="L449" s="497">
        <f>F449+G449+H449+I449+J449</f>
        <v>14.9</v>
      </c>
      <c r="M449" s="330"/>
      <c r="N449" s="476"/>
      <c r="O449" s="301"/>
      <c r="P449" s="843"/>
      <c r="Q449" s="333"/>
      <c r="R449" s="333"/>
      <c r="S449" s="333"/>
      <c r="T449" s="333"/>
      <c r="U449" s="333"/>
      <c r="V449" s="333"/>
      <c r="W449" s="333"/>
      <c r="X449" s="333"/>
      <c r="Y449" s="333"/>
      <c r="Z449" s="333"/>
      <c r="AA449" s="333"/>
      <c r="AB449" s="333"/>
      <c r="AC449" s="333"/>
      <c r="AD449" s="333"/>
      <c r="AE449" s="333"/>
      <c r="AF449" s="333"/>
      <c r="AG449" s="333"/>
      <c r="AH449" s="333"/>
      <c r="AI449" s="333"/>
      <c r="AJ449" s="333"/>
      <c r="AK449" s="333"/>
      <c r="AL449" s="333"/>
      <c r="AM449" s="333"/>
      <c r="AN449" s="333"/>
      <c r="AO449" s="333"/>
      <c r="AP449" s="333"/>
      <c r="AQ449" s="333"/>
      <c r="AR449" s="333"/>
      <c r="AS449" s="333"/>
      <c r="AT449" s="333"/>
      <c r="AU449" s="333"/>
      <c r="AV449" s="333"/>
      <c r="AW449" s="333"/>
      <c r="AX449" s="333"/>
      <c r="AY449" s="333"/>
      <c r="AZ449" s="333"/>
      <c r="BA449" s="333"/>
      <c r="BB449" s="333"/>
      <c r="BC449" s="333"/>
      <c r="BD449" s="333"/>
      <c r="BE449" s="333"/>
      <c r="BF449" s="68"/>
    </row>
    <row r="450" spans="1:58" s="334" customFormat="1" ht="33" customHeight="1">
      <c r="A450" s="794" t="s">
        <v>1180</v>
      </c>
      <c r="B450" s="881" t="s">
        <v>642</v>
      </c>
      <c r="C450" s="1077" t="s">
        <v>609</v>
      </c>
      <c r="D450" s="84" t="s">
        <v>16</v>
      </c>
      <c r="E450" s="85">
        <f t="shared" ref="E450:J450" si="163">E451</f>
        <v>1.4875</v>
      </c>
      <c r="F450" s="85">
        <f t="shared" si="163"/>
        <v>0</v>
      </c>
      <c r="G450" s="85">
        <f t="shared" si="163"/>
        <v>0</v>
      </c>
      <c r="H450" s="85">
        <f t="shared" si="163"/>
        <v>1.4125000000000001</v>
      </c>
      <c r="I450" s="85">
        <f t="shared" si="163"/>
        <v>0</v>
      </c>
      <c r="J450" s="85">
        <f t="shared" si="163"/>
        <v>7.4999999999999997E-2</v>
      </c>
      <c r="K450" s="76">
        <v>0</v>
      </c>
      <c r="L450" s="474">
        <f>F450+G450+H450+I450+J450</f>
        <v>1.4875</v>
      </c>
      <c r="M450" s="1029" t="s">
        <v>410</v>
      </c>
      <c r="N450" s="476"/>
      <c r="O450" s="399"/>
      <c r="P450" s="842" t="s">
        <v>571</v>
      </c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  <c r="AT450" s="49"/>
      <c r="AU450" s="49"/>
      <c r="AV450" s="49"/>
      <c r="AW450" s="49"/>
      <c r="AX450" s="49"/>
      <c r="AY450" s="49"/>
      <c r="AZ450" s="49"/>
      <c r="BA450" s="49"/>
      <c r="BB450" s="49"/>
      <c r="BC450" s="49"/>
      <c r="BD450" s="49"/>
      <c r="BE450" s="49"/>
      <c r="BF450" s="336"/>
    </row>
    <row r="451" spans="1:58" s="334" customFormat="1">
      <c r="A451" s="796"/>
      <c r="B451" s="964"/>
      <c r="C451" s="1077"/>
      <c r="D451" s="62">
        <v>2022</v>
      </c>
      <c r="E451" s="63">
        <f>F451+G451+H451+I451+J451</f>
        <v>1.4875</v>
      </c>
      <c r="F451" s="63">
        <v>0</v>
      </c>
      <c r="G451" s="63">
        <v>0</v>
      </c>
      <c r="H451" s="63">
        <v>1.4125000000000001</v>
      </c>
      <c r="I451" s="63">
        <v>0</v>
      </c>
      <c r="J451" s="63">
        <v>7.4999999999999997E-2</v>
      </c>
      <c r="K451" s="76">
        <v>0</v>
      </c>
      <c r="L451" s="474">
        <f>F451+G451+H451+I451+J451</f>
        <v>1.4875</v>
      </c>
      <c r="M451" s="1029"/>
      <c r="N451" s="476"/>
      <c r="O451" s="399"/>
      <c r="P451" s="843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49"/>
      <c r="BC451" s="49"/>
      <c r="BD451" s="49"/>
      <c r="BE451" s="49"/>
      <c r="BF451" s="336"/>
    </row>
    <row r="452" spans="1:58" s="334" customFormat="1" ht="24.75" customHeight="1">
      <c r="A452" s="1111" t="s">
        <v>1181</v>
      </c>
      <c r="B452" s="838" t="s">
        <v>644</v>
      </c>
      <c r="C452" s="915" t="s">
        <v>532</v>
      </c>
      <c r="D452" s="84" t="s">
        <v>16</v>
      </c>
      <c r="E452" s="141">
        <f>E454+E453</f>
        <v>8.7075999999999993</v>
      </c>
      <c r="F452" s="141">
        <f>F454</f>
        <v>0</v>
      </c>
      <c r="G452" s="141">
        <f>G454</f>
        <v>4.6056999999999997</v>
      </c>
      <c r="H452" s="141">
        <f>G454</f>
        <v>4.6056999999999997</v>
      </c>
      <c r="I452" s="141">
        <f>I454</f>
        <v>0.1</v>
      </c>
      <c r="J452" s="141">
        <f>H454</f>
        <v>0.19189999999999999</v>
      </c>
      <c r="K452" s="76">
        <v>0</v>
      </c>
      <c r="L452" s="497">
        <f>F452+G452+H452+I452+J452</f>
        <v>9.5032999999999994</v>
      </c>
      <c r="M452" s="375"/>
      <c r="N452" s="476"/>
      <c r="O452" s="335"/>
      <c r="P452" s="842" t="s">
        <v>645</v>
      </c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49"/>
      <c r="BC452" s="49"/>
      <c r="BD452" s="49"/>
      <c r="BE452" s="49"/>
      <c r="BF452" s="336"/>
    </row>
    <row r="453" spans="1:58" s="334" customFormat="1" ht="18.75" customHeight="1">
      <c r="A453" s="1039"/>
      <c r="B453" s="839"/>
      <c r="C453" s="916"/>
      <c r="D453" s="62">
        <v>2020</v>
      </c>
      <c r="E453" s="314">
        <f>F453+G453+H453+I453+J453</f>
        <v>3.8</v>
      </c>
      <c r="F453" s="314">
        <v>0</v>
      </c>
      <c r="G453" s="314">
        <v>0</v>
      </c>
      <c r="H453" s="314">
        <v>3.61</v>
      </c>
      <c r="I453" s="314">
        <v>0</v>
      </c>
      <c r="J453" s="314">
        <v>0.19</v>
      </c>
      <c r="K453" s="76">
        <v>0</v>
      </c>
      <c r="L453" s="497"/>
      <c r="M453" s="375"/>
      <c r="N453" s="476"/>
      <c r="O453" s="335"/>
      <c r="P453" s="1016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49"/>
      <c r="BC453" s="49"/>
      <c r="BD453" s="49"/>
      <c r="BE453" s="49"/>
      <c r="BF453" s="336"/>
    </row>
    <row r="454" spans="1:58" s="334" customFormat="1" ht="41.25" customHeight="1">
      <c r="A454" s="958"/>
      <c r="B454" s="854"/>
      <c r="C454" s="1153"/>
      <c r="D454" s="429">
        <v>2022</v>
      </c>
      <c r="E454" s="548">
        <f>F454+G454+H454+I454+J454</f>
        <v>4.9075999999999995</v>
      </c>
      <c r="F454" s="548">
        <v>0</v>
      </c>
      <c r="G454" s="548">
        <v>4.6056999999999997</v>
      </c>
      <c r="H454" s="548">
        <v>0.19189999999999999</v>
      </c>
      <c r="I454" s="548">
        <v>0.1</v>
      </c>
      <c r="J454" s="548">
        <v>0.01</v>
      </c>
      <c r="K454" s="76">
        <v>0</v>
      </c>
      <c r="L454" s="497"/>
      <c r="M454" s="375" t="s">
        <v>618</v>
      </c>
      <c r="N454" s="476"/>
      <c r="O454" s="335"/>
      <c r="P454" s="843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/>
      <c r="AX454" s="49"/>
      <c r="AY454" s="49"/>
      <c r="AZ454" s="49"/>
      <c r="BA454" s="49"/>
      <c r="BB454" s="49"/>
      <c r="BC454" s="49"/>
      <c r="BD454" s="49"/>
      <c r="BE454" s="49"/>
      <c r="BF454" s="336"/>
    </row>
    <row r="455" spans="1:58" s="51" customFormat="1" ht="19.5" customHeight="1">
      <c r="A455" s="794" t="s">
        <v>1182</v>
      </c>
      <c r="B455" s="870" t="s">
        <v>635</v>
      </c>
      <c r="C455" s="1019" t="s">
        <v>1098</v>
      </c>
      <c r="D455" s="84" t="s">
        <v>16</v>
      </c>
      <c r="E455" s="85">
        <f t="shared" ref="E455:J455" si="164">E456+E457</f>
        <v>0</v>
      </c>
      <c r="F455" s="85">
        <f t="shared" si="164"/>
        <v>0</v>
      </c>
      <c r="G455" s="85">
        <f t="shared" si="164"/>
        <v>0</v>
      </c>
      <c r="H455" s="85">
        <f t="shared" si="164"/>
        <v>0</v>
      </c>
      <c r="I455" s="85">
        <f t="shared" si="164"/>
        <v>0</v>
      </c>
      <c r="J455" s="85">
        <f t="shared" si="164"/>
        <v>0</v>
      </c>
      <c r="K455" s="76">
        <v>0</v>
      </c>
      <c r="L455" s="497">
        <f t="shared" ref="L455:L476" si="165">F455+G455+H455+I455+J455</f>
        <v>0</v>
      </c>
      <c r="M455" s="1028" t="s">
        <v>636</v>
      </c>
      <c r="N455" s="476"/>
      <c r="O455" s="301"/>
      <c r="P455" s="881" t="s">
        <v>352</v>
      </c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49"/>
      <c r="BC455" s="49"/>
      <c r="BD455" s="49"/>
      <c r="BE455" s="49"/>
      <c r="BF455" s="68"/>
    </row>
    <row r="456" spans="1:58" s="51" customFormat="1">
      <c r="A456" s="795"/>
      <c r="B456" s="870"/>
      <c r="C456" s="1019"/>
      <c r="D456" s="62">
        <v>2022</v>
      </c>
      <c r="E456" s="63">
        <f>F456+G456+H456+I456+J456</f>
        <v>0</v>
      </c>
      <c r="F456" s="63">
        <v>0</v>
      </c>
      <c r="G456" s="63">
        <v>0</v>
      </c>
      <c r="H456" s="63">
        <v>0</v>
      </c>
      <c r="I456" s="63">
        <v>0</v>
      </c>
      <c r="J456" s="63">
        <v>0</v>
      </c>
      <c r="K456" s="76">
        <v>0</v>
      </c>
      <c r="L456" s="497">
        <f t="shared" si="165"/>
        <v>0</v>
      </c>
      <c r="M456" s="1160"/>
      <c r="N456" s="476"/>
      <c r="O456" s="301"/>
      <c r="P456" s="882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49"/>
      <c r="BC456" s="49"/>
      <c r="BD456" s="49"/>
      <c r="BE456" s="49"/>
      <c r="BF456" s="68"/>
    </row>
    <row r="457" spans="1:58" s="51" customFormat="1" ht="19.5" customHeight="1">
      <c r="A457" s="796"/>
      <c r="B457" s="870"/>
      <c r="C457" s="1019"/>
      <c r="D457" s="327">
        <v>2023</v>
      </c>
      <c r="E457" s="63">
        <f>F457+G457+H457+I457+J457</f>
        <v>0</v>
      </c>
      <c r="F457" s="63">
        <v>0</v>
      </c>
      <c r="G457" s="63">
        <v>0</v>
      </c>
      <c r="H457" s="63">
        <v>0</v>
      </c>
      <c r="I457" s="63">
        <v>0</v>
      </c>
      <c r="J457" s="63">
        <v>0</v>
      </c>
      <c r="K457" s="76">
        <v>0</v>
      </c>
      <c r="L457" s="497">
        <f t="shared" si="165"/>
        <v>0</v>
      </c>
      <c r="M457" s="1026"/>
      <c r="N457" s="476"/>
      <c r="O457" s="301"/>
      <c r="P457" s="882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  <c r="AY457" s="49"/>
      <c r="AZ457" s="49"/>
      <c r="BA457" s="49"/>
      <c r="BB457" s="49"/>
      <c r="BC457" s="49"/>
      <c r="BD457" s="49"/>
      <c r="BE457" s="49"/>
      <c r="BF457" s="68"/>
    </row>
    <row r="458" spans="1:58" s="334" customFormat="1" ht="12.75" customHeight="1">
      <c r="A458" s="1128" t="s">
        <v>648</v>
      </c>
      <c r="B458" s="929" t="s">
        <v>127</v>
      </c>
      <c r="C458" s="1000"/>
      <c r="D458" s="550" t="s">
        <v>16</v>
      </c>
      <c r="E458" s="551">
        <f t="shared" ref="E458:J458" si="166">E459+E460+E461+E462+E463+E464+E465</f>
        <v>59.08570000000001</v>
      </c>
      <c r="F458" s="551">
        <f t="shared" si="166"/>
        <v>18.861099999999997</v>
      </c>
      <c r="G458" s="551">
        <f t="shared" si="166"/>
        <v>10.266200000000001</v>
      </c>
      <c r="H458" s="551">
        <f t="shared" si="166"/>
        <v>14.433400000000001</v>
      </c>
      <c r="I458" s="551">
        <f t="shared" si="166"/>
        <v>9.9450000000000003</v>
      </c>
      <c r="J458" s="552">
        <f t="shared" si="166"/>
        <v>5.58</v>
      </c>
      <c r="K458" s="76">
        <v>0</v>
      </c>
      <c r="L458" s="497">
        <f t="shared" si="165"/>
        <v>59.085699999999996</v>
      </c>
      <c r="M458" s="515"/>
      <c r="N458" s="476"/>
      <c r="O458" s="335"/>
      <c r="P458" s="1166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  <c r="AY458" s="49"/>
      <c r="AZ458" s="49"/>
      <c r="BA458" s="49"/>
      <c r="BB458" s="49"/>
      <c r="BC458" s="49"/>
      <c r="BD458" s="49"/>
      <c r="BE458" s="49"/>
      <c r="BF458" s="336"/>
    </row>
    <row r="459" spans="1:58" s="51" customFormat="1" ht="12.75" customHeight="1">
      <c r="A459" s="1183"/>
      <c r="B459" s="953"/>
      <c r="C459" s="1001"/>
      <c r="D459" s="84">
        <v>2019</v>
      </c>
      <c r="E459" s="85">
        <f t="shared" ref="E459:J460" si="167">E467+E475+E479</f>
        <v>28.442600000000002</v>
      </c>
      <c r="F459" s="85">
        <f t="shared" si="167"/>
        <v>2.6870000000000003</v>
      </c>
      <c r="G459" s="85">
        <f t="shared" si="167"/>
        <v>5.9143000000000008</v>
      </c>
      <c r="H459" s="85">
        <f t="shared" si="167"/>
        <v>8.0363000000000007</v>
      </c>
      <c r="I459" s="85">
        <f t="shared" si="167"/>
        <v>9.9450000000000003</v>
      </c>
      <c r="J459" s="85">
        <f t="shared" si="167"/>
        <v>1.86</v>
      </c>
      <c r="K459" s="76">
        <v>0</v>
      </c>
      <c r="L459" s="497">
        <f t="shared" si="165"/>
        <v>28.442600000000002</v>
      </c>
      <c r="M459" s="185"/>
      <c r="N459" s="476"/>
      <c r="O459" s="301"/>
      <c r="P459" s="1167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AU459" s="49"/>
      <c r="AV459" s="49"/>
      <c r="AW459" s="49"/>
      <c r="AX459" s="49"/>
      <c r="AY459" s="49"/>
      <c r="AZ459" s="49"/>
      <c r="BA459" s="49"/>
      <c r="BB459" s="49"/>
      <c r="BC459" s="49"/>
      <c r="BD459" s="49"/>
      <c r="BE459" s="49"/>
      <c r="BF459" s="68"/>
    </row>
    <row r="460" spans="1:58" s="51" customFormat="1" ht="12.75" customHeight="1">
      <c r="A460" s="1183"/>
      <c r="B460" s="953"/>
      <c r="C460" s="1001"/>
      <c r="D460" s="84">
        <v>2020</v>
      </c>
      <c r="E460" s="85">
        <f t="shared" si="167"/>
        <v>10.2773</v>
      </c>
      <c r="F460" s="85">
        <f t="shared" si="167"/>
        <v>2.6790000000000003</v>
      </c>
      <c r="G460" s="85">
        <f t="shared" si="167"/>
        <v>2.4519000000000002</v>
      </c>
      <c r="H460" s="85">
        <f t="shared" si="167"/>
        <v>3.2864</v>
      </c>
      <c r="I460" s="85">
        <f t="shared" si="167"/>
        <v>0</v>
      </c>
      <c r="J460" s="85">
        <f t="shared" si="167"/>
        <v>1.86</v>
      </c>
      <c r="K460" s="76">
        <v>0</v>
      </c>
      <c r="L460" s="497">
        <f t="shared" si="165"/>
        <v>10.2773</v>
      </c>
      <c r="M460" s="185"/>
      <c r="N460" s="476"/>
      <c r="O460" s="301"/>
      <c r="P460" s="1167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/>
      <c r="AX460" s="49"/>
      <c r="AY460" s="49"/>
      <c r="AZ460" s="49"/>
      <c r="BA460" s="49"/>
      <c r="BB460" s="49"/>
      <c r="BC460" s="49"/>
      <c r="BD460" s="49"/>
      <c r="BE460" s="49"/>
      <c r="BF460" s="68"/>
    </row>
    <row r="461" spans="1:58" s="51" customFormat="1" ht="12.75" customHeight="1">
      <c r="A461" s="1183"/>
      <c r="B461" s="953"/>
      <c r="C461" s="1001"/>
      <c r="D461" s="84">
        <v>2021</v>
      </c>
      <c r="E461" s="85">
        <f t="shared" ref="E461:J461" si="168">E469+E481+E477</f>
        <v>9.5946999999999996</v>
      </c>
      <c r="F461" s="85">
        <f t="shared" si="168"/>
        <v>2.7240000000000002</v>
      </c>
      <c r="G461" s="85">
        <f t="shared" si="168"/>
        <v>1.9</v>
      </c>
      <c r="H461" s="85">
        <f t="shared" si="168"/>
        <v>3.1107</v>
      </c>
      <c r="I461" s="85">
        <f t="shared" si="168"/>
        <v>0</v>
      </c>
      <c r="J461" s="85">
        <f t="shared" si="168"/>
        <v>1.86</v>
      </c>
      <c r="K461" s="76">
        <v>0</v>
      </c>
      <c r="L461" s="497">
        <f t="shared" si="165"/>
        <v>9.5946999999999996</v>
      </c>
      <c r="M461" s="185"/>
      <c r="N461" s="476"/>
      <c r="O461" s="301"/>
      <c r="P461" s="1167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49"/>
      <c r="BC461" s="49"/>
      <c r="BD461" s="49"/>
      <c r="BE461" s="49"/>
      <c r="BF461" s="68"/>
    </row>
    <row r="462" spans="1:58" s="51" customFormat="1" ht="12.75" customHeight="1">
      <c r="A462" s="1183"/>
      <c r="B462" s="953"/>
      <c r="C462" s="1001"/>
      <c r="D462" s="84">
        <v>2022</v>
      </c>
      <c r="E462" s="85">
        <f t="shared" ref="E462:J462" si="169">E470+E482</f>
        <v>2.694</v>
      </c>
      <c r="F462" s="85">
        <f t="shared" si="169"/>
        <v>2.694</v>
      </c>
      <c r="G462" s="85">
        <f t="shared" si="169"/>
        <v>0</v>
      </c>
      <c r="H462" s="85">
        <f t="shared" si="169"/>
        <v>0</v>
      </c>
      <c r="I462" s="85">
        <f t="shared" si="169"/>
        <v>0</v>
      </c>
      <c r="J462" s="85">
        <f t="shared" si="169"/>
        <v>0</v>
      </c>
      <c r="K462" s="76">
        <v>0</v>
      </c>
      <c r="L462" s="497">
        <f t="shared" si="165"/>
        <v>2.694</v>
      </c>
      <c r="M462" s="185"/>
      <c r="N462" s="476"/>
      <c r="O462" s="301"/>
      <c r="P462" s="1167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  <c r="AY462" s="49"/>
      <c r="AZ462" s="49"/>
      <c r="BA462" s="49"/>
      <c r="BB462" s="49"/>
      <c r="BC462" s="49"/>
      <c r="BD462" s="49"/>
      <c r="BE462" s="49"/>
      <c r="BF462" s="68"/>
    </row>
    <row r="463" spans="1:58" s="51" customFormat="1" ht="12.75" customHeight="1">
      <c r="A463" s="1183"/>
      <c r="B463" s="953"/>
      <c r="C463" s="1001"/>
      <c r="D463" s="84">
        <v>2023</v>
      </c>
      <c r="E463" s="85">
        <f t="shared" ref="E463:I465" si="170">E471+E483</f>
        <v>2.694</v>
      </c>
      <c r="F463" s="85">
        <f t="shared" si="170"/>
        <v>2.694</v>
      </c>
      <c r="G463" s="85">
        <f t="shared" si="170"/>
        <v>0</v>
      </c>
      <c r="H463" s="85">
        <f t="shared" si="170"/>
        <v>0</v>
      </c>
      <c r="I463" s="85">
        <f t="shared" si="170"/>
        <v>0</v>
      </c>
      <c r="J463" s="85">
        <f>J471</f>
        <v>0</v>
      </c>
      <c r="K463" s="76">
        <v>0</v>
      </c>
      <c r="L463" s="497">
        <f t="shared" si="165"/>
        <v>2.694</v>
      </c>
      <c r="M463" s="185"/>
      <c r="N463" s="476"/>
      <c r="O463" s="301"/>
      <c r="P463" s="1167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  <c r="AY463" s="49"/>
      <c r="AZ463" s="49"/>
      <c r="BA463" s="49"/>
      <c r="BB463" s="49"/>
      <c r="BC463" s="49"/>
      <c r="BD463" s="49"/>
      <c r="BE463" s="49"/>
      <c r="BF463" s="68"/>
    </row>
    <row r="464" spans="1:58" s="51" customFormat="1" ht="12.75" customHeight="1">
      <c r="A464" s="1183"/>
      <c r="B464" s="953"/>
      <c r="C464" s="1001"/>
      <c r="D464" s="84">
        <v>2024</v>
      </c>
      <c r="E464" s="85">
        <f t="shared" si="170"/>
        <v>2.6908000000000003</v>
      </c>
      <c r="F464" s="85">
        <f t="shared" si="170"/>
        <v>2.6908000000000003</v>
      </c>
      <c r="G464" s="85">
        <f t="shared" si="170"/>
        <v>0</v>
      </c>
      <c r="H464" s="85">
        <f t="shared" si="170"/>
        <v>0</v>
      </c>
      <c r="I464" s="85">
        <f t="shared" si="170"/>
        <v>0</v>
      </c>
      <c r="J464" s="85">
        <f>J472+J484</f>
        <v>0</v>
      </c>
      <c r="K464" s="76">
        <v>0</v>
      </c>
      <c r="L464" s="497">
        <f t="shared" si="165"/>
        <v>2.6908000000000003</v>
      </c>
      <c r="M464" s="185"/>
      <c r="N464" s="476"/>
      <c r="O464" s="301"/>
      <c r="P464" s="1167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49"/>
      <c r="BD464" s="49"/>
      <c r="BE464" s="49"/>
      <c r="BF464" s="68"/>
    </row>
    <row r="465" spans="1:58" s="51" customFormat="1">
      <c r="A465" s="496"/>
      <c r="B465" s="94"/>
      <c r="C465" s="479"/>
      <c r="D465" s="84">
        <v>2025</v>
      </c>
      <c r="E465" s="85">
        <f t="shared" si="170"/>
        <v>2.6923000000000004</v>
      </c>
      <c r="F465" s="85">
        <f t="shared" si="170"/>
        <v>2.6923000000000004</v>
      </c>
      <c r="G465" s="85">
        <f t="shared" si="170"/>
        <v>0</v>
      </c>
      <c r="H465" s="85">
        <f t="shared" si="170"/>
        <v>0</v>
      </c>
      <c r="I465" s="85">
        <f t="shared" si="170"/>
        <v>0</v>
      </c>
      <c r="J465" s="85">
        <f>J473+J485</f>
        <v>0</v>
      </c>
      <c r="K465" s="76">
        <v>0</v>
      </c>
      <c r="L465" s="497">
        <f t="shared" si="165"/>
        <v>2.6923000000000004</v>
      </c>
      <c r="M465" s="185"/>
      <c r="N465" s="476"/>
      <c r="O465" s="301"/>
      <c r="P465" s="554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49"/>
      <c r="BC465" s="49"/>
      <c r="BD465" s="49"/>
      <c r="BE465" s="49"/>
      <c r="BF465" s="68"/>
    </row>
    <row r="466" spans="1:58" s="51" customFormat="1" ht="12.75" customHeight="1">
      <c r="A466" s="794" t="s">
        <v>649</v>
      </c>
      <c r="B466" s="867" t="s">
        <v>650</v>
      </c>
      <c r="C466" s="881" t="s">
        <v>651</v>
      </c>
      <c r="D466" s="84" t="s">
        <v>16</v>
      </c>
      <c r="E466" s="136">
        <f t="shared" ref="E466:J466" si="171">E467+E468+E469+E470+E471+E472+E473</f>
        <v>36.721300000000006</v>
      </c>
      <c r="F466" s="136">
        <f t="shared" si="171"/>
        <v>18.564000000000004</v>
      </c>
      <c r="G466" s="136">
        <f t="shared" si="171"/>
        <v>3.4624000000000001</v>
      </c>
      <c r="H466" s="136">
        <f t="shared" si="171"/>
        <v>4.7499000000000002</v>
      </c>
      <c r="I466" s="136">
        <f t="shared" si="171"/>
        <v>9.9450000000000003</v>
      </c>
      <c r="J466" s="313">
        <f t="shared" si="171"/>
        <v>0</v>
      </c>
      <c r="K466" s="76">
        <v>0</v>
      </c>
      <c r="L466" s="497">
        <f t="shared" si="165"/>
        <v>36.721299999999999</v>
      </c>
      <c r="M466" s="185"/>
      <c r="N466" s="476"/>
      <c r="O466" s="301"/>
      <c r="P466" s="842" t="s">
        <v>352</v>
      </c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  <c r="AY466" s="49"/>
      <c r="AZ466" s="49"/>
      <c r="BA466" s="49"/>
      <c r="BB466" s="49"/>
      <c r="BC466" s="49"/>
      <c r="BD466" s="49"/>
      <c r="BE466" s="49"/>
      <c r="BF466" s="68"/>
    </row>
    <row r="467" spans="1:58" s="51" customFormat="1">
      <c r="A467" s="1126"/>
      <c r="B467" s="868"/>
      <c r="C467" s="882"/>
      <c r="D467" s="62">
        <v>2019</v>
      </c>
      <c r="E467" s="63">
        <f t="shared" ref="E467:E473" si="172">F467+G467+H467+I467+J467</f>
        <v>20.8093</v>
      </c>
      <c r="F467" s="63">
        <f t="shared" ref="F467:F473" si="173">2652/1000</f>
        <v>2.6520000000000001</v>
      </c>
      <c r="G467" s="63">
        <v>3.4624000000000001</v>
      </c>
      <c r="H467" s="63">
        <v>4.7499000000000002</v>
      </c>
      <c r="I467" s="63">
        <v>9.9450000000000003</v>
      </c>
      <c r="J467" s="341">
        <v>0</v>
      </c>
      <c r="K467" s="76">
        <v>0</v>
      </c>
      <c r="L467" s="497">
        <f t="shared" si="165"/>
        <v>20.8093</v>
      </c>
      <c r="M467" s="185"/>
      <c r="N467" s="476"/>
      <c r="O467" s="301"/>
      <c r="P467" s="1016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  <c r="AY467" s="49"/>
      <c r="AZ467" s="49"/>
      <c r="BA467" s="49"/>
      <c r="BB467" s="49"/>
      <c r="BC467" s="49"/>
      <c r="BD467" s="49"/>
      <c r="BE467" s="49"/>
      <c r="BF467" s="68"/>
    </row>
    <row r="468" spans="1:58" s="51" customFormat="1" ht="12.75" customHeight="1">
      <c r="A468" s="1126"/>
      <c r="B468" s="868"/>
      <c r="C468" s="882"/>
      <c r="D468" s="62">
        <v>2020</v>
      </c>
      <c r="E468" s="63">
        <f t="shared" si="172"/>
        <v>2.6520000000000001</v>
      </c>
      <c r="F468" s="63">
        <f t="shared" si="173"/>
        <v>2.6520000000000001</v>
      </c>
      <c r="G468" s="63">
        <v>0</v>
      </c>
      <c r="H468" s="63">
        <v>0</v>
      </c>
      <c r="I468" s="63">
        <v>0</v>
      </c>
      <c r="J468" s="341">
        <v>0</v>
      </c>
      <c r="K468" s="76">
        <v>0</v>
      </c>
      <c r="L468" s="497">
        <f t="shared" si="165"/>
        <v>2.6520000000000001</v>
      </c>
      <c r="M468" s="185"/>
      <c r="N468" s="476"/>
      <c r="O468" s="301"/>
      <c r="P468" s="1125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  <c r="AY468" s="49"/>
      <c r="AZ468" s="49"/>
      <c r="BA468" s="49"/>
      <c r="BB468" s="49"/>
      <c r="BC468" s="49"/>
      <c r="BD468" s="49"/>
      <c r="BE468" s="49"/>
      <c r="BF468" s="68"/>
    </row>
    <row r="469" spans="1:58" s="51" customFormat="1" ht="15.75" customHeight="1">
      <c r="A469" s="1126"/>
      <c r="B469" s="868"/>
      <c r="C469" s="882"/>
      <c r="D469" s="62">
        <v>2021</v>
      </c>
      <c r="E469" s="63">
        <f t="shared" si="172"/>
        <v>2.6520000000000001</v>
      </c>
      <c r="F469" s="63">
        <f t="shared" si="173"/>
        <v>2.6520000000000001</v>
      </c>
      <c r="G469" s="63">
        <v>0</v>
      </c>
      <c r="H469" s="63">
        <v>0</v>
      </c>
      <c r="I469" s="63">
        <v>0</v>
      </c>
      <c r="J469" s="341">
        <v>0</v>
      </c>
      <c r="K469" s="76">
        <v>0</v>
      </c>
      <c r="L469" s="497">
        <f t="shared" si="165"/>
        <v>2.6520000000000001</v>
      </c>
      <c r="M469" s="185"/>
      <c r="N469" s="476"/>
      <c r="O469" s="301"/>
      <c r="P469" s="1125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49"/>
      <c r="BC469" s="49"/>
      <c r="BD469" s="49"/>
      <c r="BE469" s="49"/>
      <c r="BF469" s="68"/>
    </row>
    <row r="470" spans="1:58" s="51" customFormat="1">
      <c r="A470" s="1126"/>
      <c r="B470" s="868"/>
      <c r="C470" s="882"/>
      <c r="D470" s="62">
        <v>2022</v>
      </c>
      <c r="E470" s="63">
        <f t="shared" si="172"/>
        <v>2.6520000000000001</v>
      </c>
      <c r="F470" s="63">
        <f t="shared" si="173"/>
        <v>2.6520000000000001</v>
      </c>
      <c r="G470" s="63">
        <v>0</v>
      </c>
      <c r="H470" s="63">
        <v>0</v>
      </c>
      <c r="I470" s="63">
        <v>0</v>
      </c>
      <c r="J470" s="341">
        <v>0</v>
      </c>
      <c r="K470" s="76">
        <v>0</v>
      </c>
      <c r="L470" s="497">
        <f t="shared" si="165"/>
        <v>2.6520000000000001</v>
      </c>
      <c r="M470" s="185"/>
      <c r="N470" s="476"/>
      <c r="O470" s="301"/>
      <c r="P470" s="1125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  <c r="AT470" s="49"/>
      <c r="AU470" s="49"/>
      <c r="AV470" s="49"/>
      <c r="AW470" s="49"/>
      <c r="AX470" s="49"/>
      <c r="AY470" s="49"/>
      <c r="AZ470" s="49"/>
      <c r="BA470" s="49"/>
      <c r="BB470" s="49"/>
      <c r="BC470" s="49"/>
      <c r="BD470" s="49"/>
      <c r="BE470" s="49"/>
      <c r="BF470" s="68"/>
    </row>
    <row r="471" spans="1:58" s="51" customFormat="1">
      <c r="A471" s="1126"/>
      <c r="B471" s="868"/>
      <c r="C471" s="882"/>
      <c r="D471" s="62">
        <v>2023</v>
      </c>
      <c r="E471" s="63">
        <f t="shared" si="172"/>
        <v>2.6520000000000001</v>
      </c>
      <c r="F471" s="63">
        <f t="shared" si="173"/>
        <v>2.6520000000000001</v>
      </c>
      <c r="G471" s="63">
        <v>0</v>
      </c>
      <c r="H471" s="63">
        <v>0</v>
      </c>
      <c r="I471" s="63">
        <v>0</v>
      </c>
      <c r="J471" s="341">
        <v>0</v>
      </c>
      <c r="K471" s="76">
        <v>0</v>
      </c>
      <c r="L471" s="497">
        <f t="shared" si="165"/>
        <v>2.6520000000000001</v>
      </c>
      <c r="M471" s="185"/>
      <c r="N471" s="476"/>
      <c r="O471" s="301"/>
      <c r="P471" s="1125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AU471" s="49"/>
      <c r="AV471" s="49"/>
      <c r="AW471" s="49"/>
      <c r="AX471" s="49"/>
      <c r="AY471" s="49"/>
      <c r="AZ471" s="49"/>
      <c r="BA471" s="49"/>
      <c r="BB471" s="49"/>
      <c r="BC471" s="49"/>
      <c r="BD471" s="49"/>
      <c r="BE471" s="49"/>
      <c r="BF471" s="68"/>
    </row>
    <row r="472" spans="1:58" s="51" customFormat="1">
      <c r="A472" s="1126"/>
      <c r="B472" s="868"/>
      <c r="C472" s="882"/>
      <c r="D472" s="62">
        <v>2024</v>
      </c>
      <c r="E472" s="63">
        <f t="shared" si="172"/>
        <v>2.6520000000000001</v>
      </c>
      <c r="F472" s="63">
        <f t="shared" si="173"/>
        <v>2.6520000000000001</v>
      </c>
      <c r="G472" s="63">
        <v>0</v>
      </c>
      <c r="H472" s="63">
        <v>0</v>
      </c>
      <c r="I472" s="63">
        <v>0</v>
      </c>
      <c r="J472" s="341">
        <v>0</v>
      </c>
      <c r="K472" s="76">
        <v>0</v>
      </c>
      <c r="L472" s="497">
        <f t="shared" si="165"/>
        <v>2.6520000000000001</v>
      </c>
      <c r="M472" s="185"/>
      <c r="N472" s="476"/>
      <c r="O472" s="301"/>
      <c r="P472" s="1125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  <c r="AY472" s="49"/>
      <c r="AZ472" s="49"/>
      <c r="BA472" s="49"/>
      <c r="BB472" s="49"/>
      <c r="BC472" s="49"/>
      <c r="BD472" s="49"/>
      <c r="BE472" s="49"/>
      <c r="BF472" s="68"/>
    </row>
    <row r="473" spans="1:58" s="51" customFormat="1">
      <c r="A473" s="478"/>
      <c r="B473" s="94"/>
      <c r="C473" s="192"/>
      <c r="D473" s="62">
        <v>2025</v>
      </c>
      <c r="E473" s="63">
        <f t="shared" si="172"/>
        <v>2.6520000000000001</v>
      </c>
      <c r="F473" s="63">
        <f t="shared" si="173"/>
        <v>2.6520000000000001</v>
      </c>
      <c r="G473" s="63">
        <v>0</v>
      </c>
      <c r="H473" s="63">
        <v>0</v>
      </c>
      <c r="I473" s="63">
        <v>0</v>
      </c>
      <c r="J473" s="341">
        <v>0</v>
      </c>
      <c r="K473" s="76">
        <v>0</v>
      </c>
      <c r="L473" s="497">
        <f t="shared" si="165"/>
        <v>2.6520000000000001</v>
      </c>
      <c r="M473" s="185"/>
      <c r="N473" s="476"/>
      <c r="O473" s="301"/>
      <c r="P473" s="47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AU473" s="49"/>
      <c r="AV473" s="49"/>
      <c r="AW473" s="49"/>
      <c r="AX473" s="49"/>
      <c r="AY473" s="49"/>
      <c r="AZ473" s="49"/>
      <c r="BA473" s="49"/>
      <c r="BB473" s="49"/>
      <c r="BC473" s="49"/>
      <c r="BD473" s="49"/>
      <c r="BE473" s="49"/>
      <c r="BF473" s="68"/>
    </row>
    <row r="474" spans="1:58" s="51" customFormat="1" ht="13.5" customHeight="1">
      <c r="A474" s="921" t="s">
        <v>652</v>
      </c>
      <c r="B474" s="867" t="s">
        <v>653</v>
      </c>
      <c r="C474" s="881" t="s">
        <v>655</v>
      </c>
      <c r="D474" s="84" t="s">
        <v>16</v>
      </c>
      <c r="E474" s="136">
        <f t="shared" ref="E474:J474" si="174">E475+E476+E477</f>
        <v>22.067300000000003</v>
      </c>
      <c r="F474" s="136">
        <f t="shared" si="174"/>
        <v>0</v>
      </c>
      <c r="G474" s="136">
        <f t="shared" si="174"/>
        <v>6.8038000000000007</v>
      </c>
      <c r="H474" s="136">
        <f t="shared" si="174"/>
        <v>9.6835000000000004</v>
      </c>
      <c r="I474" s="136">
        <f t="shared" si="174"/>
        <v>0</v>
      </c>
      <c r="J474" s="313">
        <f t="shared" si="174"/>
        <v>5.58</v>
      </c>
      <c r="K474" s="76">
        <v>0</v>
      </c>
      <c r="L474" s="497">
        <f t="shared" si="165"/>
        <v>22.067300000000003</v>
      </c>
      <c r="M474" s="185"/>
      <c r="N474" s="476"/>
      <c r="O474" s="301"/>
      <c r="P474" s="842" t="s">
        <v>1183</v>
      </c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  <c r="AY474" s="49"/>
      <c r="AZ474" s="49"/>
      <c r="BA474" s="49"/>
      <c r="BB474" s="49"/>
      <c r="BC474" s="49"/>
      <c r="BD474" s="49"/>
      <c r="BE474" s="49"/>
      <c r="BF474" s="68"/>
    </row>
    <row r="475" spans="1:58" s="51" customFormat="1" ht="25.5" customHeight="1">
      <c r="A475" s="921"/>
      <c r="B475" s="872"/>
      <c r="C475" s="882"/>
      <c r="D475" s="62">
        <v>2019</v>
      </c>
      <c r="E475" s="63">
        <f>F475+G475+H475+I475+J475</f>
        <v>7.5983000000000009</v>
      </c>
      <c r="F475" s="63">
        <v>0</v>
      </c>
      <c r="G475" s="341">
        <v>2.4519000000000002</v>
      </c>
      <c r="H475" s="63">
        <v>3.2864</v>
      </c>
      <c r="I475" s="341">
        <v>0</v>
      </c>
      <c r="J475" s="341">
        <v>1.86</v>
      </c>
      <c r="K475" s="76">
        <v>0</v>
      </c>
      <c r="L475" s="497">
        <f t="shared" si="165"/>
        <v>7.5983000000000009</v>
      </c>
      <c r="M475" s="185"/>
      <c r="N475" s="476"/>
      <c r="O475" s="301"/>
      <c r="P475" s="1016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AU475" s="49"/>
      <c r="AV475" s="49"/>
      <c r="AW475" s="49"/>
      <c r="AX475" s="49"/>
      <c r="AY475" s="49"/>
      <c r="AZ475" s="49"/>
      <c r="BA475" s="49"/>
      <c r="BB475" s="49"/>
      <c r="BC475" s="49"/>
      <c r="BD475" s="49"/>
      <c r="BE475" s="49"/>
      <c r="BF475" s="68"/>
    </row>
    <row r="476" spans="1:58" s="51" customFormat="1" ht="24.75" customHeight="1">
      <c r="A476" s="921"/>
      <c r="B476" s="872"/>
      <c r="C476" s="882"/>
      <c r="D476" s="62">
        <v>2020</v>
      </c>
      <c r="E476" s="63">
        <f>F476+G476+H476+I476+J476</f>
        <v>7.5983000000000009</v>
      </c>
      <c r="F476" s="63">
        <v>0</v>
      </c>
      <c r="G476" s="341">
        <v>2.4519000000000002</v>
      </c>
      <c r="H476" s="63">
        <v>3.2864</v>
      </c>
      <c r="I476" s="341">
        <v>0</v>
      </c>
      <c r="J476" s="341">
        <v>1.86</v>
      </c>
      <c r="K476" s="76">
        <v>0</v>
      </c>
      <c r="L476" s="497">
        <f t="shared" si="165"/>
        <v>7.5983000000000009</v>
      </c>
      <c r="M476" s="185"/>
      <c r="N476" s="476"/>
      <c r="O476" s="301"/>
      <c r="P476" s="1016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49"/>
      <c r="BF476" s="68"/>
    </row>
    <row r="477" spans="1:58" s="51" customFormat="1" ht="24.75" customHeight="1">
      <c r="A477" s="921"/>
      <c r="B477" s="69"/>
      <c r="C477" s="964"/>
      <c r="D477" s="62">
        <v>2021</v>
      </c>
      <c r="E477" s="63">
        <f>F477+G477+H477+I477+J477</f>
        <v>6.8707000000000003</v>
      </c>
      <c r="F477" s="63">
        <v>0</v>
      </c>
      <c r="G477" s="341">
        <v>1.9</v>
      </c>
      <c r="H477" s="63">
        <v>3.1107</v>
      </c>
      <c r="I477" s="341">
        <v>0</v>
      </c>
      <c r="J477" s="341">
        <v>1.86</v>
      </c>
      <c r="K477" s="76">
        <v>0</v>
      </c>
      <c r="L477" s="497"/>
      <c r="M477" s="185"/>
      <c r="N477" s="476"/>
      <c r="O477" s="301"/>
      <c r="P477" s="843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49"/>
      <c r="BC477" s="49"/>
      <c r="BD477" s="49"/>
      <c r="BE477" s="49"/>
      <c r="BF477" s="68"/>
    </row>
    <row r="478" spans="1:58" s="51" customFormat="1" ht="22.5" customHeight="1">
      <c r="A478" s="794" t="s">
        <v>656</v>
      </c>
      <c r="B478" s="867" t="s">
        <v>657</v>
      </c>
      <c r="C478" s="479"/>
      <c r="D478" s="84" t="s">
        <v>16</v>
      </c>
      <c r="E478" s="85">
        <f t="shared" ref="E478:J478" si="175">E479+E480+E481+E482+E483+E484+E485</f>
        <v>0.29710000000000003</v>
      </c>
      <c r="F478" s="85">
        <f t="shared" si="175"/>
        <v>0.29710000000000003</v>
      </c>
      <c r="G478" s="85">
        <f t="shared" si="175"/>
        <v>0</v>
      </c>
      <c r="H478" s="85">
        <f t="shared" si="175"/>
        <v>0</v>
      </c>
      <c r="I478" s="85">
        <f t="shared" si="175"/>
        <v>0</v>
      </c>
      <c r="J478" s="85">
        <f t="shared" si="175"/>
        <v>0</v>
      </c>
      <c r="K478" s="76">
        <v>0</v>
      </c>
      <c r="L478" s="497">
        <f t="shared" ref="L478:L509" si="176">F478+G478+H478+I478+J478</f>
        <v>0.29710000000000003</v>
      </c>
      <c r="M478" s="185"/>
      <c r="N478" s="476"/>
      <c r="O478" s="301"/>
      <c r="P478" s="1163" t="s">
        <v>352</v>
      </c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  <c r="AY478" s="49"/>
      <c r="AZ478" s="49"/>
      <c r="BA478" s="49"/>
      <c r="BB478" s="49"/>
      <c r="BC478" s="49"/>
      <c r="BD478" s="49"/>
      <c r="BE478" s="49"/>
      <c r="BF478" s="68"/>
    </row>
    <row r="479" spans="1:58" s="51" customFormat="1" ht="22.5" customHeight="1">
      <c r="A479" s="795"/>
      <c r="B479" s="872"/>
      <c r="C479" s="358" t="s">
        <v>351</v>
      </c>
      <c r="D479" s="62">
        <v>2019</v>
      </c>
      <c r="E479" s="63">
        <f t="shared" ref="E479:E485" si="177">F479+G479+H479+I479+J479</f>
        <v>3.5000000000000003E-2</v>
      </c>
      <c r="F479" s="63">
        <v>3.5000000000000003E-2</v>
      </c>
      <c r="G479" s="347">
        <v>0</v>
      </c>
      <c r="H479" s="63">
        <v>0</v>
      </c>
      <c r="I479" s="341">
        <v>0</v>
      </c>
      <c r="J479" s="341">
        <v>0</v>
      </c>
      <c r="K479" s="76">
        <v>0</v>
      </c>
      <c r="L479" s="497">
        <f t="shared" si="176"/>
        <v>3.5000000000000003E-2</v>
      </c>
      <c r="M479" s="185"/>
      <c r="N479" s="476"/>
      <c r="O479" s="301"/>
      <c r="P479" s="1164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AU479" s="49"/>
      <c r="AV479" s="49"/>
      <c r="AW479" s="49"/>
      <c r="AX479" s="49"/>
      <c r="AY479" s="49"/>
      <c r="AZ479" s="49"/>
      <c r="BA479" s="49"/>
      <c r="BB479" s="49"/>
      <c r="BC479" s="49"/>
      <c r="BD479" s="49"/>
      <c r="BE479" s="49"/>
      <c r="BF479" s="68"/>
    </row>
    <row r="480" spans="1:58" s="51" customFormat="1">
      <c r="A480" s="795"/>
      <c r="B480" s="872"/>
      <c r="C480" s="1019" t="s">
        <v>560</v>
      </c>
      <c r="D480" s="62">
        <v>2020</v>
      </c>
      <c r="E480" s="63">
        <f t="shared" si="177"/>
        <v>2.7E-2</v>
      </c>
      <c r="F480" s="63">
        <v>2.7E-2</v>
      </c>
      <c r="G480" s="347">
        <v>0</v>
      </c>
      <c r="H480" s="63">
        <v>0</v>
      </c>
      <c r="I480" s="341">
        <v>0</v>
      </c>
      <c r="J480" s="341">
        <v>0</v>
      </c>
      <c r="K480" s="76">
        <v>0</v>
      </c>
      <c r="L480" s="497">
        <f t="shared" si="176"/>
        <v>2.7E-2</v>
      </c>
      <c r="M480" s="185"/>
      <c r="N480" s="476"/>
      <c r="O480" s="301"/>
      <c r="P480" s="1164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  <c r="AT480" s="49"/>
      <c r="AU480" s="49"/>
      <c r="AV480" s="49"/>
      <c r="AW480" s="49"/>
      <c r="AX480" s="49"/>
      <c r="AY480" s="49"/>
      <c r="AZ480" s="49"/>
      <c r="BA480" s="49"/>
      <c r="BB480" s="49"/>
      <c r="BC480" s="49"/>
      <c r="BD480" s="49"/>
      <c r="BE480" s="49"/>
      <c r="BF480" s="68"/>
    </row>
    <row r="481" spans="1:58" s="51" customFormat="1">
      <c r="A481" s="795"/>
      <c r="B481" s="872"/>
      <c r="C481" s="1019"/>
      <c r="D481" s="62">
        <v>2021</v>
      </c>
      <c r="E481" s="63">
        <f t="shared" si="177"/>
        <v>7.1999999999999995E-2</v>
      </c>
      <c r="F481" s="63">
        <v>7.1999999999999995E-2</v>
      </c>
      <c r="G481" s="341">
        <v>0</v>
      </c>
      <c r="H481" s="63">
        <v>0</v>
      </c>
      <c r="I481" s="341">
        <v>0</v>
      </c>
      <c r="J481" s="341">
        <v>0</v>
      </c>
      <c r="K481" s="76">
        <v>0</v>
      </c>
      <c r="L481" s="497">
        <f t="shared" si="176"/>
        <v>7.1999999999999995E-2</v>
      </c>
      <c r="M481" s="185"/>
      <c r="N481" s="476"/>
      <c r="O481" s="301"/>
      <c r="P481" s="1165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49"/>
      <c r="BF481" s="68"/>
    </row>
    <row r="482" spans="1:58" s="51" customFormat="1">
      <c r="A482" s="795"/>
      <c r="B482" s="872"/>
      <c r="C482" s="1019"/>
      <c r="D482" s="62">
        <v>2022</v>
      </c>
      <c r="E482" s="63">
        <f t="shared" si="177"/>
        <v>4.2000000000000003E-2</v>
      </c>
      <c r="F482" s="63">
        <v>4.2000000000000003E-2</v>
      </c>
      <c r="G482" s="341">
        <v>0</v>
      </c>
      <c r="H482" s="63">
        <v>0</v>
      </c>
      <c r="I482" s="341">
        <v>0</v>
      </c>
      <c r="J482" s="341">
        <v>0</v>
      </c>
      <c r="K482" s="76">
        <v>0</v>
      </c>
      <c r="L482" s="497">
        <f t="shared" si="176"/>
        <v>4.2000000000000003E-2</v>
      </c>
      <c r="M482" s="185"/>
      <c r="N482" s="476"/>
      <c r="O482" s="301"/>
      <c r="P482" s="556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49"/>
      <c r="BD482" s="49"/>
      <c r="BE482" s="49"/>
      <c r="BF482" s="68"/>
    </row>
    <row r="483" spans="1:58" s="51" customFormat="1">
      <c r="A483" s="795"/>
      <c r="B483" s="872"/>
      <c r="C483" s="1019"/>
      <c r="D483" s="62">
        <v>2023</v>
      </c>
      <c r="E483" s="63">
        <f t="shared" si="177"/>
        <v>4.2000000000000003E-2</v>
      </c>
      <c r="F483" s="63">
        <v>4.2000000000000003E-2</v>
      </c>
      <c r="G483" s="341">
        <v>0</v>
      </c>
      <c r="H483" s="63">
        <v>0</v>
      </c>
      <c r="I483" s="341">
        <v>0</v>
      </c>
      <c r="J483" s="341">
        <v>0</v>
      </c>
      <c r="K483" s="76">
        <v>0</v>
      </c>
      <c r="L483" s="497">
        <f t="shared" si="176"/>
        <v>4.2000000000000003E-2</v>
      </c>
      <c r="M483" s="185"/>
      <c r="N483" s="476"/>
      <c r="O483" s="301"/>
      <c r="P483" s="556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  <c r="AY483" s="49"/>
      <c r="AZ483" s="49"/>
      <c r="BA483" s="49"/>
      <c r="BB483" s="49"/>
      <c r="BC483" s="49"/>
      <c r="BD483" s="49"/>
      <c r="BE483" s="49"/>
      <c r="BF483" s="68"/>
    </row>
    <row r="484" spans="1:58" s="51" customFormat="1">
      <c r="A484" s="795"/>
      <c r="B484" s="872"/>
      <c r="C484" s="1019"/>
      <c r="D484" s="62">
        <v>2024</v>
      </c>
      <c r="E484" s="63">
        <f t="shared" si="177"/>
        <v>3.8800000000000001E-2</v>
      </c>
      <c r="F484" s="63">
        <v>3.8800000000000001E-2</v>
      </c>
      <c r="G484" s="341">
        <v>0</v>
      </c>
      <c r="H484" s="63">
        <v>0</v>
      </c>
      <c r="I484" s="341">
        <v>0</v>
      </c>
      <c r="J484" s="341">
        <v>0</v>
      </c>
      <c r="K484" s="76">
        <v>0</v>
      </c>
      <c r="L484" s="497">
        <f t="shared" si="176"/>
        <v>3.8800000000000001E-2</v>
      </c>
      <c r="M484" s="185"/>
      <c r="N484" s="476"/>
      <c r="O484" s="301"/>
      <c r="P484" s="556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49"/>
      <c r="BC484" s="49"/>
      <c r="BD484" s="49"/>
      <c r="BE484" s="49"/>
      <c r="BF484" s="68"/>
    </row>
    <row r="485" spans="1:58" s="51" customFormat="1">
      <c r="A485" s="796"/>
      <c r="B485" s="873"/>
      <c r="C485" s="1019"/>
      <c r="D485" s="62">
        <v>2025</v>
      </c>
      <c r="E485" s="63">
        <f t="shared" si="177"/>
        <v>4.0300000000000002E-2</v>
      </c>
      <c r="F485" s="63">
        <v>4.0300000000000002E-2</v>
      </c>
      <c r="G485" s="341">
        <v>0</v>
      </c>
      <c r="H485" s="63">
        <v>0</v>
      </c>
      <c r="I485" s="341">
        <v>0</v>
      </c>
      <c r="J485" s="341">
        <v>0</v>
      </c>
      <c r="K485" s="76">
        <v>0</v>
      </c>
      <c r="L485" s="497">
        <f t="shared" si="176"/>
        <v>4.0300000000000002E-2</v>
      </c>
      <c r="M485" s="185"/>
      <c r="N485" s="476"/>
      <c r="O485" s="301"/>
      <c r="P485" s="556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  <c r="AY485" s="49"/>
      <c r="AZ485" s="49"/>
      <c r="BA485" s="49"/>
      <c r="BB485" s="49"/>
      <c r="BC485" s="49"/>
      <c r="BD485" s="49"/>
      <c r="BE485" s="49"/>
      <c r="BF485" s="68"/>
    </row>
    <row r="486" spans="1:58" s="51" customFormat="1">
      <c r="A486" s="1149">
        <v>7</v>
      </c>
      <c r="B486" s="929" t="s">
        <v>658</v>
      </c>
      <c r="C486" s="1161"/>
      <c r="D486" s="84" t="s">
        <v>16</v>
      </c>
      <c r="E486" s="85">
        <f t="shared" ref="E486:J486" si="178">E487+E488+E489+E490+E491+E492+E493+E494+E495+E496+E497+E498</f>
        <v>4.4945999999999993</v>
      </c>
      <c r="F486" s="85">
        <f t="shared" si="178"/>
        <v>4.4945999999999993</v>
      </c>
      <c r="G486" s="85">
        <f t="shared" si="178"/>
        <v>0</v>
      </c>
      <c r="H486" s="85">
        <f t="shared" si="178"/>
        <v>0</v>
      </c>
      <c r="I486" s="85">
        <f t="shared" si="178"/>
        <v>0</v>
      </c>
      <c r="J486" s="85">
        <f t="shared" si="178"/>
        <v>0</v>
      </c>
      <c r="K486" s="76">
        <v>0</v>
      </c>
      <c r="L486" s="497">
        <f t="shared" si="176"/>
        <v>4.4945999999999993</v>
      </c>
      <c r="M486" s="185"/>
      <c r="N486" s="476"/>
      <c r="O486" s="301"/>
      <c r="P486" s="556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  <c r="AY486" s="49"/>
      <c r="AZ486" s="49"/>
      <c r="BA486" s="49"/>
      <c r="BB486" s="49"/>
      <c r="BC486" s="49"/>
      <c r="BD486" s="49"/>
      <c r="BE486" s="49"/>
      <c r="BF486" s="68"/>
    </row>
    <row r="487" spans="1:58" s="51" customFormat="1">
      <c r="A487" s="1126"/>
      <c r="B487" s="868"/>
      <c r="C487" s="1125"/>
      <c r="D487" s="84">
        <v>2019</v>
      </c>
      <c r="E487" s="85">
        <f t="shared" ref="E487:J498" si="179">E500</f>
        <v>6.7699999999999996E-2</v>
      </c>
      <c r="F487" s="85">
        <f t="shared" si="179"/>
        <v>6.7699999999999996E-2</v>
      </c>
      <c r="G487" s="85">
        <f t="shared" si="179"/>
        <v>0</v>
      </c>
      <c r="H487" s="85">
        <f t="shared" si="179"/>
        <v>0</v>
      </c>
      <c r="I487" s="85">
        <f t="shared" si="179"/>
        <v>0</v>
      </c>
      <c r="J487" s="85">
        <f t="shared" si="179"/>
        <v>0</v>
      </c>
      <c r="K487" s="76">
        <v>0</v>
      </c>
      <c r="L487" s="497">
        <f t="shared" si="176"/>
        <v>6.7699999999999996E-2</v>
      </c>
      <c r="M487" s="185"/>
      <c r="N487" s="476"/>
      <c r="O487" s="301"/>
      <c r="P487" s="556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  <c r="AY487" s="49"/>
      <c r="AZ487" s="49"/>
      <c r="BA487" s="49"/>
      <c r="BB487" s="49"/>
      <c r="BC487" s="49"/>
      <c r="BD487" s="49"/>
      <c r="BE487" s="49"/>
      <c r="BF487" s="68"/>
    </row>
    <row r="488" spans="1:58" s="51" customFormat="1">
      <c r="A488" s="1126"/>
      <c r="B488" s="868"/>
      <c r="C488" s="1125"/>
      <c r="D488" s="84">
        <v>2020</v>
      </c>
      <c r="E488" s="85">
        <f t="shared" si="179"/>
        <v>0.60599999999999998</v>
      </c>
      <c r="F488" s="85">
        <f t="shared" si="179"/>
        <v>0.60599999999999998</v>
      </c>
      <c r="G488" s="85">
        <f t="shared" si="179"/>
        <v>0</v>
      </c>
      <c r="H488" s="85">
        <f t="shared" si="179"/>
        <v>0</v>
      </c>
      <c r="I488" s="85">
        <f t="shared" si="179"/>
        <v>0</v>
      </c>
      <c r="J488" s="85">
        <f t="shared" si="179"/>
        <v>0</v>
      </c>
      <c r="K488" s="76">
        <v>0</v>
      </c>
      <c r="L488" s="497">
        <f t="shared" si="176"/>
        <v>0.60599999999999998</v>
      </c>
      <c r="M488" s="185"/>
      <c r="N488" s="476"/>
      <c r="O488" s="301"/>
      <c r="P488" s="556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49"/>
      <c r="BC488" s="49"/>
      <c r="BD488" s="49"/>
      <c r="BE488" s="49"/>
      <c r="BF488" s="68"/>
    </row>
    <row r="489" spans="1:58" s="51" customFormat="1">
      <c r="A489" s="1126"/>
      <c r="B489" s="868"/>
      <c r="C489" s="1125"/>
      <c r="D489" s="84">
        <v>2021</v>
      </c>
      <c r="E489" s="85">
        <f t="shared" si="179"/>
        <v>0.59</v>
      </c>
      <c r="F489" s="85">
        <f t="shared" si="179"/>
        <v>0.59</v>
      </c>
      <c r="G489" s="85">
        <f t="shared" si="179"/>
        <v>0</v>
      </c>
      <c r="H489" s="85">
        <f t="shared" si="179"/>
        <v>0</v>
      </c>
      <c r="I489" s="85">
        <f t="shared" si="179"/>
        <v>0</v>
      </c>
      <c r="J489" s="85">
        <f t="shared" si="179"/>
        <v>0</v>
      </c>
      <c r="K489" s="76">
        <v>0</v>
      </c>
      <c r="L489" s="497">
        <f t="shared" si="176"/>
        <v>0.59</v>
      </c>
      <c r="M489" s="185"/>
      <c r="N489" s="476"/>
      <c r="O489" s="301"/>
      <c r="P489" s="556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49"/>
      <c r="BD489" s="49"/>
      <c r="BE489" s="49"/>
      <c r="BF489" s="68"/>
    </row>
    <row r="490" spans="1:58" s="51" customFormat="1">
      <c r="A490" s="1126"/>
      <c r="B490" s="868"/>
      <c r="C490" s="1125"/>
      <c r="D490" s="84">
        <v>2022</v>
      </c>
      <c r="E490" s="85">
        <f t="shared" si="179"/>
        <v>0.81120000000000003</v>
      </c>
      <c r="F490" s="85">
        <f t="shared" si="179"/>
        <v>0.81120000000000003</v>
      </c>
      <c r="G490" s="85">
        <f t="shared" si="179"/>
        <v>0</v>
      </c>
      <c r="H490" s="85">
        <f t="shared" si="179"/>
        <v>0</v>
      </c>
      <c r="I490" s="85">
        <f t="shared" si="179"/>
        <v>0</v>
      </c>
      <c r="J490" s="85">
        <f t="shared" si="179"/>
        <v>0</v>
      </c>
      <c r="K490" s="76">
        <v>0</v>
      </c>
      <c r="L490" s="497">
        <f t="shared" si="176"/>
        <v>0.81120000000000003</v>
      </c>
      <c r="M490" s="185"/>
      <c r="N490" s="476"/>
      <c r="O490" s="301"/>
      <c r="P490" s="556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49"/>
      <c r="BC490" s="49"/>
      <c r="BD490" s="49"/>
      <c r="BE490" s="49"/>
      <c r="BF490" s="68"/>
    </row>
    <row r="491" spans="1:58" s="51" customFormat="1">
      <c r="A491" s="1126"/>
      <c r="B491" s="868"/>
      <c r="C491" s="1125"/>
      <c r="D491" s="84">
        <v>2023</v>
      </c>
      <c r="E491" s="85">
        <f t="shared" si="179"/>
        <v>0.82199999999999995</v>
      </c>
      <c r="F491" s="85">
        <f t="shared" si="179"/>
        <v>0.82199999999999995</v>
      </c>
      <c r="G491" s="85">
        <f t="shared" si="179"/>
        <v>0</v>
      </c>
      <c r="H491" s="85">
        <f t="shared" si="179"/>
        <v>0</v>
      </c>
      <c r="I491" s="85">
        <f t="shared" si="179"/>
        <v>0</v>
      </c>
      <c r="J491" s="85">
        <f t="shared" si="179"/>
        <v>0</v>
      </c>
      <c r="K491" s="76">
        <v>0</v>
      </c>
      <c r="L491" s="497">
        <f t="shared" si="176"/>
        <v>0.82199999999999995</v>
      </c>
      <c r="M491" s="185"/>
      <c r="N491" s="476"/>
      <c r="O491" s="301"/>
      <c r="P491" s="556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  <c r="AY491" s="49"/>
      <c r="AZ491" s="49"/>
      <c r="BA491" s="49"/>
      <c r="BB491" s="49"/>
      <c r="BC491" s="49"/>
      <c r="BD491" s="49"/>
      <c r="BE491" s="49"/>
      <c r="BF491" s="68"/>
    </row>
    <row r="492" spans="1:58" s="51" customFormat="1">
      <c r="A492" s="1126"/>
      <c r="B492" s="868"/>
      <c r="C492" s="1125"/>
      <c r="D492" s="84">
        <v>2024</v>
      </c>
      <c r="E492" s="85">
        <f t="shared" si="179"/>
        <v>0.9274</v>
      </c>
      <c r="F492" s="85">
        <f t="shared" si="179"/>
        <v>0.9274</v>
      </c>
      <c r="G492" s="85">
        <f t="shared" si="179"/>
        <v>0</v>
      </c>
      <c r="H492" s="85">
        <f t="shared" si="179"/>
        <v>0</v>
      </c>
      <c r="I492" s="85">
        <f t="shared" si="179"/>
        <v>0</v>
      </c>
      <c r="J492" s="85">
        <f t="shared" si="179"/>
        <v>0</v>
      </c>
      <c r="K492" s="76">
        <v>0</v>
      </c>
      <c r="L492" s="497">
        <f t="shared" si="176"/>
        <v>0.9274</v>
      </c>
      <c r="M492" s="185"/>
      <c r="N492" s="476"/>
      <c r="O492" s="301"/>
      <c r="P492" s="556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/>
      <c r="AX492" s="49"/>
      <c r="AY492" s="49"/>
      <c r="AZ492" s="49"/>
      <c r="BA492" s="49"/>
      <c r="BB492" s="49"/>
      <c r="BC492" s="49"/>
      <c r="BD492" s="49"/>
      <c r="BE492" s="49"/>
      <c r="BF492" s="68"/>
    </row>
    <row r="493" spans="1:58" s="51" customFormat="1">
      <c r="A493" s="1126"/>
      <c r="B493" s="868"/>
      <c r="C493" s="1125"/>
      <c r="D493" s="84">
        <v>2025</v>
      </c>
      <c r="E493" s="85">
        <f t="shared" si="179"/>
        <v>0.1011</v>
      </c>
      <c r="F493" s="85">
        <f t="shared" si="179"/>
        <v>0.1011</v>
      </c>
      <c r="G493" s="85">
        <f t="shared" si="179"/>
        <v>0</v>
      </c>
      <c r="H493" s="85">
        <f t="shared" si="179"/>
        <v>0</v>
      </c>
      <c r="I493" s="85">
        <f t="shared" si="179"/>
        <v>0</v>
      </c>
      <c r="J493" s="85">
        <f t="shared" si="179"/>
        <v>0</v>
      </c>
      <c r="K493" s="76">
        <v>0</v>
      </c>
      <c r="L493" s="497">
        <f t="shared" si="176"/>
        <v>0.1011</v>
      </c>
      <c r="M493" s="185"/>
      <c r="N493" s="476"/>
      <c r="O493" s="301"/>
      <c r="P493" s="556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49"/>
      <c r="BC493" s="49"/>
      <c r="BD493" s="49"/>
      <c r="BE493" s="49"/>
      <c r="BF493" s="68"/>
    </row>
    <row r="494" spans="1:58" s="51" customFormat="1">
      <c r="A494" s="1126"/>
      <c r="B494" s="868"/>
      <c r="C494" s="1125"/>
      <c r="D494" s="84">
        <v>2026</v>
      </c>
      <c r="E494" s="85">
        <f t="shared" si="179"/>
        <v>0.1051</v>
      </c>
      <c r="F494" s="85">
        <f t="shared" si="179"/>
        <v>0.1051</v>
      </c>
      <c r="G494" s="85">
        <f t="shared" si="179"/>
        <v>0</v>
      </c>
      <c r="H494" s="85">
        <f t="shared" si="179"/>
        <v>0</v>
      </c>
      <c r="I494" s="85">
        <f t="shared" si="179"/>
        <v>0</v>
      </c>
      <c r="J494" s="85">
        <f t="shared" si="179"/>
        <v>0</v>
      </c>
      <c r="K494" s="76">
        <v>0</v>
      </c>
      <c r="L494" s="497">
        <f t="shared" si="176"/>
        <v>0.1051</v>
      </c>
      <c r="M494" s="185"/>
      <c r="N494" s="476"/>
      <c r="O494" s="301"/>
      <c r="P494" s="556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49"/>
      <c r="BC494" s="49"/>
      <c r="BD494" s="49"/>
      <c r="BE494" s="49"/>
      <c r="BF494" s="68"/>
    </row>
    <row r="495" spans="1:58" s="51" customFormat="1">
      <c r="A495" s="1126"/>
      <c r="B495" s="868"/>
      <c r="C495" s="1125"/>
      <c r="D495" s="84">
        <v>2027</v>
      </c>
      <c r="E495" s="85">
        <f t="shared" si="179"/>
        <v>0.10929999999999999</v>
      </c>
      <c r="F495" s="85">
        <f t="shared" si="179"/>
        <v>0.10929999999999999</v>
      </c>
      <c r="G495" s="85">
        <f t="shared" si="179"/>
        <v>0</v>
      </c>
      <c r="H495" s="85">
        <f t="shared" si="179"/>
        <v>0</v>
      </c>
      <c r="I495" s="85">
        <f t="shared" si="179"/>
        <v>0</v>
      </c>
      <c r="J495" s="85">
        <f t="shared" si="179"/>
        <v>0</v>
      </c>
      <c r="K495" s="76">
        <v>0</v>
      </c>
      <c r="L495" s="497">
        <f t="shared" si="176"/>
        <v>0.10929999999999999</v>
      </c>
      <c r="M495" s="185"/>
      <c r="N495" s="476"/>
      <c r="O495" s="301"/>
      <c r="P495" s="556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  <c r="AY495" s="49"/>
      <c r="AZ495" s="49"/>
      <c r="BA495" s="49"/>
      <c r="BB495" s="49"/>
      <c r="BC495" s="49"/>
      <c r="BD495" s="49"/>
      <c r="BE495" s="49"/>
      <c r="BF495" s="68"/>
    </row>
    <row r="496" spans="1:58" s="51" customFormat="1">
      <c r="A496" s="1126"/>
      <c r="B496" s="868"/>
      <c r="C496" s="1125"/>
      <c r="D496" s="84">
        <v>2028</v>
      </c>
      <c r="E496" s="85">
        <f t="shared" si="179"/>
        <v>0.1137</v>
      </c>
      <c r="F496" s="85">
        <f t="shared" si="179"/>
        <v>0.1137</v>
      </c>
      <c r="G496" s="85">
        <f t="shared" si="179"/>
        <v>0</v>
      </c>
      <c r="H496" s="85">
        <f t="shared" si="179"/>
        <v>0</v>
      </c>
      <c r="I496" s="85">
        <f t="shared" si="179"/>
        <v>0</v>
      </c>
      <c r="J496" s="85">
        <f t="shared" si="179"/>
        <v>0</v>
      </c>
      <c r="K496" s="76">
        <v>0</v>
      </c>
      <c r="L496" s="497">
        <f t="shared" si="176"/>
        <v>0.1137</v>
      </c>
      <c r="M496" s="185"/>
      <c r="N496" s="476"/>
      <c r="O496" s="301"/>
      <c r="P496" s="556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/>
      <c r="AX496" s="49"/>
      <c r="AY496" s="49"/>
      <c r="AZ496" s="49"/>
      <c r="BA496" s="49"/>
      <c r="BB496" s="49"/>
      <c r="BC496" s="49"/>
      <c r="BD496" s="49"/>
      <c r="BE496" s="49"/>
      <c r="BF496" s="68"/>
    </row>
    <row r="497" spans="1:58" s="51" customFormat="1">
      <c r="A497" s="1126"/>
      <c r="B497" s="868"/>
      <c r="C497" s="1125"/>
      <c r="D497" s="84">
        <v>2029</v>
      </c>
      <c r="E497" s="85">
        <f t="shared" si="179"/>
        <v>0.1182</v>
      </c>
      <c r="F497" s="85">
        <f t="shared" si="179"/>
        <v>0.1182</v>
      </c>
      <c r="G497" s="85">
        <f t="shared" si="179"/>
        <v>0</v>
      </c>
      <c r="H497" s="85">
        <f t="shared" si="179"/>
        <v>0</v>
      </c>
      <c r="I497" s="85">
        <f t="shared" si="179"/>
        <v>0</v>
      </c>
      <c r="J497" s="85">
        <f t="shared" si="179"/>
        <v>0</v>
      </c>
      <c r="K497" s="76">
        <v>0</v>
      </c>
      <c r="L497" s="497">
        <f t="shared" si="176"/>
        <v>0.1182</v>
      </c>
      <c r="M497" s="185"/>
      <c r="N497" s="476"/>
      <c r="O497" s="301"/>
      <c r="P497" s="556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  <c r="AY497" s="49"/>
      <c r="AZ497" s="49"/>
      <c r="BA497" s="49"/>
      <c r="BB497" s="49"/>
      <c r="BC497" s="49"/>
      <c r="BD497" s="49"/>
      <c r="BE497" s="49"/>
      <c r="BF497" s="68"/>
    </row>
    <row r="498" spans="1:58" s="51" customFormat="1">
      <c r="A498" s="1127"/>
      <c r="B498" s="869"/>
      <c r="C498" s="1103"/>
      <c r="D498" s="84">
        <v>2030</v>
      </c>
      <c r="E498" s="85">
        <f t="shared" si="179"/>
        <v>0.1229</v>
      </c>
      <c r="F498" s="85">
        <f t="shared" si="179"/>
        <v>0.1229</v>
      </c>
      <c r="G498" s="85">
        <f t="shared" si="179"/>
        <v>0</v>
      </c>
      <c r="H498" s="85">
        <f t="shared" si="179"/>
        <v>0</v>
      </c>
      <c r="I498" s="85">
        <f t="shared" si="179"/>
        <v>0</v>
      </c>
      <c r="J498" s="85">
        <f t="shared" si="179"/>
        <v>0</v>
      </c>
      <c r="K498" s="76">
        <v>0</v>
      </c>
      <c r="L498" s="497">
        <f t="shared" si="176"/>
        <v>0.1229</v>
      </c>
      <c r="M498" s="185"/>
      <c r="N498" s="476"/>
      <c r="O498" s="301"/>
      <c r="P498" s="556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  <c r="AY498" s="49"/>
      <c r="AZ498" s="49"/>
      <c r="BA498" s="49"/>
      <c r="BB498" s="49"/>
      <c r="BC498" s="49"/>
      <c r="BD498" s="49"/>
      <c r="BE498" s="49"/>
      <c r="BF498" s="68"/>
    </row>
    <row r="499" spans="1:58" s="51" customFormat="1" ht="12.75" customHeight="1">
      <c r="A499" s="794" t="s">
        <v>659</v>
      </c>
      <c r="B499" s="867" t="s">
        <v>660</v>
      </c>
      <c r="C499" s="484"/>
      <c r="D499" s="84" t="s">
        <v>16</v>
      </c>
      <c r="E499" s="85">
        <f t="shared" ref="E499:J499" si="180">SUM(E500:E511)</f>
        <v>4.4945999999999993</v>
      </c>
      <c r="F499" s="85">
        <f t="shared" si="180"/>
        <v>4.4945999999999993</v>
      </c>
      <c r="G499" s="85">
        <f t="shared" si="180"/>
        <v>0</v>
      </c>
      <c r="H499" s="85">
        <f t="shared" si="180"/>
        <v>0</v>
      </c>
      <c r="I499" s="85">
        <f t="shared" si="180"/>
        <v>0</v>
      </c>
      <c r="J499" s="85">
        <f t="shared" si="180"/>
        <v>0</v>
      </c>
      <c r="K499" s="76">
        <v>0</v>
      </c>
      <c r="L499" s="497">
        <f t="shared" si="176"/>
        <v>4.4945999999999993</v>
      </c>
      <c r="M499" s="185"/>
      <c r="N499" s="476"/>
      <c r="O499" s="301"/>
      <c r="P499" s="842" t="s">
        <v>527</v>
      </c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  <c r="AY499" s="49"/>
      <c r="AZ499" s="49"/>
      <c r="BA499" s="49"/>
      <c r="BB499" s="49"/>
      <c r="BC499" s="49"/>
      <c r="BD499" s="49"/>
      <c r="BE499" s="49"/>
      <c r="BF499" s="68"/>
    </row>
    <row r="500" spans="1:58" s="51" customFormat="1" ht="20.25" customHeight="1">
      <c r="A500" s="1126"/>
      <c r="B500" s="872"/>
      <c r="C500" s="358" t="s">
        <v>526</v>
      </c>
      <c r="D500" s="62">
        <v>2019</v>
      </c>
      <c r="E500" s="63">
        <f>F500+G500+H500+I500+J500</f>
        <v>6.7699999999999996E-2</v>
      </c>
      <c r="F500" s="63">
        <v>6.7699999999999996E-2</v>
      </c>
      <c r="G500" s="347">
        <v>0</v>
      </c>
      <c r="H500" s="63">
        <v>0</v>
      </c>
      <c r="I500" s="341">
        <v>0</v>
      </c>
      <c r="J500" s="341">
        <v>0</v>
      </c>
      <c r="K500" s="76">
        <v>0</v>
      </c>
      <c r="L500" s="497">
        <f t="shared" si="176"/>
        <v>6.7699999999999996E-2</v>
      </c>
      <c r="M500" s="185"/>
      <c r="N500" s="476"/>
      <c r="O500" s="301"/>
      <c r="P500" s="1125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/>
      <c r="AX500" s="49"/>
      <c r="AY500" s="49"/>
      <c r="AZ500" s="49"/>
      <c r="BA500" s="49"/>
      <c r="BB500" s="49"/>
      <c r="BC500" s="49"/>
      <c r="BD500" s="49"/>
      <c r="BE500" s="49"/>
      <c r="BF500" s="68"/>
    </row>
    <row r="501" spans="1:58" s="51" customFormat="1">
      <c r="A501" s="1126"/>
      <c r="B501" s="872"/>
      <c r="C501" s="881" t="s">
        <v>661</v>
      </c>
      <c r="D501" s="62">
        <v>2020</v>
      </c>
      <c r="E501" s="63">
        <f>F501+G501+H501+I501+J501</f>
        <v>0.60599999999999998</v>
      </c>
      <c r="F501" s="63">
        <v>0.60599999999999998</v>
      </c>
      <c r="G501" s="347">
        <v>0</v>
      </c>
      <c r="H501" s="63">
        <v>0</v>
      </c>
      <c r="I501" s="341">
        <v>0</v>
      </c>
      <c r="J501" s="341">
        <v>0</v>
      </c>
      <c r="K501" s="76">
        <v>0</v>
      </c>
      <c r="L501" s="497">
        <f t="shared" si="176"/>
        <v>0.60599999999999998</v>
      </c>
      <c r="M501" s="185"/>
      <c r="N501" s="476"/>
      <c r="O501" s="301"/>
      <c r="P501" s="1125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  <c r="AY501" s="49"/>
      <c r="AZ501" s="49"/>
      <c r="BA501" s="49"/>
      <c r="BB501" s="49"/>
      <c r="BC501" s="49"/>
      <c r="BD501" s="49"/>
      <c r="BE501" s="49"/>
      <c r="BF501" s="68"/>
    </row>
    <row r="502" spans="1:58" s="51" customFormat="1" ht="12.75" customHeight="1">
      <c r="A502" s="1126"/>
      <c r="B502" s="872"/>
      <c r="C502" s="882"/>
      <c r="D502" s="62">
        <v>2021</v>
      </c>
      <c r="E502" s="63">
        <v>0.59</v>
      </c>
      <c r="F502" s="63">
        <v>0.59</v>
      </c>
      <c r="G502" s="347">
        <v>0</v>
      </c>
      <c r="H502" s="63">
        <v>0</v>
      </c>
      <c r="I502" s="341">
        <v>0</v>
      </c>
      <c r="J502" s="341">
        <v>0</v>
      </c>
      <c r="K502" s="76">
        <v>0</v>
      </c>
      <c r="L502" s="497">
        <f t="shared" si="176"/>
        <v>0.59</v>
      </c>
      <c r="M502" s="185"/>
      <c r="N502" s="476"/>
      <c r="O502" s="301"/>
      <c r="P502" s="1125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49"/>
      <c r="BC502" s="49"/>
      <c r="BD502" s="49"/>
      <c r="BE502" s="49"/>
      <c r="BF502" s="68"/>
    </row>
    <row r="503" spans="1:58" s="51" customFormat="1">
      <c r="A503" s="1126"/>
      <c r="B503" s="872"/>
      <c r="C503" s="882"/>
      <c r="D503" s="62">
        <v>2022</v>
      </c>
      <c r="E503" s="63">
        <v>0.81120000000000003</v>
      </c>
      <c r="F503" s="63">
        <v>0.81120000000000003</v>
      </c>
      <c r="G503" s="347">
        <v>0</v>
      </c>
      <c r="H503" s="63">
        <v>0</v>
      </c>
      <c r="I503" s="341">
        <v>0</v>
      </c>
      <c r="J503" s="341">
        <v>0</v>
      </c>
      <c r="K503" s="76">
        <v>0</v>
      </c>
      <c r="L503" s="497">
        <f t="shared" si="176"/>
        <v>0.81120000000000003</v>
      </c>
      <c r="M503" s="185"/>
      <c r="N503" s="476"/>
      <c r="O503" s="301"/>
      <c r="P503" s="1125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49"/>
      <c r="BC503" s="49"/>
      <c r="BD503" s="49"/>
      <c r="BE503" s="49"/>
      <c r="BF503" s="68"/>
    </row>
    <row r="504" spans="1:58" s="51" customFormat="1">
      <c r="A504" s="1126"/>
      <c r="B504" s="872"/>
      <c r="C504" s="882"/>
      <c r="D504" s="62">
        <v>2023</v>
      </c>
      <c r="E504" s="63">
        <v>0.82199999999999995</v>
      </c>
      <c r="F504" s="63">
        <v>0.82199999999999995</v>
      </c>
      <c r="G504" s="347">
        <v>0</v>
      </c>
      <c r="H504" s="63">
        <v>0</v>
      </c>
      <c r="I504" s="341">
        <v>0</v>
      </c>
      <c r="J504" s="341">
        <v>0</v>
      </c>
      <c r="K504" s="76">
        <v>0</v>
      </c>
      <c r="L504" s="497">
        <f t="shared" si="176"/>
        <v>0.82199999999999995</v>
      </c>
      <c r="M504" s="185"/>
      <c r="N504" s="476"/>
      <c r="O504" s="301"/>
      <c r="P504" s="1125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  <c r="AY504" s="49"/>
      <c r="AZ504" s="49"/>
      <c r="BA504" s="49"/>
      <c r="BB504" s="49"/>
      <c r="BC504" s="49"/>
      <c r="BD504" s="49"/>
      <c r="BE504" s="49"/>
      <c r="BF504" s="68"/>
    </row>
    <row r="505" spans="1:58" s="51" customFormat="1">
      <c r="A505" s="1126"/>
      <c r="B505" s="872"/>
      <c r="C505" s="882"/>
      <c r="D505" s="62">
        <v>2024</v>
      </c>
      <c r="E505" s="63">
        <v>0.9274</v>
      </c>
      <c r="F505" s="63">
        <v>0.9274</v>
      </c>
      <c r="G505" s="347">
        <v>0</v>
      </c>
      <c r="H505" s="63">
        <v>0</v>
      </c>
      <c r="I505" s="341">
        <v>0</v>
      </c>
      <c r="J505" s="341">
        <v>0</v>
      </c>
      <c r="K505" s="76">
        <v>0</v>
      </c>
      <c r="L505" s="497">
        <f t="shared" si="176"/>
        <v>0.9274</v>
      </c>
      <c r="M505" s="185"/>
      <c r="N505" s="476"/>
      <c r="O505" s="301"/>
      <c r="P505" s="1125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/>
      <c r="AX505" s="49"/>
      <c r="AY505" s="49"/>
      <c r="AZ505" s="49"/>
      <c r="BA505" s="49"/>
      <c r="BB505" s="49"/>
      <c r="BC505" s="49"/>
      <c r="BD505" s="49"/>
      <c r="BE505" s="49"/>
      <c r="BF505" s="68"/>
    </row>
    <row r="506" spans="1:58" s="51" customFormat="1">
      <c r="A506" s="1126"/>
      <c r="B506" s="872"/>
      <c r="C506" s="964"/>
      <c r="D506" s="62">
        <v>2025</v>
      </c>
      <c r="E506" s="63">
        <v>0.1011</v>
      </c>
      <c r="F506" s="63">
        <v>0.1011</v>
      </c>
      <c r="G506" s="347">
        <v>0</v>
      </c>
      <c r="H506" s="63">
        <v>0</v>
      </c>
      <c r="I506" s="341">
        <v>0</v>
      </c>
      <c r="J506" s="341">
        <v>0</v>
      </c>
      <c r="K506" s="76">
        <v>0</v>
      </c>
      <c r="L506" s="497">
        <f t="shared" si="176"/>
        <v>0.1011</v>
      </c>
      <c r="M506" s="185"/>
      <c r="N506" s="476"/>
      <c r="O506" s="301"/>
      <c r="P506" s="1125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49"/>
      <c r="BC506" s="49"/>
      <c r="BD506" s="49"/>
      <c r="BE506" s="49"/>
      <c r="BF506" s="68"/>
    </row>
    <row r="507" spans="1:58" s="51" customFormat="1">
      <c r="A507" s="1126"/>
      <c r="B507" s="872"/>
      <c r="C507" s="881" t="s">
        <v>662</v>
      </c>
      <c r="D507" s="62">
        <v>2026</v>
      </c>
      <c r="E507" s="63">
        <v>0.1051</v>
      </c>
      <c r="F507" s="63">
        <v>0.1051</v>
      </c>
      <c r="G507" s="347">
        <v>0</v>
      </c>
      <c r="H507" s="63">
        <v>0</v>
      </c>
      <c r="I507" s="341">
        <v>0</v>
      </c>
      <c r="J507" s="341">
        <v>0</v>
      </c>
      <c r="K507" s="76">
        <v>0</v>
      </c>
      <c r="L507" s="497">
        <f t="shared" si="176"/>
        <v>0.1051</v>
      </c>
      <c r="M507" s="185"/>
      <c r="N507" s="476"/>
      <c r="O507" s="301"/>
      <c r="P507" s="1125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/>
      <c r="AX507" s="49"/>
      <c r="AY507" s="49"/>
      <c r="AZ507" s="49"/>
      <c r="BA507" s="49"/>
      <c r="BB507" s="49"/>
      <c r="BC507" s="49"/>
      <c r="BD507" s="49"/>
      <c r="BE507" s="49"/>
      <c r="BF507" s="68"/>
    </row>
    <row r="508" spans="1:58" s="51" customFormat="1">
      <c r="A508" s="1126"/>
      <c r="B508" s="872"/>
      <c r="C508" s="882"/>
      <c r="D508" s="62">
        <v>2027</v>
      </c>
      <c r="E508" s="63">
        <v>0.10929999999999999</v>
      </c>
      <c r="F508" s="63">
        <v>0.10929999999999999</v>
      </c>
      <c r="G508" s="347">
        <v>0</v>
      </c>
      <c r="H508" s="63">
        <v>0</v>
      </c>
      <c r="I508" s="341">
        <v>0</v>
      </c>
      <c r="J508" s="341">
        <v>0</v>
      </c>
      <c r="K508" s="76">
        <v>0</v>
      </c>
      <c r="L508" s="497">
        <f t="shared" si="176"/>
        <v>0.10929999999999999</v>
      </c>
      <c r="M508" s="185"/>
      <c r="N508" s="476"/>
      <c r="O508" s="301"/>
      <c r="P508" s="1125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  <c r="AY508" s="49"/>
      <c r="AZ508" s="49"/>
      <c r="BA508" s="49"/>
      <c r="BB508" s="49"/>
      <c r="BC508" s="49"/>
      <c r="BD508" s="49"/>
      <c r="BE508" s="49"/>
      <c r="BF508" s="68"/>
    </row>
    <row r="509" spans="1:58" s="51" customFormat="1">
      <c r="A509" s="1126"/>
      <c r="B509" s="872"/>
      <c r="C509" s="882"/>
      <c r="D509" s="62">
        <v>2028</v>
      </c>
      <c r="E509" s="63">
        <v>0.1137</v>
      </c>
      <c r="F509" s="63">
        <v>0.1137</v>
      </c>
      <c r="G509" s="347">
        <v>0</v>
      </c>
      <c r="H509" s="63">
        <v>0</v>
      </c>
      <c r="I509" s="341">
        <v>0</v>
      </c>
      <c r="J509" s="341">
        <v>0</v>
      </c>
      <c r="K509" s="76">
        <v>0</v>
      </c>
      <c r="L509" s="497">
        <f t="shared" si="176"/>
        <v>0.1137</v>
      </c>
      <c r="M509" s="185"/>
      <c r="N509" s="476"/>
      <c r="O509" s="301"/>
      <c r="P509" s="1125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49"/>
      <c r="BC509" s="49"/>
      <c r="BD509" s="49"/>
      <c r="BE509" s="49"/>
      <c r="BF509" s="68"/>
    </row>
    <row r="510" spans="1:58" s="51" customFormat="1">
      <c r="A510" s="1126"/>
      <c r="B510" s="872"/>
      <c r="C510" s="882"/>
      <c r="D510" s="62">
        <v>2029</v>
      </c>
      <c r="E510" s="63">
        <v>0.1182</v>
      </c>
      <c r="F510" s="63">
        <v>0.1182</v>
      </c>
      <c r="G510" s="347">
        <v>0</v>
      </c>
      <c r="H510" s="63">
        <v>0</v>
      </c>
      <c r="I510" s="341">
        <v>0</v>
      </c>
      <c r="J510" s="341">
        <v>0</v>
      </c>
      <c r="K510" s="76">
        <v>0</v>
      </c>
      <c r="L510" s="497">
        <f t="shared" ref="L510:L541" si="181">F510+G510+H510+I510+J510</f>
        <v>0.1182</v>
      </c>
      <c r="M510" s="185"/>
      <c r="N510" s="476"/>
      <c r="O510" s="301"/>
      <c r="P510" s="1125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  <c r="AY510" s="49"/>
      <c r="AZ510" s="49"/>
      <c r="BA510" s="49"/>
      <c r="BB510" s="49"/>
      <c r="BC510" s="49"/>
      <c r="BD510" s="49"/>
      <c r="BE510" s="49"/>
      <c r="BF510" s="68"/>
    </row>
    <row r="511" spans="1:58" s="51" customFormat="1">
      <c r="A511" s="1127"/>
      <c r="B511" s="873"/>
      <c r="C511" s="964"/>
      <c r="D511" s="62">
        <v>2030</v>
      </c>
      <c r="E511" s="63">
        <v>0.1229</v>
      </c>
      <c r="F511" s="63">
        <v>0.1229</v>
      </c>
      <c r="G511" s="347">
        <v>0</v>
      </c>
      <c r="H511" s="63">
        <v>0</v>
      </c>
      <c r="I511" s="341">
        <v>0</v>
      </c>
      <c r="J511" s="341">
        <v>0</v>
      </c>
      <c r="K511" s="76">
        <v>0</v>
      </c>
      <c r="L511" s="497">
        <f t="shared" si="181"/>
        <v>0.1229</v>
      </c>
      <c r="M511" s="185"/>
      <c r="N511" s="476"/>
      <c r="O511" s="301"/>
      <c r="P511" s="1103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  <c r="AY511" s="49"/>
      <c r="AZ511" s="49"/>
      <c r="BA511" s="49"/>
      <c r="BB511" s="49"/>
      <c r="BC511" s="49"/>
      <c r="BD511" s="49"/>
      <c r="BE511" s="49"/>
      <c r="BF511" s="68"/>
    </row>
    <row r="512" spans="1:58" s="51" customFormat="1" ht="12.75" customHeight="1">
      <c r="A512" s="1128" t="s">
        <v>663</v>
      </c>
      <c r="B512" s="1000" t="s">
        <v>664</v>
      </c>
      <c r="C512" s="1000"/>
      <c r="D512" s="84" t="s">
        <v>16</v>
      </c>
      <c r="E512" s="136">
        <f t="shared" ref="E512:J512" si="182">E513+E514+E515+E516+E517+E518+E519</f>
        <v>10424.4509</v>
      </c>
      <c r="F512" s="136">
        <f t="shared" si="182"/>
        <v>88.400099999999995</v>
      </c>
      <c r="G512" s="136">
        <f t="shared" si="182"/>
        <v>211.04910000000001</v>
      </c>
      <c r="H512" s="136">
        <f t="shared" si="182"/>
        <v>1105.2201</v>
      </c>
      <c r="I512" s="136">
        <f t="shared" si="182"/>
        <v>9009.9490000000005</v>
      </c>
      <c r="J512" s="313">
        <f t="shared" si="182"/>
        <v>9.8325999999999993</v>
      </c>
      <c r="K512" s="76">
        <v>0</v>
      </c>
      <c r="L512" s="497">
        <f t="shared" si="181"/>
        <v>10424.4509</v>
      </c>
      <c r="M512" s="185"/>
      <c r="N512" s="476"/>
      <c r="O512" s="301"/>
      <c r="P512" s="477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  <c r="AY512" s="49"/>
      <c r="AZ512" s="49"/>
      <c r="BA512" s="49"/>
      <c r="BB512" s="49"/>
      <c r="BC512" s="49"/>
      <c r="BD512" s="49"/>
      <c r="BE512" s="49"/>
      <c r="BF512" s="68"/>
    </row>
    <row r="513" spans="1:58" s="51" customFormat="1" ht="12.75" customHeight="1">
      <c r="A513" s="1183"/>
      <c r="B513" s="1001"/>
      <c r="C513" s="1001"/>
      <c r="D513" s="84">
        <v>2019</v>
      </c>
      <c r="E513" s="136">
        <f t="shared" ref="E513:J513" si="183">E542+E546+E556+E561+E570</f>
        <v>929.09609999999998</v>
      </c>
      <c r="F513" s="136">
        <f t="shared" si="183"/>
        <v>17.819900000000001</v>
      </c>
      <c r="G513" s="136">
        <f t="shared" si="183"/>
        <v>99.615399999999994</v>
      </c>
      <c r="H513" s="136">
        <f t="shared" si="183"/>
        <v>221.95830000000001</v>
      </c>
      <c r="I513" s="136">
        <f t="shared" si="183"/>
        <v>589.02</v>
      </c>
      <c r="J513" s="313">
        <f t="shared" si="183"/>
        <v>0.6825</v>
      </c>
      <c r="K513" s="76">
        <v>0</v>
      </c>
      <c r="L513" s="497">
        <f t="shared" si="181"/>
        <v>929.09609999999998</v>
      </c>
      <c r="M513" s="185"/>
      <c r="N513" s="476"/>
      <c r="O513" s="301"/>
      <c r="P513" s="477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49"/>
      <c r="BC513" s="49"/>
      <c r="BD513" s="49"/>
      <c r="BE513" s="49"/>
      <c r="BF513" s="68"/>
    </row>
    <row r="514" spans="1:58" s="51" customFormat="1" ht="12.75" customHeight="1">
      <c r="A514" s="1183"/>
      <c r="B514" s="1001"/>
      <c r="C514" s="1001"/>
      <c r="D514" s="84">
        <v>2020</v>
      </c>
      <c r="E514" s="136">
        <f t="shared" ref="E514:J514" si="184">E521+E543+E547+E553+E557+E563+E571</f>
        <v>5477.0097999999998</v>
      </c>
      <c r="F514" s="136">
        <f t="shared" si="184"/>
        <v>11.309699999999999</v>
      </c>
      <c r="G514" s="136">
        <f t="shared" si="184"/>
        <v>111.4337</v>
      </c>
      <c r="H514" s="136">
        <f t="shared" si="184"/>
        <v>732.74489999999992</v>
      </c>
      <c r="I514" s="136">
        <f t="shared" si="184"/>
        <v>4620.8</v>
      </c>
      <c r="J514" s="313">
        <f t="shared" si="184"/>
        <v>0.72150000000000003</v>
      </c>
      <c r="K514" s="76">
        <v>0</v>
      </c>
      <c r="L514" s="497">
        <f t="shared" si="181"/>
        <v>5477.0097999999998</v>
      </c>
      <c r="M514" s="185"/>
      <c r="N514" s="476"/>
      <c r="O514" s="301"/>
      <c r="P514" s="477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49"/>
      <c r="BC514" s="49"/>
      <c r="BD514" s="49"/>
      <c r="BE514" s="49"/>
      <c r="BF514" s="68"/>
    </row>
    <row r="515" spans="1:58" s="51" customFormat="1" ht="12.75" customHeight="1">
      <c r="A515" s="1183"/>
      <c r="B515" s="1001"/>
      <c r="C515" s="1001"/>
      <c r="D515" s="84">
        <v>2021</v>
      </c>
      <c r="E515" s="136">
        <f t="shared" ref="E515:J515" si="185">E522+E544+E548+E564+E574+E577+E559+E572</f>
        <v>2791.7196999999996</v>
      </c>
      <c r="F515" s="136">
        <f t="shared" si="185"/>
        <v>12.046200000000001</v>
      </c>
      <c r="G515" s="136">
        <f t="shared" si="185"/>
        <v>0</v>
      </c>
      <c r="H515" s="136">
        <f t="shared" si="185"/>
        <v>140.51689999999999</v>
      </c>
      <c r="I515" s="136">
        <f t="shared" si="185"/>
        <v>2631.6289999999999</v>
      </c>
      <c r="J515" s="136">
        <f t="shared" si="185"/>
        <v>7.5275999999999996</v>
      </c>
      <c r="K515" s="76">
        <v>0</v>
      </c>
      <c r="L515" s="497">
        <f t="shared" si="181"/>
        <v>2791.7196999999996</v>
      </c>
      <c r="M515" s="185"/>
      <c r="N515" s="476"/>
      <c r="O515" s="301"/>
      <c r="P515" s="477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AU515" s="49"/>
      <c r="AV515" s="49"/>
      <c r="AW515" s="49"/>
      <c r="AX515" s="49"/>
      <c r="AY515" s="49"/>
      <c r="AZ515" s="49"/>
      <c r="BA515" s="49"/>
      <c r="BB515" s="49"/>
      <c r="BC515" s="49"/>
      <c r="BD515" s="49"/>
      <c r="BE515" s="49"/>
      <c r="BF515" s="68"/>
    </row>
    <row r="516" spans="1:58" s="51" customFormat="1" ht="12.75" customHeight="1">
      <c r="A516" s="1183"/>
      <c r="B516" s="1001"/>
      <c r="C516" s="1001"/>
      <c r="D516" s="84">
        <v>2022</v>
      </c>
      <c r="E516" s="136">
        <f t="shared" ref="E516:J516" si="186">E523+E549+E565+E554+E575</f>
        <v>615.61489999999992</v>
      </c>
      <c r="F516" s="136">
        <f t="shared" si="186"/>
        <v>9.4138999999999999</v>
      </c>
      <c r="G516" s="136">
        <f t="shared" si="186"/>
        <v>0</v>
      </c>
      <c r="H516" s="136">
        <f t="shared" si="186"/>
        <v>10</v>
      </c>
      <c r="I516" s="136">
        <f t="shared" si="186"/>
        <v>595.29999999999995</v>
      </c>
      <c r="J516" s="313">
        <f t="shared" si="186"/>
        <v>0.90100000000000002</v>
      </c>
      <c r="K516" s="76">
        <v>0</v>
      </c>
      <c r="L516" s="497">
        <f t="shared" si="181"/>
        <v>615.61489999999992</v>
      </c>
      <c r="M516" s="185"/>
      <c r="N516" s="476"/>
      <c r="O516" s="301"/>
      <c r="P516" s="477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  <c r="AY516" s="49"/>
      <c r="AZ516" s="49"/>
      <c r="BA516" s="49"/>
      <c r="BB516" s="49"/>
      <c r="BC516" s="49"/>
      <c r="BD516" s="49"/>
      <c r="BE516" s="49"/>
      <c r="BF516" s="68"/>
    </row>
    <row r="517" spans="1:58" s="51" customFormat="1" ht="15.75" customHeight="1">
      <c r="A517" s="1183"/>
      <c r="B517" s="1001"/>
      <c r="C517" s="1001"/>
      <c r="D517" s="84">
        <v>2023</v>
      </c>
      <c r="E517" s="136">
        <f t="shared" ref="E517:J518" si="187">E524+E550+E566</f>
        <v>543.52089999999998</v>
      </c>
      <c r="F517" s="136">
        <f t="shared" si="187"/>
        <v>10.020899999999999</v>
      </c>
      <c r="G517" s="136">
        <f t="shared" si="187"/>
        <v>0</v>
      </c>
      <c r="H517" s="136">
        <f t="shared" si="187"/>
        <v>0</v>
      </c>
      <c r="I517" s="136">
        <f t="shared" si="187"/>
        <v>533.5</v>
      </c>
      <c r="J517" s="313">
        <f t="shared" si="187"/>
        <v>0</v>
      </c>
      <c r="K517" s="76">
        <v>0</v>
      </c>
      <c r="L517" s="497">
        <f t="shared" si="181"/>
        <v>543.52089999999998</v>
      </c>
      <c r="M517" s="185"/>
      <c r="N517" s="476"/>
      <c r="O517" s="301"/>
      <c r="P517" s="557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49"/>
      <c r="BC517" s="49"/>
      <c r="BD517" s="49"/>
      <c r="BE517" s="49"/>
      <c r="BF517" s="68"/>
    </row>
    <row r="518" spans="1:58" s="51" customFormat="1" ht="15.75" customHeight="1">
      <c r="A518" s="1183"/>
      <c r="B518" s="1001"/>
      <c r="C518" s="1001"/>
      <c r="D518" s="84">
        <v>2024</v>
      </c>
      <c r="E518" s="136">
        <f t="shared" si="187"/>
        <v>53.322299999999998</v>
      </c>
      <c r="F518" s="136">
        <f t="shared" si="187"/>
        <v>13.622299999999999</v>
      </c>
      <c r="G518" s="136">
        <f t="shared" si="187"/>
        <v>0</v>
      </c>
      <c r="H518" s="136">
        <f t="shared" si="187"/>
        <v>0</v>
      </c>
      <c r="I518" s="136">
        <f t="shared" si="187"/>
        <v>39.700000000000003</v>
      </c>
      <c r="J518" s="313">
        <f t="shared" si="187"/>
        <v>0</v>
      </c>
      <c r="K518" s="76">
        <v>0</v>
      </c>
      <c r="L518" s="497">
        <f t="shared" si="181"/>
        <v>53.322299999999998</v>
      </c>
      <c r="M518" s="185"/>
      <c r="N518" s="476"/>
      <c r="O518" s="301"/>
      <c r="P518" s="557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49"/>
      <c r="BC518" s="49"/>
      <c r="BD518" s="49"/>
      <c r="BE518" s="49"/>
      <c r="BF518" s="68"/>
    </row>
    <row r="519" spans="1:58" s="51" customFormat="1" ht="15.75" customHeight="1">
      <c r="A519" s="1184"/>
      <c r="B519" s="1002"/>
      <c r="C519" s="1002"/>
      <c r="D519" s="84">
        <v>2025</v>
      </c>
      <c r="E519" s="136">
        <f t="shared" ref="E519:J519" si="188">E526+E568</f>
        <v>14.167199999999999</v>
      </c>
      <c r="F519" s="136">
        <f t="shared" si="188"/>
        <v>14.167199999999999</v>
      </c>
      <c r="G519" s="136">
        <f t="shared" si="188"/>
        <v>0</v>
      </c>
      <c r="H519" s="136">
        <f t="shared" si="188"/>
        <v>0</v>
      </c>
      <c r="I519" s="136">
        <f t="shared" si="188"/>
        <v>0</v>
      </c>
      <c r="J519" s="313">
        <f t="shared" si="188"/>
        <v>0</v>
      </c>
      <c r="K519" s="76">
        <v>0</v>
      </c>
      <c r="L519" s="497">
        <f t="shared" si="181"/>
        <v>14.167199999999999</v>
      </c>
      <c r="M519" s="185"/>
      <c r="N519" s="476"/>
      <c r="O519" s="301"/>
      <c r="P519" s="557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49"/>
      <c r="BC519" s="49"/>
      <c r="BD519" s="49"/>
      <c r="BE519" s="49"/>
      <c r="BF519" s="68"/>
    </row>
    <row r="520" spans="1:58" s="51" customFormat="1" ht="27.75" customHeight="1">
      <c r="A520" s="794" t="s">
        <v>665</v>
      </c>
      <c r="B520" s="867" t="s">
        <v>666</v>
      </c>
      <c r="C520" s="915" t="s">
        <v>667</v>
      </c>
      <c r="D520" s="84" t="s">
        <v>16</v>
      </c>
      <c r="E520" s="85">
        <f t="shared" ref="E520:J520" si="189">E521+E522+E523+E524+E525+E526</f>
        <v>0</v>
      </c>
      <c r="F520" s="85">
        <f t="shared" si="189"/>
        <v>0</v>
      </c>
      <c r="G520" s="85">
        <f t="shared" si="189"/>
        <v>0</v>
      </c>
      <c r="H520" s="85">
        <f t="shared" si="189"/>
        <v>0</v>
      </c>
      <c r="I520" s="85">
        <f t="shared" si="189"/>
        <v>0</v>
      </c>
      <c r="J520" s="85">
        <f t="shared" si="189"/>
        <v>0</v>
      </c>
      <c r="K520" s="76">
        <v>0</v>
      </c>
      <c r="L520" s="497">
        <f t="shared" si="181"/>
        <v>0</v>
      </c>
      <c r="M520" s="185"/>
      <c r="N520" s="476"/>
      <c r="O520" s="301"/>
      <c r="P520" s="842" t="s">
        <v>405</v>
      </c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49"/>
      <c r="BC520" s="49"/>
      <c r="BD520" s="49"/>
      <c r="BE520" s="49"/>
      <c r="BF520" s="68"/>
    </row>
    <row r="521" spans="1:58" s="51" customFormat="1">
      <c r="A521" s="1126"/>
      <c r="B521" s="874"/>
      <c r="C521" s="916"/>
      <c r="D521" s="62">
        <v>2020</v>
      </c>
      <c r="E521" s="63">
        <f t="shared" ref="E521:J526" si="190">E528+E535</f>
        <v>0</v>
      </c>
      <c r="F521" s="63">
        <f t="shared" si="190"/>
        <v>0</v>
      </c>
      <c r="G521" s="63">
        <f t="shared" si="190"/>
        <v>0</v>
      </c>
      <c r="H521" s="63">
        <f t="shared" si="190"/>
        <v>0</v>
      </c>
      <c r="I521" s="63">
        <f t="shared" si="190"/>
        <v>0</v>
      </c>
      <c r="J521" s="63">
        <f t="shared" si="190"/>
        <v>0</v>
      </c>
      <c r="K521" s="76">
        <v>0</v>
      </c>
      <c r="L521" s="497">
        <f t="shared" si="181"/>
        <v>0</v>
      </c>
      <c r="M521" s="185"/>
      <c r="N521" s="476"/>
      <c r="O521" s="301"/>
      <c r="P521" s="1125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49"/>
      <c r="BC521" s="49"/>
      <c r="BD521" s="49"/>
      <c r="BE521" s="49"/>
      <c r="BF521" s="68"/>
    </row>
    <row r="522" spans="1:58" s="51" customFormat="1">
      <c r="A522" s="1126"/>
      <c r="B522" s="874"/>
      <c r="C522" s="916"/>
      <c r="D522" s="62">
        <v>2021</v>
      </c>
      <c r="E522" s="63">
        <f t="shared" si="190"/>
        <v>0</v>
      </c>
      <c r="F522" s="63">
        <f t="shared" si="190"/>
        <v>0</v>
      </c>
      <c r="G522" s="63">
        <f t="shared" si="190"/>
        <v>0</v>
      </c>
      <c r="H522" s="63">
        <f t="shared" si="190"/>
        <v>0</v>
      </c>
      <c r="I522" s="63">
        <f t="shared" si="190"/>
        <v>0</v>
      </c>
      <c r="J522" s="63">
        <f t="shared" si="190"/>
        <v>0</v>
      </c>
      <c r="K522" s="76">
        <v>0</v>
      </c>
      <c r="L522" s="497">
        <f t="shared" si="181"/>
        <v>0</v>
      </c>
      <c r="M522" s="185"/>
      <c r="N522" s="476"/>
      <c r="O522" s="301"/>
      <c r="P522" s="1125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49"/>
      <c r="BC522" s="49"/>
      <c r="BD522" s="49"/>
      <c r="BE522" s="49"/>
      <c r="BF522" s="68"/>
    </row>
    <row r="523" spans="1:58" s="51" customFormat="1">
      <c r="A523" s="1126"/>
      <c r="B523" s="874"/>
      <c r="C523" s="916"/>
      <c r="D523" s="62">
        <v>2022</v>
      </c>
      <c r="E523" s="63">
        <f t="shared" si="190"/>
        <v>0</v>
      </c>
      <c r="F523" s="63">
        <f t="shared" si="190"/>
        <v>0</v>
      </c>
      <c r="G523" s="63">
        <f t="shared" si="190"/>
        <v>0</v>
      </c>
      <c r="H523" s="63">
        <f t="shared" si="190"/>
        <v>0</v>
      </c>
      <c r="I523" s="63">
        <f t="shared" si="190"/>
        <v>0</v>
      </c>
      <c r="J523" s="63">
        <f t="shared" si="190"/>
        <v>0</v>
      </c>
      <c r="K523" s="76">
        <v>0</v>
      </c>
      <c r="L523" s="497">
        <f t="shared" si="181"/>
        <v>0</v>
      </c>
      <c r="M523" s="185"/>
      <c r="N523" s="476"/>
      <c r="O523" s="301"/>
      <c r="P523" s="1125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49"/>
      <c r="BC523" s="49"/>
      <c r="BD523" s="49"/>
      <c r="BE523" s="49"/>
      <c r="BF523" s="68"/>
    </row>
    <row r="524" spans="1:58" s="51" customFormat="1">
      <c r="A524" s="1126"/>
      <c r="B524" s="874"/>
      <c r="C524" s="916"/>
      <c r="D524" s="62">
        <v>2023</v>
      </c>
      <c r="E524" s="63">
        <f t="shared" si="190"/>
        <v>0</v>
      </c>
      <c r="F524" s="63">
        <f t="shared" si="190"/>
        <v>0</v>
      </c>
      <c r="G524" s="63">
        <f t="shared" si="190"/>
        <v>0</v>
      </c>
      <c r="H524" s="63">
        <f t="shared" si="190"/>
        <v>0</v>
      </c>
      <c r="I524" s="63">
        <f t="shared" si="190"/>
        <v>0</v>
      </c>
      <c r="J524" s="63">
        <f t="shared" si="190"/>
        <v>0</v>
      </c>
      <c r="K524" s="76">
        <v>0</v>
      </c>
      <c r="L524" s="497">
        <f t="shared" si="181"/>
        <v>0</v>
      </c>
      <c r="M524" s="185"/>
      <c r="N524" s="476"/>
      <c r="O524" s="301"/>
      <c r="P524" s="1125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49"/>
      <c r="BC524" s="49"/>
      <c r="BD524" s="49"/>
      <c r="BE524" s="49"/>
      <c r="BF524" s="68"/>
    </row>
    <row r="525" spans="1:58" s="51" customFormat="1">
      <c r="A525" s="1126"/>
      <c r="B525" s="874"/>
      <c r="C525" s="916"/>
      <c r="D525" s="62">
        <v>2024</v>
      </c>
      <c r="E525" s="63">
        <f t="shared" si="190"/>
        <v>0</v>
      </c>
      <c r="F525" s="63">
        <f t="shared" si="190"/>
        <v>0</v>
      </c>
      <c r="G525" s="63">
        <f t="shared" si="190"/>
        <v>0</v>
      </c>
      <c r="H525" s="63">
        <f t="shared" si="190"/>
        <v>0</v>
      </c>
      <c r="I525" s="63">
        <f t="shared" si="190"/>
        <v>0</v>
      </c>
      <c r="J525" s="63">
        <f t="shared" si="190"/>
        <v>0</v>
      </c>
      <c r="K525" s="76">
        <v>0</v>
      </c>
      <c r="L525" s="497">
        <f t="shared" si="181"/>
        <v>0</v>
      </c>
      <c r="M525" s="185"/>
      <c r="N525" s="476"/>
      <c r="O525" s="301"/>
      <c r="P525" s="1125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49"/>
      <c r="BC525" s="49"/>
      <c r="BD525" s="49"/>
      <c r="BE525" s="49"/>
      <c r="BF525" s="68"/>
    </row>
    <row r="526" spans="1:58" s="51" customFormat="1">
      <c r="A526" s="1127"/>
      <c r="B526" s="1008"/>
      <c r="C526" s="916"/>
      <c r="D526" s="62">
        <v>2025</v>
      </c>
      <c r="E526" s="63">
        <f t="shared" si="190"/>
        <v>0</v>
      </c>
      <c r="F526" s="63">
        <f t="shared" si="190"/>
        <v>0</v>
      </c>
      <c r="G526" s="63">
        <f t="shared" si="190"/>
        <v>0</v>
      </c>
      <c r="H526" s="63">
        <f t="shared" si="190"/>
        <v>0</v>
      </c>
      <c r="I526" s="63">
        <f t="shared" si="190"/>
        <v>0</v>
      </c>
      <c r="J526" s="63">
        <f t="shared" si="190"/>
        <v>0</v>
      </c>
      <c r="K526" s="76">
        <v>0</v>
      </c>
      <c r="L526" s="497">
        <f t="shared" si="181"/>
        <v>0</v>
      </c>
      <c r="M526" s="185"/>
      <c r="N526" s="476"/>
      <c r="O526" s="301"/>
      <c r="P526" s="1125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49"/>
      <c r="BC526" s="49"/>
      <c r="BD526" s="49"/>
      <c r="BE526" s="49"/>
      <c r="BF526" s="68"/>
    </row>
    <row r="527" spans="1:58" s="51" customFormat="1" ht="20.25" customHeight="1">
      <c r="A527" s="794" t="s">
        <v>668</v>
      </c>
      <c r="B527" s="867" t="s">
        <v>669</v>
      </c>
      <c r="C527" s="916"/>
      <c r="D527" s="84" t="s">
        <v>16</v>
      </c>
      <c r="E527" s="85">
        <f t="shared" ref="E527:J527" si="191">E528+E529+E530+E531+E532+E533</f>
        <v>0</v>
      </c>
      <c r="F527" s="85">
        <f t="shared" si="191"/>
        <v>0</v>
      </c>
      <c r="G527" s="85">
        <f t="shared" si="191"/>
        <v>0</v>
      </c>
      <c r="H527" s="85">
        <f t="shared" si="191"/>
        <v>0</v>
      </c>
      <c r="I527" s="85">
        <f t="shared" si="191"/>
        <v>0</v>
      </c>
      <c r="J527" s="85">
        <f t="shared" si="191"/>
        <v>0</v>
      </c>
      <c r="K527" s="76">
        <v>0</v>
      </c>
      <c r="L527" s="497">
        <f t="shared" si="181"/>
        <v>0</v>
      </c>
      <c r="M527" s="1031" t="s">
        <v>670</v>
      </c>
      <c r="N527" s="476"/>
      <c r="O527" s="301"/>
      <c r="P527" s="1125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49"/>
      <c r="BC527" s="49"/>
      <c r="BD527" s="49"/>
      <c r="BE527" s="49"/>
      <c r="BF527" s="68"/>
    </row>
    <row r="528" spans="1:58" s="51" customFormat="1">
      <c r="A528" s="795"/>
      <c r="B528" s="872"/>
      <c r="C528" s="916"/>
      <c r="D528" s="62">
        <v>2020</v>
      </c>
      <c r="E528" s="63">
        <f t="shared" ref="E528:E533" si="192">F528+G528+H528+I528+J528</f>
        <v>0</v>
      </c>
      <c r="F528" s="63">
        <v>0</v>
      </c>
      <c r="G528" s="63">
        <v>0</v>
      </c>
      <c r="H528" s="63">
        <v>0</v>
      </c>
      <c r="I528" s="63">
        <v>0</v>
      </c>
      <c r="J528" s="63">
        <v>0</v>
      </c>
      <c r="K528" s="76">
        <v>0</v>
      </c>
      <c r="L528" s="497">
        <f t="shared" si="181"/>
        <v>0</v>
      </c>
      <c r="M528" s="1032"/>
      <c r="N528" s="476"/>
      <c r="O528" s="301"/>
      <c r="P528" s="1125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49"/>
      <c r="BC528" s="49"/>
      <c r="BD528" s="49"/>
      <c r="BE528" s="49"/>
      <c r="BF528" s="68"/>
    </row>
    <row r="529" spans="1:58" s="51" customFormat="1">
      <c r="A529" s="795"/>
      <c r="B529" s="872"/>
      <c r="C529" s="916"/>
      <c r="D529" s="62">
        <v>2021</v>
      </c>
      <c r="E529" s="63">
        <f t="shared" si="192"/>
        <v>0</v>
      </c>
      <c r="F529" s="63">
        <v>0</v>
      </c>
      <c r="G529" s="63">
        <v>0</v>
      </c>
      <c r="H529" s="63">
        <v>0</v>
      </c>
      <c r="I529" s="63">
        <v>0</v>
      </c>
      <c r="J529" s="63">
        <v>0</v>
      </c>
      <c r="K529" s="76">
        <v>0</v>
      </c>
      <c r="L529" s="497">
        <f t="shared" si="181"/>
        <v>0</v>
      </c>
      <c r="M529" s="1032"/>
      <c r="N529" s="476"/>
      <c r="O529" s="301"/>
      <c r="P529" s="1125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49"/>
      <c r="BC529" s="49"/>
      <c r="BD529" s="49"/>
      <c r="BE529" s="49"/>
      <c r="BF529" s="68"/>
    </row>
    <row r="530" spans="1:58" s="51" customFormat="1">
      <c r="A530" s="795"/>
      <c r="B530" s="872"/>
      <c r="C530" s="916"/>
      <c r="D530" s="62">
        <v>2022</v>
      </c>
      <c r="E530" s="63">
        <f t="shared" si="192"/>
        <v>0</v>
      </c>
      <c r="F530" s="63">
        <v>0</v>
      </c>
      <c r="G530" s="63">
        <v>0</v>
      </c>
      <c r="H530" s="63">
        <v>0</v>
      </c>
      <c r="I530" s="63">
        <v>0</v>
      </c>
      <c r="J530" s="63">
        <v>0</v>
      </c>
      <c r="K530" s="76">
        <v>0</v>
      </c>
      <c r="L530" s="497">
        <f t="shared" si="181"/>
        <v>0</v>
      </c>
      <c r="M530" s="1032"/>
      <c r="N530" s="476"/>
      <c r="O530" s="301"/>
      <c r="P530" s="1125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49"/>
      <c r="BC530" s="49"/>
      <c r="BD530" s="49"/>
      <c r="BE530" s="49"/>
      <c r="BF530" s="68"/>
    </row>
    <row r="531" spans="1:58" s="51" customFormat="1">
      <c r="A531" s="795"/>
      <c r="B531" s="872"/>
      <c r="C531" s="916"/>
      <c r="D531" s="62">
        <v>2023</v>
      </c>
      <c r="E531" s="63">
        <f t="shared" si="192"/>
        <v>0</v>
      </c>
      <c r="F531" s="63">
        <v>0</v>
      </c>
      <c r="G531" s="63">
        <v>0</v>
      </c>
      <c r="H531" s="63">
        <v>0</v>
      </c>
      <c r="I531" s="63">
        <v>0</v>
      </c>
      <c r="J531" s="63">
        <v>0</v>
      </c>
      <c r="K531" s="76">
        <v>0</v>
      </c>
      <c r="L531" s="497">
        <f t="shared" si="181"/>
        <v>0</v>
      </c>
      <c r="M531" s="1032"/>
      <c r="N531" s="476"/>
      <c r="O531" s="301"/>
      <c r="P531" s="1125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49"/>
      <c r="BC531" s="49"/>
      <c r="BD531" s="49"/>
      <c r="BE531" s="49"/>
      <c r="BF531" s="68"/>
    </row>
    <row r="532" spans="1:58" s="51" customFormat="1">
      <c r="A532" s="795"/>
      <c r="B532" s="872"/>
      <c r="C532" s="916"/>
      <c r="D532" s="62">
        <v>2024</v>
      </c>
      <c r="E532" s="63">
        <f t="shared" si="192"/>
        <v>0</v>
      </c>
      <c r="F532" s="63">
        <v>0</v>
      </c>
      <c r="G532" s="63">
        <v>0</v>
      </c>
      <c r="H532" s="63">
        <v>0</v>
      </c>
      <c r="I532" s="63">
        <v>0</v>
      </c>
      <c r="J532" s="63">
        <v>0</v>
      </c>
      <c r="K532" s="76">
        <v>0</v>
      </c>
      <c r="L532" s="497">
        <f t="shared" si="181"/>
        <v>0</v>
      </c>
      <c r="M532" s="1032"/>
      <c r="N532" s="476"/>
      <c r="O532" s="301"/>
      <c r="P532" s="1125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49"/>
      <c r="BC532" s="49"/>
      <c r="BD532" s="49"/>
      <c r="BE532" s="49"/>
      <c r="BF532" s="68"/>
    </row>
    <row r="533" spans="1:58" s="51" customFormat="1">
      <c r="A533" s="796"/>
      <c r="B533" s="873"/>
      <c r="C533" s="916"/>
      <c r="D533" s="62">
        <v>2025</v>
      </c>
      <c r="E533" s="63">
        <f t="shared" si="192"/>
        <v>0</v>
      </c>
      <c r="F533" s="63">
        <v>0</v>
      </c>
      <c r="G533" s="63">
        <v>0</v>
      </c>
      <c r="H533" s="63">
        <v>0</v>
      </c>
      <c r="I533" s="63">
        <v>0</v>
      </c>
      <c r="J533" s="63">
        <v>0</v>
      </c>
      <c r="K533" s="76">
        <v>0</v>
      </c>
      <c r="L533" s="497">
        <f t="shared" si="181"/>
        <v>0</v>
      </c>
      <c r="M533" s="1033"/>
      <c r="N533" s="476"/>
      <c r="O533" s="301"/>
      <c r="P533" s="1125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  <c r="AT533" s="49"/>
      <c r="AU533" s="49"/>
      <c r="AV533" s="49"/>
      <c r="AW533" s="49"/>
      <c r="AX533" s="49"/>
      <c r="AY533" s="49"/>
      <c r="AZ533" s="49"/>
      <c r="BA533" s="49"/>
      <c r="BB533" s="49"/>
      <c r="BC533" s="49"/>
      <c r="BD533" s="49"/>
      <c r="BE533" s="49"/>
      <c r="BF533" s="68"/>
    </row>
    <row r="534" spans="1:58" s="51" customFormat="1">
      <c r="A534" s="794" t="s">
        <v>671</v>
      </c>
      <c r="B534" s="867" t="s">
        <v>672</v>
      </c>
      <c r="C534" s="916"/>
      <c r="D534" s="84" t="s">
        <v>16</v>
      </c>
      <c r="E534" s="85">
        <f t="shared" ref="E534:J534" si="193">E535+E536+E537+E538+E539+E540</f>
        <v>0</v>
      </c>
      <c r="F534" s="85">
        <f t="shared" si="193"/>
        <v>0</v>
      </c>
      <c r="G534" s="85">
        <f t="shared" si="193"/>
        <v>0</v>
      </c>
      <c r="H534" s="85">
        <f t="shared" si="193"/>
        <v>0</v>
      </c>
      <c r="I534" s="85">
        <f t="shared" si="193"/>
        <v>0</v>
      </c>
      <c r="J534" s="85">
        <f t="shared" si="193"/>
        <v>0</v>
      </c>
      <c r="K534" s="76">
        <v>0</v>
      </c>
      <c r="L534" s="497">
        <f t="shared" si="181"/>
        <v>0</v>
      </c>
      <c r="M534" s="1031" t="s">
        <v>673</v>
      </c>
      <c r="N534" s="476"/>
      <c r="O534" s="301"/>
      <c r="P534" s="1125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49"/>
      <c r="BC534" s="49"/>
      <c r="BD534" s="49"/>
      <c r="BE534" s="49"/>
      <c r="BF534" s="68"/>
    </row>
    <row r="535" spans="1:58" s="51" customFormat="1">
      <c r="A535" s="1126"/>
      <c r="B535" s="868"/>
      <c r="C535" s="916"/>
      <c r="D535" s="62">
        <v>2020</v>
      </c>
      <c r="E535" s="63">
        <f>F535+G535+H535+I535+J535</f>
        <v>0</v>
      </c>
      <c r="F535" s="63">
        <v>0</v>
      </c>
      <c r="G535" s="63">
        <v>0</v>
      </c>
      <c r="H535" s="63">
        <v>0</v>
      </c>
      <c r="I535" s="63">
        <v>0</v>
      </c>
      <c r="J535" s="63">
        <v>0</v>
      </c>
      <c r="K535" s="76">
        <v>0</v>
      </c>
      <c r="L535" s="497">
        <f t="shared" si="181"/>
        <v>0</v>
      </c>
      <c r="M535" s="944"/>
      <c r="N535" s="476"/>
      <c r="O535" s="301"/>
      <c r="P535" s="1125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49"/>
      <c r="BC535" s="49"/>
      <c r="BD535" s="49"/>
      <c r="BE535" s="49"/>
      <c r="BF535" s="68"/>
    </row>
    <row r="536" spans="1:58" s="51" customFormat="1" hidden="1">
      <c r="A536" s="1126"/>
      <c r="B536" s="868"/>
      <c r="C536" s="916"/>
      <c r="D536" s="62">
        <v>2021</v>
      </c>
      <c r="E536" s="63">
        <f>F536+G536+H536+I536+J536</f>
        <v>0</v>
      </c>
      <c r="F536" s="63">
        <v>0</v>
      </c>
      <c r="G536" s="63">
        <v>0</v>
      </c>
      <c r="H536" s="63">
        <v>0</v>
      </c>
      <c r="I536" s="63">
        <v>0</v>
      </c>
      <c r="J536" s="63">
        <v>0</v>
      </c>
      <c r="K536" s="76">
        <v>0</v>
      </c>
      <c r="L536" s="497">
        <f t="shared" si="181"/>
        <v>0</v>
      </c>
      <c r="M536" s="944"/>
      <c r="N536" s="476"/>
      <c r="O536" s="301"/>
      <c r="P536" s="1125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  <c r="AT536" s="49"/>
      <c r="AU536" s="49"/>
      <c r="AV536" s="49"/>
      <c r="AW536" s="49"/>
      <c r="AX536" s="49"/>
      <c r="AY536" s="49"/>
      <c r="AZ536" s="49"/>
      <c r="BA536" s="49"/>
      <c r="BB536" s="49"/>
      <c r="BC536" s="49"/>
      <c r="BD536" s="49"/>
      <c r="BE536" s="49"/>
      <c r="BF536" s="68"/>
    </row>
    <row r="537" spans="1:58" s="51" customFormat="1">
      <c r="A537" s="1126"/>
      <c r="B537" s="868"/>
      <c r="C537" s="916"/>
      <c r="D537" s="62">
        <v>2022</v>
      </c>
      <c r="E537" s="63">
        <f>F537+G537+H537</f>
        <v>0</v>
      </c>
      <c r="F537" s="63">
        <v>0</v>
      </c>
      <c r="G537" s="63">
        <v>0</v>
      </c>
      <c r="H537" s="63">
        <v>0</v>
      </c>
      <c r="I537" s="63">
        <v>0</v>
      </c>
      <c r="J537" s="63">
        <v>0</v>
      </c>
      <c r="K537" s="76">
        <v>0</v>
      </c>
      <c r="L537" s="497">
        <f t="shared" si="181"/>
        <v>0</v>
      </c>
      <c r="M537" s="944"/>
      <c r="N537" s="476"/>
      <c r="O537" s="301"/>
      <c r="P537" s="1125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49"/>
      <c r="BC537" s="49"/>
      <c r="BD537" s="49"/>
      <c r="BE537" s="49"/>
      <c r="BF537" s="68"/>
    </row>
    <row r="538" spans="1:58" s="51" customFormat="1">
      <c r="A538" s="1126"/>
      <c r="B538" s="868"/>
      <c r="C538" s="916"/>
      <c r="D538" s="62">
        <v>2023</v>
      </c>
      <c r="E538" s="63">
        <f>F538+G538+H538+I538+J538</f>
        <v>0</v>
      </c>
      <c r="F538" s="63">
        <v>0</v>
      </c>
      <c r="G538" s="63">
        <v>0</v>
      </c>
      <c r="H538" s="63">
        <v>0</v>
      </c>
      <c r="I538" s="63">
        <v>0</v>
      </c>
      <c r="J538" s="63">
        <v>0</v>
      </c>
      <c r="K538" s="76">
        <v>0</v>
      </c>
      <c r="L538" s="497">
        <f t="shared" si="181"/>
        <v>0</v>
      </c>
      <c r="M538" s="944"/>
      <c r="N538" s="476"/>
      <c r="O538" s="301"/>
      <c r="P538" s="1125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49"/>
      <c r="BC538" s="49"/>
      <c r="BD538" s="49"/>
      <c r="BE538" s="49"/>
      <c r="BF538" s="68"/>
    </row>
    <row r="539" spans="1:58" s="51" customFormat="1">
      <c r="A539" s="1126"/>
      <c r="B539" s="868"/>
      <c r="C539" s="916"/>
      <c r="D539" s="62">
        <v>2024</v>
      </c>
      <c r="E539" s="63">
        <f>F539+G539+H539+I539+J539</f>
        <v>0</v>
      </c>
      <c r="F539" s="63">
        <v>0</v>
      </c>
      <c r="G539" s="63">
        <v>0</v>
      </c>
      <c r="H539" s="63">
        <v>0</v>
      </c>
      <c r="I539" s="63">
        <v>0</v>
      </c>
      <c r="J539" s="63">
        <v>0</v>
      </c>
      <c r="K539" s="76">
        <v>0</v>
      </c>
      <c r="L539" s="497">
        <f t="shared" si="181"/>
        <v>0</v>
      </c>
      <c r="M539" s="944"/>
      <c r="N539" s="476"/>
      <c r="O539" s="301"/>
      <c r="P539" s="1125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  <c r="AT539" s="49"/>
      <c r="AU539" s="49"/>
      <c r="AV539" s="49"/>
      <c r="AW539" s="49"/>
      <c r="AX539" s="49"/>
      <c r="AY539" s="49"/>
      <c r="AZ539" s="49"/>
      <c r="BA539" s="49"/>
      <c r="BB539" s="49"/>
      <c r="BC539" s="49"/>
      <c r="BD539" s="49"/>
      <c r="BE539" s="49"/>
      <c r="BF539" s="68"/>
    </row>
    <row r="540" spans="1:58" s="51" customFormat="1">
      <c r="A540" s="1127"/>
      <c r="B540" s="869"/>
      <c r="C540" s="916"/>
      <c r="D540" s="62">
        <v>2025</v>
      </c>
      <c r="E540" s="63">
        <f>F540+G540+H540+I540+J540</f>
        <v>0</v>
      </c>
      <c r="F540" s="63">
        <v>0</v>
      </c>
      <c r="G540" s="63">
        <v>0</v>
      </c>
      <c r="H540" s="63">
        <v>0</v>
      </c>
      <c r="I540" s="63">
        <v>0</v>
      </c>
      <c r="J540" s="63">
        <v>0</v>
      </c>
      <c r="K540" s="76">
        <v>0</v>
      </c>
      <c r="L540" s="497">
        <f t="shared" si="181"/>
        <v>0</v>
      </c>
      <c r="M540" s="945"/>
      <c r="N540" s="476"/>
      <c r="O540" s="301"/>
      <c r="P540" s="1103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  <c r="AT540" s="49"/>
      <c r="AU540" s="49"/>
      <c r="AV540" s="49"/>
      <c r="AW540" s="49"/>
      <c r="AX540" s="49"/>
      <c r="AY540" s="49"/>
      <c r="AZ540" s="49"/>
      <c r="BA540" s="49"/>
      <c r="BB540" s="49"/>
      <c r="BC540" s="49"/>
      <c r="BD540" s="49"/>
      <c r="BE540" s="49"/>
      <c r="BF540" s="68"/>
    </row>
    <row r="541" spans="1:58" s="51" customFormat="1" ht="12.75" customHeight="1">
      <c r="A541" s="794" t="s">
        <v>204</v>
      </c>
      <c r="B541" s="867" t="s">
        <v>674</v>
      </c>
      <c r="C541" s="1077" t="s">
        <v>1184</v>
      </c>
      <c r="D541" s="84" t="s">
        <v>16</v>
      </c>
      <c r="E541" s="85">
        <f t="shared" ref="E541:J541" si="194">E542+E543+E544</f>
        <v>127.71299999999999</v>
      </c>
      <c r="F541" s="85">
        <f t="shared" si="194"/>
        <v>0</v>
      </c>
      <c r="G541" s="85">
        <f t="shared" si="194"/>
        <v>0</v>
      </c>
      <c r="H541" s="85">
        <f t="shared" si="194"/>
        <v>123.8814</v>
      </c>
      <c r="I541" s="85">
        <f t="shared" si="194"/>
        <v>0</v>
      </c>
      <c r="J541" s="85">
        <f t="shared" si="194"/>
        <v>3.8315999999999999</v>
      </c>
      <c r="K541" s="76">
        <v>0</v>
      </c>
      <c r="L541" s="497">
        <f t="shared" si="181"/>
        <v>127.71299999999999</v>
      </c>
      <c r="M541" s="191"/>
      <c r="N541" s="476"/>
      <c r="O541" s="305"/>
      <c r="P541" s="881" t="s">
        <v>640</v>
      </c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  <c r="AT541" s="49"/>
      <c r="AU541" s="49"/>
      <c r="AV541" s="49"/>
      <c r="AW541" s="49"/>
      <c r="AX541" s="49"/>
      <c r="AY541" s="49"/>
      <c r="AZ541" s="49"/>
      <c r="BA541" s="49"/>
      <c r="BB541" s="49"/>
      <c r="BC541" s="49"/>
      <c r="BD541" s="49"/>
      <c r="BE541" s="49"/>
      <c r="BF541" s="68"/>
    </row>
    <row r="542" spans="1:58" s="51" customFormat="1" ht="17.25" customHeight="1">
      <c r="A542" s="795"/>
      <c r="B542" s="872"/>
      <c r="C542" s="1077"/>
      <c r="D542" s="62">
        <v>2019</v>
      </c>
      <c r="E542" s="63">
        <f>F542+G542+H542+I542+J542</f>
        <v>22.7471</v>
      </c>
      <c r="F542" s="63">
        <v>0</v>
      </c>
      <c r="G542" s="63">
        <v>0</v>
      </c>
      <c r="H542" s="63">
        <v>22.064599999999999</v>
      </c>
      <c r="I542" s="63">
        <v>0</v>
      </c>
      <c r="J542" s="63">
        <v>0.6825</v>
      </c>
      <c r="K542" s="76">
        <v>0</v>
      </c>
      <c r="L542" s="497">
        <f t="shared" ref="L542:L561" si="195">F542+G542+H542+I542+J542</f>
        <v>22.7471</v>
      </c>
      <c r="M542" s="191"/>
      <c r="N542" s="476"/>
      <c r="O542" s="305"/>
      <c r="P542" s="882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49"/>
      <c r="BC542" s="49"/>
      <c r="BD542" s="49"/>
      <c r="BE542" s="49"/>
      <c r="BF542" s="68"/>
    </row>
    <row r="543" spans="1:58" s="51" customFormat="1" ht="13.5" customHeight="1">
      <c r="A543" s="795"/>
      <c r="B543" s="872"/>
      <c r="C543" s="1077"/>
      <c r="D543" s="62">
        <v>2020</v>
      </c>
      <c r="E543" s="63">
        <f>F543+G543+H543+I543+J543</f>
        <v>22.3827</v>
      </c>
      <c r="F543" s="63">
        <v>0</v>
      </c>
      <c r="G543" s="63">
        <v>0</v>
      </c>
      <c r="H543" s="63">
        <v>21.711200000000002</v>
      </c>
      <c r="I543" s="63">
        <v>0</v>
      </c>
      <c r="J543" s="63">
        <v>0.67149999999999999</v>
      </c>
      <c r="K543" s="76">
        <v>0</v>
      </c>
      <c r="L543" s="497">
        <f t="shared" si="195"/>
        <v>22.3827</v>
      </c>
      <c r="M543" s="191"/>
      <c r="N543" s="476"/>
      <c r="O543" s="305"/>
      <c r="P543" s="882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  <c r="AT543" s="49"/>
      <c r="AU543" s="49"/>
      <c r="AV543" s="49"/>
      <c r="AW543" s="49"/>
      <c r="AX543" s="49"/>
      <c r="AY543" s="49"/>
      <c r="AZ543" s="49"/>
      <c r="BA543" s="49"/>
      <c r="BB543" s="49"/>
      <c r="BC543" s="49"/>
      <c r="BD543" s="49"/>
      <c r="BE543" s="49"/>
      <c r="BF543" s="68"/>
    </row>
    <row r="544" spans="1:58" s="51" customFormat="1" ht="36.75" customHeight="1">
      <c r="A544" s="795"/>
      <c r="B544" s="872"/>
      <c r="C544" s="1077"/>
      <c r="D544" s="62">
        <v>2021</v>
      </c>
      <c r="E544" s="63">
        <f>F544+G544+H544+I544+J544</f>
        <v>82.583199999999991</v>
      </c>
      <c r="F544" s="63">
        <v>0</v>
      </c>
      <c r="G544" s="63">
        <v>0</v>
      </c>
      <c r="H544" s="63">
        <v>80.105599999999995</v>
      </c>
      <c r="I544" s="63">
        <v>0</v>
      </c>
      <c r="J544" s="63">
        <v>2.4775999999999998</v>
      </c>
      <c r="K544" s="76">
        <v>0</v>
      </c>
      <c r="L544" s="497">
        <f t="shared" si="195"/>
        <v>82.583199999999991</v>
      </c>
      <c r="M544" s="191"/>
      <c r="N544" s="476"/>
      <c r="O544" s="305"/>
      <c r="P544" s="882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AU544" s="49"/>
      <c r="AV544" s="49"/>
      <c r="AW544" s="49"/>
      <c r="AX544" s="49"/>
      <c r="AY544" s="49"/>
      <c r="AZ544" s="49"/>
      <c r="BA544" s="49"/>
      <c r="BB544" s="49"/>
      <c r="BC544" s="49"/>
      <c r="BD544" s="49"/>
      <c r="BE544" s="49"/>
      <c r="BF544" s="68"/>
    </row>
    <row r="545" spans="1:58" s="51" customFormat="1" ht="18" customHeight="1">
      <c r="A545" s="794" t="s">
        <v>206</v>
      </c>
      <c r="B545" s="867" t="s">
        <v>675</v>
      </c>
      <c r="C545" s="881" t="s">
        <v>599</v>
      </c>
      <c r="D545" s="84" t="s">
        <v>16</v>
      </c>
      <c r="E545" s="85">
        <f>E546+E547+E548+E549+E550+E551</f>
        <v>9009.9490000000005</v>
      </c>
      <c r="F545" s="85">
        <f>F546</f>
        <v>0</v>
      </c>
      <c r="G545" s="85">
        <f>G546</f>
        <v>0</v>
      </c>
      <c r="H545" s="85">
        <f>H546</f>
        <v>0</v>
      </c>
      <c r="I545" s="85">
        <f>I546+I547+I548+I549+I550+I551</f>
        <v>9009.9490000000005</v>
      </c>
      <c r="J545" s="85">
        <f>J546</f>
        <v>0</v>
      </c>
      <c r="K545" s="76">
        <v>0</v>
      </c>
      <c r="L545" s="497">
        <f t="shared" si="195"/>
        <v>9009.9490000000005</v>
      </c>
      <c r="M545" s="1009"/>
      <c r="N545" s="1011">
        <v>50</v>
      </c>
      <c r="O545" s="901"/>
      <c r="P545" s="842" t="s">
        <v>676</v>
      </c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  <c r="AT545" s="49"/>
      <c r="AU545" s="49"/>
      <c r="AV545" s="49"/>
      <c r="AW545" s="49"/>
      <c r="AX545" s="49"/>
      <c r="AY545" s="49"/>
      <c r="AZ545" s="49"/>
      <c r="BA545" s="49"/>
      <c r="BB545" s="49"/>
      <c r="BC545" s="49"/>
      <c r="BD545" s="49"/>
      <c r="BE545" s="49"/>
      <c r="BF545" s="68"/>
    </row>
    <row r="546" spans="1:58" s="51" customFormat="1" ht="24.75" customHeight="1">
      <c r="A546" s="795"/>
      <c r="B546" s="872"/>
      <c r="C546" s="1125"/>
      <c r="D546" s="62">
        <v>2019</v>
      </c>
      <c r="E546" s="63">
        <f t="shared" ref="E546:E551" si="196">F546+G546+H546+I546+J546</f>
        <v>589.02</v>
      </c>
      <c r="F546" s="63">
        <v>0</v>
      </c>
      <c r="G546" s="63">
        <v>0</v>
      </c>
      <c r="H546" s="63">
        <v>0</v>
      </c>
      <c r="I546" s="63">
        <v>589.02</v>
      </c>
      <c r="J546" s="63">
        <v>0</v>
      </c>
      <c r="K546" s="76">
        <v>0</v>
      </c>
      <c r="L546" s="497">
        <f t="shared" si="195"/>
        <v>589.02</v>
      </c>
      <c r="M546" s="1010"/>
      <c r="N546" s="1011"/>
      <c r="O546" s="903"/>
      <c r="P546" s="1016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49"/>
      <c r="BC546" s="49"/>
      <c r="BD546" s="49"/>
      <c r="BE546" s="49"/>
      <c r="BF546" s="68"/>
    </row>
    <row r="547" spans="1:58" s="51" customFormat="1">
      <c r="A547" s="795"/>
      <c r="B547" s="872"/>
      <c r="C547" s="479"/>
      <c r="D547" s="62">
        <v>2020</v>
      </c>
      <c r="E547" s="63">
        <f t="shared" si="196"/>
        <v>4620.8</v>
      </c>
      <c r="F547" s="63">
        <v>0</v>
      </c>
      <c r="G547" s="63">
        <v>0</v>
      </c>
      <c r="H547" s="63">
        <v>0</v>
      </c>
      <c r="I547" s="63">
        <v>4620.8</v>
      </c>
      <c r="J547" s="63">
        <v>0</v>
      </c>
      <c r="K547" s="76">
        <v>0</v>
      </c>
      <c r="L547" s="497">
        <f t="shared" si="195"/>
        <v>4620.8</v>
      </c>
      <c r="M547" s="353"/>
      <c r="N547" s="476"/>
      <c r="O547" s="559"/>
      <c r="P547" s="1016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49"/>
      <c r="BC547" s="49"/>
      <c r="BD547" s="49"/>
      <c r="BE547" s="49"/>
      <c r="BF547" s="68"/>
    </row>
    <row r="548" spans="1:58" s="51" customFormat="1">
      <c r="A548" s="795"/>
      <c r="B548" s="872"/>
      <c r="C548" s="479"/>
      <c r="D548" s="62">
        <v>2021</v>
      </c>
      <c r="E548" s="63">
        <f t="shared" si="196"/>
        <v>2631.6289999999999</v>
      </c>
      <c r="F548" s="63">
        <v>0</v>
      </c>
      <c r="G548" s="63">
        <v>0</v>
      </c>
      <c r="H548" s="63">
        <v>0</v>
      </c>
      <c r="I548" s="63">
        <v>2631.6289999999999</v>
      </c>
      <c r="J548" s="63">
        <v>0</v>
      </c>
      <c r="K548" s="76">
        <v>0</v>
      </c>
      <c r="L548" s="497">
        <f t="shared" si="195"/>
        <v>2631.6289999999999</v>
      </c>
      <c r="M548" s="353"/>
      <c r="N548" s="476"/>
      <c r="O548" s="559"/>
      <c r="P548" s="1016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  <c r="AT548" s="49"/>
      <c r="AU548" s="49"/>
      <c r="AV548" s="49"/>
      <c r="AW548" s="49"/>
      <c r="AX548" s="49"/>
      <c r="AY548" s="49"/>
      <c r="AZ548" s="49"/>
      <c r="BA548" s="49"/>
      <c r="BB548" s="49"/>
      <c r="BC548" s="49"/>
      <c r="BD548" s="49"/>
      <c r="BE548" s="49"/>
      <c r="BF548" s="68"/>
    </row>
    <row r="549" spans="1:58" s="51" customFormat="1">
      <c r="A549" s="795"/>
      <c r="B549" s="872"/>
      <c r="C549" s="479"/>
      <c r="D549" s="62">
        <v>2022</v>
      </c>
      <c r="E549" s="63">
        <f t="shared" si="196"/>
        <v>595.29999999999995</v>
      </c>
      <c r="F549" s="63">
        <v>0</v>
      </c>
      <c r="G549" s="63">
        <v>0</v>
      </c>
      <c r="H549" s="63">
        <v>0</v>
      </c>
      <c r="I549" s="63">
        <v>595.29999999999995</v>
      </c>
      <c r="J549" s="63">
        <v>0</v>
      </c>
      <c r="K549" s="76">
        <v>0</v>
      </c>
      <c r="L549" s="497">
        <f t="shared" si="195"/>
        <v>595.29999999999995</v>
      </c>
      <c r="M549" s="353"/>
      <c r="N549" s="476"/>
      <c r="O549" s="559"/>
      <c r="P549" s="1016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49"/>
      <c r="BC549" s="49"/>
      <c r="BD549" s="49"/>
      <c r="BE549" s="49"/>
      <c r="BF549" s="68"/>
    </row>
    <row r="550" spans="1:58" s="51" customFormat="1">
      <c r="A550" s="795"/>
      <c r="B550" s="872"/>
      <c r="C550" s="479"/>
      <c r="D550" s="62">
        <v>2023</v>
      </c>
      <c r="E550" s="63">
        <f t="shared" si="196"/>
        <v>533.5</v>
      </c>
      <c r="F550" s="63">
        <v>0</v>
      </c>
      <c r="G550" s="63">
        <v>0</v>
      </c>
      <c r="H550" s="63">
        <v>0</v>
      </c>
      <c r="I550" s="63">
        <v>533.5</v>
      </c>
      <c r="J550" s="63">
        <v>0</v>
      </c>
      <c r="K550" s="76">
        <v>0</v>
      </c>
      <c r="L550" s="497">
        <f t="shared" si="195"/>
        <v>533.5</v>
      </c>
      <c r="M550" s="353"/>
      <c r="N550" s="476"/>
      <c r="O550" s="559"/>
      <c r="P550" s="1016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49"/>
      <c r="BC550" s="49"/>
      <c r="BD550" s="49"/>
      <c r="BE550" s="49"/>
      <c r="BF550" s="68"/>
    </row>
    <row r="551" spans="1:58" s="51" customFormat="1">
      <c r="A551" s="796"/>
      <c r="B551" s="873"/>
      <c r="C551" s="479"/>
      <c r="D551" s="62">
        <v>2024</v>
      </c>
      <c r="E551" s="63">
        <f t="shared" si="196"/>
        <v>39.700000000000003</v>
      </c>
      <c r="F551" s="63">
        <v>0</v>
      </c>
      <c r="G551" s="63">
        <v>0</v>
      </c>
      <c r="H551" s="63">
        <v>0</v>
      </c>
      <c r="I551" s="63">
        <v>39.700000000000003</v>
      </c>
      <c r="J551" s="63">
        <v>0</v>
      </c>
      <c r="K551" s="76">
        <v>0</v>
      </c>
      <c r="L551" s="497">
        <f t="shared" si="195"/>
        <v>39.700000000000003</v>
      </c>
      <c r="M551" s="353"/>
      <c r="N551" s="476"/>
      <c r="O551" s="559"/>
      <c r="P551" s="843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49"/>
      <c r="BC551" s="49"/>
      <c r="BD551" s="49"/>
      <c r="BE551" s="49"/>
      <c r="BF551" s="68"/>
    </row>
    <row r="552" spans="1:58" s="51" customFormat="1" ht="25.5" customHeight="1">
      <c r="A552" s="794" t="s">
        <v>677</v>
      </c>
      <c r="B552" s="881" t="s">
        <v>678</v>
      </c>
      <c r="C552" s="881" t="s">
        <v>679</v>
      </c>
      <c r="D552" s="84" t="s">
        <v>16</v>
      </c>
      <c r="E552" s="85">
        <f t="shared" ref="E552:J552" si="197">E553+E554</f>
        <v>15.050999999999998</v>
      </c>
      <c r="F552" s="85">
        <f t="shared" si="197"/>
        <v>0</v>
      </c>
      <c r="G552" s="85">
        <f t="shared" si="197"/>
        <v>0</v>
      </c>
      <c r="H552" s="85">
        <f t="shared" si="197"/>
        <v>15</v>
      </c>
      <c r="I552" s="85">
        <f t="shared" si="197"/>
        <v>0</v>
      </c>
      <c r="J552" s="85">
        <f t="shared" si="197"/>
        <v>5.1000000000000004E-2</v>
      </c>
      <c r="K552" s="76">
        <v>0</v>
      </c>
      <c r="L552" s="497">
        <f t="shared" si="195"/>
        <v>15.051</v>
      </c>
      <c r="M552" s="351"/>
      <c r="N552" s="476"/>
      <c r="O552" s="559"/>
      <c r="P552" s="331" t="s">
        <v>571</v>
      </c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49"/>
      <c r="BC552" s="49"/>
      <c r="BD552" s="49"/>
      <c r="BE552" s="49"/>
      <c r="BF552" s="68"/>
    </row>
    <row r="553" spans="1:58" s="51" customFormat="1">
      <c r="A553" s="795"/>
      <c r="B553" s="882"/>
      <c r="C553" s="882"/>
      <c r="D553" s="62">
        <v>2020</v>
      </c>
      <c r="E553" s="63">
        <f>F553+G553+H553+I553+J553</f>
        <v>5.05</v>
      </c>
      <c r="F553" s="63">
        <v>0</v>
      </c>
      <c r="G553" s="63">
        <v>0</v>
      </c>
      <c r="H553" s="63">
        <v>5</v>
      </c>
      <c r="I553" s="63">
        <v>0</v>
      </c>
      <c r="J553" s="63">
        <v>0.05</v>
      </c>
      <c r="K553" s="76">
        <v>0</v>
      </c>
      <c r="L553" s="497">
        <f t="shared" si="195"/>
        <v>5.05</v>
      </c>
      <c r="M553" s="74" t="s">
        <v>680</v>
      </c>
      <c r="N553" s="476"/>
      <c r="O553" s="559"/>
      <c r="P553" s="360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49"/>
      <c r="BC553" s="49"/>
      <c r="BD553" s="49"/>
      <c r="BE553" s="49"/>
      <c r="BF553" s="68"/>
    </row>
    <row r="554" spans="1:58" s="51" customFormat="1">
      <c r="A554" s="796"/>
      <c r="B554" s="964"/>
      <c r="C554" s="964"/>
      <c r="D554" s="62">
        <v>2022</v>
      </c>
      <c r="E554" s="63">
        <f>H554+J554</f>
        <v>10.000999999999999</v>
      </c>
      <c r="F554" s="63">
        <v>0</v>
      </c>
      <c r="G554" s="63">
        <v>0</v>
      </c>
      <c r="H554" s="63">
        <v>10</v>
      </c>
      <c r="I554" s="63">
        <v>0</v>
      </c>
      <c r="J554" s="63">
        <v>1E-3</v>
      </c>
      <c r="K554" s="76">
        <v>0</v>
      </c>
      <c r="L554" s="497">
        <f t="shared" si="195"/>
        <v>10.000999999999999</v>
      </c>
      <c r="M554" s="74"/>
      <c r="N554" s="476"/>
      <c r="O554" s="559"/>
      <c r="P554" s="360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49"/>
      <c r="BC554" s="49"/>
      <c r="BD554" s="49"/>
      <c r="BE554" s="49"/>
      <c r="BF554" s="68"/>
    </row>
    <row r="555" spans="1:58" s="51" customFormat="1">
      <c r="A555" s="794" t="s">
        <v>681</v>
      </c>
      <c r="B555" s="867" t="s">
        <v>682</v>
      </c>
      <c r="C555" s="881" t="s">
        <v>1185</v>
      </c>
      <c r="D555" s="84" t="s">
        <v>16</v>
      </c>
      <c r="E555" s="85">
        <f t="shared" ref="E555:J555" si="198">E556+E557</f>
        <v>1116.9765</v>
      </c>
      <c r="F555" s="85">
        <f t="shared" si="198"/>
        <v>0</v>
      </c>
      <c r="G555" s="85">
        <f t="shared" si="198"/>
        <v>211.04910000000001</v>
      </c>
      <c r="H555" s="85">
        <f t="shared" si="198"/>
        <v>905.92739999999992</v>
      </c>
      <c r="I555" s="85">
        <f t="shared" si="198"/>
        <v>0</v>
      </c>
      <c r="J555" s="85">
        <f t="shared" si="198"/>
        <v>0</v>
      </c>
      <c r="K555" s="76">
        <v>0</v>
      </c>
      <c r="L555" s="497">
        <f t="shared" si="195"/>
        <v>1116.9765</v>
      </c>
      <c r="M555" s="923" t="s">
        <v>684</v>
      </c>
      <c r="N555" s="476"/>
      <c r="O555" s="559"/>
      <c r="P555" s="842" t="s">
        <v>685</v>
      </c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49"/>
      <c r="BC555" s="49"/>
      <c r="BD555" s="49"/>
      <c r="BE555" s="49"/>
      <c r="BF555" s="68"/>
    </row>
    <row r="556" spans="1:58" s="51" customFormat="1" ht="21" customHeight="1">
      <c r="A556" s="795"/>
      <c r="B556" s="872"/>
      <c r="C556" s="882"/>
      <c r="D556" s="62">
        <v>2019</v>
      </c>
      <c r="E556" s="63">
        <f>F556+G556+H556+I556+J556</f>
        <v>299.50909999999999</v>
      </c>
      <c r="F556" s="63">
        <v>0</v>
      </c>
      <c r="G556" s="63">
        <v>99.615399999999994</v>
      </c>
      <c r="H556" s="63">
        <v>199.8937</v>
      </c>
      <c r="I556" s="63">
        <v>0</v>
      </c>
      <c r="J556" s="63">
        <v>0</v>
      </c>
      <c r="K556" s="76">
        <v>0</v>
      </c>
      <c r="L556" s="497">
        <f t="shared" si="195"/>
        <v>299.50909999999999</v>
      </c>
      <c r="M556" s="924"/>
      <c r="N556" s="476"/>
      <c r="O556" s="559"/>
      <c r="P556" s="1016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49"/>
      <c r="BC556" s="49"/>
      <c r="BD556" s="49"/>
      <c r="BE556" s="49"/>
      <c r="BF556" s="68"/>
    </row>
    <row r="557" spans="1:58" s="51" customFormat="1" ht="53.25" customHeight="1">
      <c r="A557" s="796"/>
      <c r="B557" s="873"/>
      <c r="C557" s="964"/>
      <c r="D557" s="62">
        <v>2020</v>
      </c>
      <c r="E557" s="63">
        <f>F557+G557+H557+I557+J557</f>
        <v>817.4674</v>
      </c>
      <c r="F557" s="63">
        <v>0</v>
      </c>
      <c r="G557" s="63">
        <v>111.4337</v>
      </c>
      <c r="H557" s="63">
        <v>706.03369999999995</v>
      </c>
      <c r="I557" s="63">
        <v>0</v>
      </c>
      <c r="J557" s="63">
        <v>0</v>
      </c>
      <c r="K557" s="76">
        <v>0</v>
      </c>
      <c r="L557" s="497">
        <f t="shared" si="195"/>
        <v>817.4674</v>
      </c>
      <c r="M557" s="925"/>
      <c r="N557" s="476"/>
      <c r="O557" s="559"/>
      <c r="P557" s="843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  <c r="AT557" s="49"/>
      <c r="AU557" s="49"/>
      <c r="AV557" s="49"/>
      <c r="AW557" s="49"/>
      <c r="AX557" s="49"/>
      <c r="AY557" s="49"/>
      <c r="AZ557" s="49"/>
      <c r="BA557" s="49"/>
      <c r="BB557" s="49"/>
      <c r="BC557" s="49"/>
      <c r="BD557" s="49"/>
      <c r="BE557" s="49"/>
      <c r="BF557" s="68"/>
    </row>
    <row r="558" spans="1:58" s="51" customFormat="1" ht="12.75" customHeight="1">
      <c r="A558" s="921" t="s">
        <v>212</v>
      </c>
      <c r="B558" s="870" t="s">
        <v>1186</v>
      </c>
      <c r="C558" s="1019" t="s">
        <v>1185</v>
      </c>
      <c r="D558" s="84" t="s">
        <v>16</v>
      </c>
      <c r="E558" s="85">
        <f t="shared" ref="E558:J558" si="199">E559</f>
        <v>59.726100000000002</v>
      </c>
      <c r="F558" s="85">
        <f t="shared" si="199"/>
        <v>0</v>
      </c>
      <c r="G558" s="85">
        <f t="shared" si="199"/>
        <v>0</v>
      </c>
      <c r="H558" s="85">
        <f t="shared" si="199"/>
        <v>59.726100000000002</v>
      </c>
      <c r="I558" s="85">
        <f t="shared" si="199"/>
        <v>0</v>
      </c>
      <c r="J558" s="85">
        <f t="shared" si="199"/>
        <v>0</v>
      </c>
      <c r="K558" s="76">
        <v>0</v>
      </c>
      <c r="L558" s="474">
        <f t="shared" si="195"/>
        <v>59.726100000000002</v>
      </c>
      <c r="M558" s="283"/>
      <c r="N558" s="476"/>
      <c r="O558" s="559"/>
      <c r="P558" s="842" t="s">
        <v>1187</v>
      </c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49"/>
      <c r="BC558" s="49"/>
      <c r="BD558" s="49"/>
      <c r="BE558" s="49"/>
      <c r="BF558" s="68"/>
    </row>
    <row r="559" spans="1:58" s="51" customFormat="1" ht="45" customHeight="1">
      <c r="A559" s="921"/>
      <c r="B559" s="870"/>
      <c r="C559" s="1019"/>
      <c r="D559" s="62">
        <v>2021</v>
      </c>
      <c r="E559" s="63">
        <f>F559+G559+H559+I559+J559</f>
        <v>59.726100000000002</v>
      </c>
      <c r="F559" s="63">
        <v>0</v>
      </c>
      <c r="G559" s="63">
        <v>0</v>
      </c>
      <c r="H559" s="63">
        <v>59.726100000000002</v>
      </c>
      <c r="I559" s="63">
        <v>0</v>
      </c>
      <c r="J559" s="63">
        <v>0</v>
      </c>
      <c r="K559" s="76">
        <v>0</v>
      </c>
      <c r="L559" s="474">
        <f t="shared" si="195"/>
        <v>59.726100000000002</v>
      </c>
      <c r="M559" s="560" t="s">
        <v>1188</v>
      </c>
      <c r="N559" s="476"/>
      <c r="O559" s="559"/>
      <c r="P559" s="1016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49"/>
      <c r="BC559" s="49"/>
      <c r="BD559" s="49"/>
      <c r="BE559" s="49"/>
      <c r="BF559" s="68"/>
    </row>
    <row r="560" spans="1:58" s="51" customFormat="1" ht="21" customHeight="1">
      <c r="A560" s="921" t="s">
        <v>1189</v>
      </c>
      <c r="B560" s="1019" t="s">
        <v>687</v>
      </c>
      <c r="C560" s="881" t="s">
        <v>362</v>
      </c>
      <c r="D560" s="84" t="s">
        <v>16</v>
      </c>
      <c r="E560" s="85">
        <f>E561+E563+E564+E565+E566+E567+E568</f>
        <v>72.500099999999989</v>
      </c>
      <c r="F560" s="85">
        <f>F561+F563+F564+F565+F566+F567+F568</f>
        <v>72.500099999999989</v>
      </c>
      <c r="G560" s="85">
        <f>G561+G563+G564</f>
        <v>0</v>
      </c>
      <c r="H560" s="85">
        <f>H561+H563+H564</f>
        <v>0</v>
      </c>
      <c r="I560" s="85">
        <f>I561+I563+I564</f>
        <v>0</v>
      </c>
      <c r="J560" s="85">
        <f>J561+J563+J564</f>
        <v>0</v>
      </c>
      <c r="K560" s="76">
        <v>0</v>
      </c>
      <c r="L560" s="497">
        <f t="shared" si="195"/>
        <v>72.500099999999989</v>
      </c>
      <c r="M560" s="359"/>
      <c r="N560" s="476"/>
      <c r="O560" s="559"/>
      <c r="P560" s="842" t="s">
        <v>405</v>
      </c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49"/>
      <c r="BC560" s="49"/>
      <c r="BD560" s="49"/>
      <c r="BE560" s="49"/>
      <c r="BF560" s="68"/>
    </row>
    <row r="561" spans="1:138" s="51" customFormat="1" ht="32.25" customHeight="1">
      <c r="A561" s="921"/>
      <c r="B561" s="1019"/>
      <c r="C561" s="964"/>
      <c r="D561" s="62">
        <v>2019</v>
      </c>
      <c r="E561" s="63">
        <f>F561+G561+H561+I561+J561</f>
        <v>7.9199000000000002</v>
      </c>
      <c r="F561" s="63">
        <v>7.9199000000000002</v>
      </c>
      <c r="G561" s="63">
        <v>0</v>
      </c>
      <c r="H561" s="63">
        <v>0</v>
      </c>
      <c r="I561" s="63">
        <v>0</v>
      </c>
      <c r="J561" s="63">
        <v>0</v>
      </c>
      <c r="K561" s="76">
        <v>0</v>
      </c>
      <c r="L561" s="497">
        <f t="shared" si="195"/>
        <v>7.9199000000000002</v>
      </c>
      <c r="M561" s="359"/>
      <c r="N561" s="476"/>
      <c r="O561" s="559"/>
      <c r="P561" s="1016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49"/>
      <c r="BC561" s="49"/>
      <c r="BD561" s="49"/>
      <c r="BE561" s="49"/>
      <c r="BF561" s="68"/>
    </row>
    <row r="562" spans="1:138" s="51" customFormat="1" ht="32.25" customHeight="1">
      <c r="A562" s="794" t="s">
        <v>1190</v>
      </c>
      <c r="B562" s="881" t="s">
        <v>688</v>
      </c>
      <c r="C562" s="881" t="s">
        <v>1191</v>
      </c>
      <c r="D562" s="84" t="s">
        <v>16</v>
      </c>
      <c r="E562" s="85">
        <f>E563+E564+E565+E566+E567+E568</f>
        <v>64.580199999999991</v>
      </c>
      <c r="F562" s="85">
        <f>F563+F564+F565+F566+F567+F568</f>
        <v>64.580199999999991</v>
      </c>
      <c r="G562" s="85">
        <f>G563+G565+G566</f>
        <v>0</v>
      </c>
      <c r="H562" s="85">
        <f>H563+H565+H566</f>
        <v>0</v>
      </c>
      <c r="I562" s="85">
        <f>I563+I565+I566</f>
        <v>0</v>
      </c>
      <c r="J562" s="85">
        <f>J563+J565+J566</f>
        <v>0</v>
      </c>
      <c r="K562" s="76">
        <v>0</v>
      </c>
      <c r="L562" s="497"/>
      <c r="M562" s="359"/>
      <c r="N562" s="476"/>
      <c r="O562" s="559"/>
      <c r="P562" s="1016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49"/>
      <c r="BC562" s="49"/>
      <c r="BD562" s="49"/>
      <c r="BE562" s="49"/>
      <c r="BF562" s="68"/>
    </row>
    <row r="563" spans="1:138" s="51" customFormat="1" ht="12.75" customHeight="1">
      <c r="A563" s="795"/>
      <c r="B563" s="882"/>
      <c r="C563" s="882"/>
      <c r="D563" s="62">
        <v>2020</v>
      </c>
      <c r="E563" s="63">
        <f t="shared" ref="E563:E568" si="200">F563+G563+H563+I563+J563</f>
        <v>8.3096999999999994</v>
      </c>
      <c r="F563" s="63">
        <v>8.3096999999999994</v>
      </c>
      <c r="G563" s="63">
        <v>0</v>
      </c>
      <c r="H563" s="63">
        <v>0</v>
      </c>
      <c r="I563" s="63">
        <v>0</v>
      </c>
      <c r="J563" s="63">
        <v>0</v>
      </c>
      <c r="K563" s="76">
        <v>0</v>
      </c>
      <c r="L563" s="497">
        <f t="shared" ref="L563:L571" si="201">F563+G563+H563+I563+J563</f>
        <v>8.3096999999999994</v>
      </c>
      <c r="M563" s="359"/>
      <c r="N563" s="476"/>
      <c r="O563" s="559"/>
      <c r="P563" s="1016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  <c r="AT563" s="49"/>
      <c r="AU563" s="49"/>
      <c r="AV563" s="49"/>
      <c r="AW563" s="49"/>
      <c r="AX563" s="49"/>
      <c r="AY563" s="49"/>
      <c r="AZ563" s="49"/>
      <c r="BA563" s="49"/>
      <c r="BB563" s="49"/>
      <c r="BC563" s="49"/>
      <c r="BD563" s="49"/>
      <c r="BE563" s="49"/>
      <c r="BF563" s="68"/>
    </row>
    <row r="564" spans="1:138" s="51" customFormat="1" ht="12.75" customHeight="1">
      <c r="A564" s="795"/>
      <c r="B564" s="882"/>
      <c r="C564" s="882"/>
      <c r="D564" s="62">
        <v>2021</v>
      </c>
      <c r="E564" s="507">
        <f t="shared" si="200"/>
        <v>9.0462000000000007</v>
      </c>
      <c r="F564" s="507">
        <v>9.0462000000000007</v>
      </c>
      <c r="G564" s="63">
        <v>0</v>
      </c>
      <c r="H564" s="63">
        <v>0</v>
      </c>
      <c r="I564" s="63">
        <v>0</v>
      </c>
      <c r="J564" s="63">
        <v>0</v>
      </c>
      <c r="K564" s="76">
        <v>0</v>
      </c>
      <c r="L564" s="497">
        <f t="shared" si="201"/>
        <v>9.0462000000000007</v>
      </c>
      <c r="M564" s="359"/>
      <c r="N564" s="476"/>
      <c r="O564" s="559"/>
      <c r="P564" s="1016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49"/>
      <c r="AU564" s="49"/>
      <c r="AV564" s="49"/>
      <c r="AW564" s="49"/>
      <c r="AX564" s="49"/>
      <c r="AY564" s="49"/>
      <c r="AZ564" s="49"/>
      <c r="BA564" s="49"/>
      <c r="BB564" s="49"/>
      <c r="BC564" s="49"/>
      <c r="BD564" s="49"/>
      <c r="BE564" s="49"/>
      <c r="BF564" s="68"/>
    </row>
    <row r="565" spans="1:138" s="51" customFormat="1">
      <c r="A565" s="795"/>
      <c r="B565" s="882"/>
      <c r="C565" s="882"/>
      <c r="D565" s="62">
        <v>2022</v>
      </c>
      <c r="E565" s="63">
        <f t="shared" si="200"/>
        <v>9.4138999999999999</v>
      </c>
      <c r="F565" s="63">
        <v>9.4138999999999999</v>
      </c>
      <c r="G565" s="63">
        <v>0</v>
      </c>
      <c r="H565" s="63">
        <v>0</v>
      </c>
      <c r="I565" s="63">
        <v>0</v>
      </c>
      <c r="J565" s="63">
        <v>0</v>
      </c>
      <c r="K565" s="76">
        <v>0</v>
      </c>
      <c r="L565" s="497">
        <f t="shared" si="201"/>
        <v>9.4138999999999999</v>
      </c>
      <c r="M565" s="359"/>
      <c r="N565" s="476"/>
      <c r="O565" s="559"/>
      <c r="P565" s="1016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  <c r="AR565" s="49"/>
      <c r="AS565" s="49"/>
      <c r="AT565" s="49"/>
      <c r="AU565" s="49"/>
      <c r="AV565" s="49"/>
      <c r="AW565" s="49"/>
      <c r="AX565" s="49"/>
      <c r="AY565" s="49"/>
      <c r="AZ565" s="49"/>
      <c r="BA565" s="49"/>
      <c r="BB565" s="49"/>
      <c r="BC565" s="49"/>
      <c r="BD565" s="49"/>
      <c r="BE565" s="49"/>
      <c r="BF565" s="68"/>
    </row>
    <row r="566" spans="1:138" s="51" customFormat="1" ht="17.25" customHeight="1">
      <c r="A566" s="795"/>
      <c r="B566" s="882"/>
      <c r="C566" s="882"/>
      <c r="D566" s="62">
        <v>2023</v>
      </c>
      <c r="E566" s="63">
        <f t="shared" si="200"/>
        <v>10.020899999999999</v>
      </c>
      <c r="F566" s="63">
        <v>10.020899999999999</v>
      </c>
      <c r="G566" s="63">
        <v>0</v>
      </c>
      <c r="H566" s="63">
        <v>0</v>
      </c>
      <c r="I566" s="63">
        <v>0</v>
      </c>
      <c r="J566" s="63">
        <v>0</v>
      </c>
      <c r="K566" s="76">
        <v>0</v>
      </c>
      <c r="L566" s="497">
        <f t="shared" si="201"/>
        <v>10.020899999999999</v>
      </c>
      <c r="M566" s="359"/>
      <c r="N566" s="476"/>
      <c r="O566" s="559"/>
      <c r="P566" s="1016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49"/>
      <c r="BC566" s="49"/>
      <c r="BD566" s="49"/>
      <c r="BE566" s="49"/>
      <c r="BF566" s="68"/>
    </row>
    <row r="567" spans="1:138" s="51" customFormat="1">
      <c r="A567" s="795"/>
      <c r="B567" s="882"/>
      <c r="C567" s="882"/>
      <c r="D567" s="62">
        <v>2024</v>
      </c>
      <c r="E567" s="63">
        <f t="shared" si="200"/>
        <v>13.622299999999999</v>
      </c>
      <c r="F567" s="63">
        <v>13.622299999999999</v>
      </c>
      <c r="G567" s="63">
        <v>0</v>
      </c>
      <c r="H567" s="63">
        <v>0</v>
      </c>
      <c r="I567" s="63">
        <v>0</v>
      </c>
      <c r="J567" s="63">
        <v>0</v>
      </c>
      <c r="K567" s="76">
        <v>0</v>
      </c>
      <c r="L567" s="497">
        <f t="shared" si="201"/>
        <v>13.622299999999999</v>
      </c>
      <c r="M567" s="359"/>
      <c r="N567" s="476"/>
      <c r="O567" s="559"/>
      <c r="P567" s="1016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49"/>
      <c r="BC567" s="49"/>
      <c r="BD567" s="49"/>
      <c r="BE567" s="49"/>
      <c r="BF567" s="68"/>
    </row>
    <row r="568" spans="1:138" s="51" customFormat="1">
      <c r="A568" s="796"/>
      <c r="B568" s="964"/>
      <c r="C568" s="964"/>
      <c r="D568" s="62">
        <v>2025</v>
      </c>
      <c r="E568" s="63">
        <f t="shared" si="200"/>
        <v>14.167199999999999</v>
      </c>
      <c r="F568" s="320">
        <v>14.167199999999999</v>
      </c>
      <c r="G568" s="63">
        <v>0</v>
      </c>
      <c r="H568" s="63">
        <v>0</v>
      </c>
      <c r="I568" s="63">
        <v>0</v>
      </c>
      <c r="J568" s="63">
        <v>0</v>
      </c>
      <c r="K568" s="76">
        <v>0</v>
      </c>
      <c r="L568" s="497">
        <f t="shared" si="201"/>
        <v>14.167199999999999</v>
      </c>
      <c r="M568" s="359"/>
      <c r="N568" s="476"/>
      <c r="O568" s="559"/>
      <c r="P568" s="843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49"/>
      <c r="BC568" s="49"/>
      <c r="BD568" s="49"/>
      <c r="BE568" s="49"/>
      <c r="BF568" s="68"/>
    </row>
    <row r="569" spans="1:138" s="51" customFormat="1" ht="12.75" customHeight="1">
      <c r="A569" s="794" t="s">
        <v>1192</v>
      </c>
      <c r="B569" s="915" t="s">
        <v>691</v>
      </c>
      <c r="C569" s="915" t="s">
        <v>362</v>
      </c>
      <c r="D569" s="84" t="s">
        <v>16</v>
      </c>
      <c r="E569" s="85">
        <f t="shared" ref="E569:K569" si="202">E570+E571+E572</f>
        <v>15.9</v>
      </c>
      <c r="F569" s="85">
        <f t="shared" si="202"/>
        <v>15.9</v>
      </c>
      <c r="G569" s="85">
        <f t="shared" si="202"/>
        <v>0</v>
      </c>
      <c r="H569" s="85">
        <f t="shared" si="202"/>
        <v>0</v>
      </c>
      <c r="I569" s="85">
        <f t="shared" si="202"/>
        <v>0</v>
      </c>
      <c r="J569" s="85">
        <f t="shared" si="202"/>
        <v>0</v>
      </c>
      <c r="K569" s="85">
        <f t="shared" si="202"/>
        <v>0</v>
      </c>
      <c r="L569" s="497">
        <f t="shared" si="201"/>
        <v>15.9</v>
      </c>
      <c r="M569" s="359"/>
      <c r="N569" s="476"/>
      <c r="O569" s="559"/>
      <c r="P569" s="842" t="s">
        <v>405</v>
      </c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49"/>
      <c r="BD569" s="49"/>
      <c r="BE569" s="49"/>
      <c r="BF569" s="68"/>
    </row>
    <row r="570" spans="1:138" s="51" customFormat="1" ht="57.75" customHeight="1">
      <c r="A570" s="795"/>
      <c r="B570" s="916"/>
      <c r="C570" s="916"/>
      <c r="D570" s="62">
        <v>2019</v>
      </c>
      <c r="E570" s="63">
        <f>F570+G570+H570+I570+J570</f>
        <v>9.9</v>
      </c>
      <c r="F570" s="63">
        <v>9.9</v>
      </c>
      <c r="G570" s="63">
        <v>0</v>
      </c>
      <c r="H570" s="63">
        <v>0</v>
      </c>
      <c r="I570" s="63">
        <v>0</v>
      </c>
      <c r="J570" s="63">
        <v>0</v>
      </c>
      <c r="K570" s="76">
        <v>0</v>
      </c>
      <c r="L570" s="497">
        <f t="shared" si="201"/>
        <v>9.9</v>
      </c>
      <c r="M570" s="359"/>
      <c r="N570" s="476"/>
      <c r="O570" s="559"/>
      <c r="P570" s="1016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49"/>
      <c r="BC570" s="49"/>
      <c r="BD570" s="49"/>
      <c r="BE570" s="49"/>
      <c r="BF570" s="68"/>
    </row>
    <row r="571" spans="1:138" s="51" customFormat="1" ht="19.5" customHeight="1">
      <c r="A571" s="795"/>
      <c r="B571" s="916"/>
      <c r="C571" s="916"/>
      <c r="D571" s="62">
        <v>2020</v>
      </c>
      <c r="E571" s="63">
        <f>F571+G571+H571+I571+J571</f>
        <v>3</v>
      </c>
      <c r="F571" s="63">
        <v>3</v>
      </c>
      <c r="G571" s="63">
        <v>0</v>
      </c>
      <c r="H571" s="63">
        <v>0</v>
      </c>
      <c r="I571" s="63">
        <v>0</v>
      </c>
      <c r="J571" s="63">
        <v>0</v>
      </c>
      <c r="K571" s="76">
        <v>0</v>
      </c>
      <c r="L571" s="497">
        <f t="shared" si="201"/>
        <v>3</v>
      </c>
      <c r="M571" s="359"/>
      <c r="N571" s="476"/>
      <c r="O571" s="559"/>
      <c r="P571" s="1016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49"/>
      <c r="BC571" s="49"/>
      <c r="BD571" s="49"/>
      <c r="BE571" s="49"/>
      <c r="BF571" s="68"/>
    </row>
    <row r="572" spans="1:138" s="51" customFormat="1" ht="19.5" customHeight="1">
      <c r="A572" s="796"/>
      <c r="B572" s="999"/>
      <c r="C572" s="999"/>
      <c r="D572" s="62">
        <v>2021</v>
      </c>
      <c r="E572" s="63">
        <f>F572</f>
        <v>3</v>
      </c>
      <c r="F572" s="63">
        <v>3</v>
      </c>
      <c r="G572" s="63">
        <v>0</v>
      </c>
      <c r="H572" s="63">
        <v>0</v>
      </c>
      <c r="I572" s="63">
        <v>0</v>
      </c>
      <c r="J572" s="63">
        <v>0</v>
      </c>
      <c r="K572" s="76">
        <v>0</v>
      </c>
      <c r="L572" s="497"/>
      <c r="M572" s="359"/>
      <c r="N572" s="476"/>
      <c r="O572" s="559"/>
      <c r="P572" s="843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  <c r="AT572" s="49"/>
      <c r="AU572" s="49"/>
      <c r="AV572" s="49"/>
      <c r="AW572" s="49"/>
      <c r="AX572" s="49"/>
      <c r="AY572" s="49"/>
      <c r="AZ572" s="49"/>
      <c r="BA572" s="49"/>
      <c r="BB572" s="49"/>
      <c r="BC572" s="49"/>
      <c r="BD572" s="49"/>
      <c r="BE572" s="49"/>
      <c r="BF572" s="68"/>
    </row>
    <row r="573" spans="1:138" s="51" customFormat="1" ht="25.5" customHeight="1">
      <c r="A573" s="972" t="s">
        <v>1193</v>
      </c>
      <c r="B573" s="915" t="s">
        <v>1194</v>
      </c>
      <c r="C573" s="915" t="s">
        <v>1195</v>
      </c>
      <c r="D573" s="84" t="s">
        <v>16</v>
      </c>
      <c r="E573" s="85">
        <f t="shared" ref="E573:J573" si="203">E574+E575</f>
        <v>1.85</v>
      </c>
      <c r="F573" s="85">
        <f t="shared" si="203"/>
        <v>0</v>
      </c>
      <c r="G573" s="85">
        <f t="shared" si="203"/>
        <v>0</v>
      </c>
      <c r="H573" s="85">
        <f t="shared" si="203"/>
        <v>0</v>
      </c>
      <c r="I573" s="85">
        <f t="shared" si="203"/>
        <v>0</v>
      </c>
      <c r="J573" s="85">
        <f t="shared" si="203"/>
        <v>1.85</v>
      </c>
      <c r="K573" s="76">
        <v>0</v>
      </c>
      <c r="L573" s="497"/>
      <c r="M573" s="359"/>
      <c r="N573" s="476"/>
      <c r="O573" s="559"/>
      <c r="P573" s="842" t="s">
        <v>1196</v>
      </c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49"/>
      <c r="BC573" s="49"/>
      <c r="BD573" s="49"/>
      <c r="BE573" s="49"/>
      <c r="BF573" s="68"/>
      <c r="EH573" s="320" t="s">
        <v>1197</v>
      </c>
    </row>
    <row r="574" spans="1:138" s="51" customFormat="1">
      <c r="A574" s="973"/>
      <c r="B574" s="916"/>
      <c r="C574" s="916"/>
      <c r="D574" s="62">
        <v>2021</v>
      </c>
      <c r="E574" s="63">
        <f>F574+G574+H574+I574+J574</f>
        <v>0.95</v>
      </c>
      <c r="F574" s="63">
        <v>0</v>
      </c>
      <c r="G574" s="63">
        <v>0</v>
      </c>
      <c r="H574" s="63">
        <v>0</v>
      </c>
      <c r="I574" s="63">
        <v>0</v>
      </c>
      <c r="J574" s="63">
        <v>0.95</v>
      </c>
      <c r="K574" s="76">
        <v>0</v>
      </c>
      <c r="L574" s="497"/>
      <c r="M574" s="359"/>
      <c r="N574" s="476"/>
      <c r="O574" s="559"/>
      <c r="P574" s="1016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49"/>
      <c r="BC574" s="49"/>
      <c r="BD574" s="49"/>
      <c r="BE574" s="49"/>
      <c r="BF574" s="68"/>
    </row>
    <row r="575" spans="1:138" s="51" customFormat="1">
      <c r="A575" s="974"/>
      <c r="B575" s="999"/>
      <c r="C575" s="999"/>
      <c r="D575" s="62">
        <v>2022</v>
      </c>
      <c r="E575" s="63">
        <f>F575+G575+H575+I575+J575</f>
        <v>0.9</v>
      </c>
      <c r="F575" s="63">
        <v>0</v>
      </c>
      <c r="G575" s="63">
        <v>0</v>
      </c>
      <c r="H575" s="63">
        <v>0</v>
      </c>
      <c r="I575" s="63">
        <v>0</v>
      </c>
      <c r="J575" s="63">
        <v>0.9</v>
      </c>
      <c r="K575" s="76">
        <v>0</v>
      </c>
      <c r="L575" s="497"/>
      <c r="M575" s="359"/>
      <c r="N575" s="476"/>
      <c r="O575" s="559"/>
      <c r="P575" s="843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49"/>
      <c r="BC575" s="49"/>
      <c r="BD575" s="49"/>
      <c r="BE575" s="49"/>
      <c r="BF575" s="68"/>
    </row>
    <row r="576" spans="1:138" s="51" customFormat="1" ht="120" customHeight="1">
      <c r="A576" s="972" t="s">
        <v>1198</v>
      </c>
      <c r="B576" s="915" t="s">
        <v>1199</v>
      </c>
      <c r="C576" s="915" t="s">
        <v>1200</v>
      </c>
      <c r="D576" s="84" t="s">
        <v>16</v>
      </c>
      <c r="E576" s="85">
        <f>E577+E578</f>
        <v>4.7851999999999997</v>
      </c>
      <c r="F576" s="85">
        <f>F577+F578</f>
        <v>0</v>
      </c>
      <c r="G576" s="85">
        <f>G577</f>
        <v>0</v>
      </c>
      <c r="H576" s="85">
        <f>H577</f>
        <v>0.68520000000000003</v>
      </c>
      <c r="I576" s="85">
        <f>I577</f>
        <v>0</v>
      </c>
      <c r="J576" s="85">
        <f>J577</f>
        <v>4.0999999999999996</v>
      </c>
      <c r="K576" s="76">
        <v>0</v>
      </c>
      <c r="L576" s="497"/>
      <c r="M576" s="359"/>
      <c r="N576" s="476"/>
      <c r="O576" s="559"/>
      <c r="P576" s="842" t="s">
        <v>611</v>
      </c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49"/>
      <c r="BD576" s="49"/>
      <c r="BE576" s="49"/>
      <c r="BF576" s="68"/>
    </row>
    <row r="577" spans="1:58" s="51" customFormat="1" ht="21.75" customHeight="1">
      <c r="A577" s="974"/>
      <c r="B577" s="999"/>
      <c r="C577" s="999"/>
      <c r="D577" s="62">
        <v>2021</v>
      </c>
      <c r="E577" s="63">
        <f>F577+G577+H577+I577+J577</f>
        <v>4.7851999999999997</v>
      </c>
      <c r="F577" s="63">
        <v>0</v>
      </c>
      <c r="G577" s="63">
        <v>0</v>
      </c>
      <c r="H577" s="561">
        <v>0.68520000000000003</v>
      </c>
      <c r="I577" s="562">
        <v>0</v>
      </c>
      <c r="J577" s="562">
        <v>4.0999999999999996</v>
      </c>
      <c r="K577" s="76">
        <v>0</v>
      </c>
      <c r="L577" s="563" t="s">
        <v>1201</v>
      </c>
      <c r="M577" s="359" t="s">
        <v>1202</v>
      </c>
      <c r="N577" s="476"/>
      <c r="O577" s="559"/>
      <c r="P577" s="843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49"/>
      <c r="BD577" s="49"/>
      <c r="BE577" s="49"/>
      <c r="BF577" s="68"/>
    </row>
    <row r="578" spans="1:58" s="51" customFormat="1" ht="15.75">
      <c r="A578" s="525">
        <v>9</v>
      </c>
      <c r="B578" s="139" t="s">
        <v>692</v>
      </c>
      <c r="C578" s="501"/>
      <c r="D578" s="84" t="s">
        <v>16</v>
      </c>
      <c r="E578" s="85">
        <f t="shared" ref="E578:J579" si="204">E580</f>
        <v>0</v>
      </c>
      <c r="F578" s="85">
        <f t="shared" si="204"/>
        <v>0</v>
      </c>
      <c r="G578" s="85">
        <f t="shared" si="204"/>
        <v>0</v>
      </c>
      <c r="H578" s="85">
        <f t="shared" si="204"/>
        <v>0</v>
      </c>
      <c r="I578" s="85">
        <f t="shared" si="204"/>
        <v>0</v>
      </c>
      <c r="J578" s="85">
        <f t="shared" si="204"/>
        <v>0</v>
      </c>
      <c r="K578" s="76">
        <v>0</v>
      </c>
      <c r="L578" s="497">
        <f t="shared" ref="L578:L616" si="205">F578+G578+H578+I578+J578</f>
        <v>0</v>
      </c>
      <c r="M578" s="366"/>
      <c r="N578" s="476"/>
      <c r="O578" s="559"/>
      <c r="P578" s="332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49"/>
      <c r="AT578" s="49"/>
      <c r="AU578" s="49"/>
      <c r="AV578" s="49"/>
      <c r="AW578" s="49"/>
      <c r="AX578" s="49"/>
      <c r="AY578" s="49"/>
      <c r="AZ578" s="49"/>
      <c r="BA578" s="49"/>
      <c r="BB578" s="49"/>
      <c r="BC578" s="49"/>
      <c r="BD578" s="49"/>
      <c r="BE578" s="49"/>
      <c r="BF578" s="68"/>
    </row>
    <row r="579" spans="1:58" s="51" customFormat="1">
      <c r="A579" s="386"/>
      <c r="B579" s="94"/>
      <c r="C579" s="479"/>
      <c r="D579" s="62" t="s">
        <v>693</v>
      </c>
      <c r="E579" s="63">
        <f t="shared" si="204"/>
        <v>0</v>
      </c>
      <c r="F579" s="63">
        <f t="shared" si="204"/>
        <v>0</v>
      </c>
      <c r="G579" s="63">
        <f t="shared" si="204"/>
        <v>0</v>
      </c>
      <c r="H579" s="63">
        <f t="shared" si="204"/>
        <v>0</v>
      </c>
      <c r="I579" s="63">
        <f t="shared" si="204"/>
        <v>0</v>
      </c>
      <c r="J579" s="63">
        <f t="shared" si="204"/>
        <v>0</v>
      </c>
      <c r="K579" s="76">
        <v>0</v>
      </c>
      <c r="L579" s="497">
        <f t="shared" si="205"/>
        <v>0</v>
      </c>
      <c r="M579" s="366"/>
      <c r="N579" s="476"/>
      <c r="O579" s="559"/>
      <c r="P579" s="332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  <c r="AR579" s="49"/>
      <c r="AS579" s="49"/>
      <c r="AT579" s="49"/>
      <c r="AU579" s="49"/>
      <c r="AV579" s="49"/>
      <c r="AW579" s="49"/>
      <c r="AX579" s="49"/>
      <c r="AY579" s="49"/>
      <c r="AZ579" s="49"/>
      <c r="BA579" s="49"/>
      <c r="BB579" s="49"/>
      <c r="BC579" s="49"/>
      <c r="BD579" s="49"/>
      <c r="BE579" s="49"/>
      <c r="BF579" s="68"/>
    </row>
    <row r="580" spans="1:58" s="51" customFormat="1">
      <c r="A580" s="794" t="s">
        <v>694</v>
      </c>
      <c r="B580" s="867" t="s">
        <v>695</v>
      </c>
      <c r="C580" s="1161"/>
      <c r="D580" s="84" t="s">
        <v>16</v>
      </c>
      <c r="E580" s="85">
        <f t="shared" ref="E580:J580" si="206">E581</f>
        <v>0</v>
      </c>
      <c r="F580" s="85">
        <f t="shared" si="206"/>
        <v>0</v>
      </c>
      <c r="G580" s="85">
        <f t="shared" si="206"/>
        <v>0</v>
      </c>
      <c r="H580" s="85">
        <f t="shared" si="206"/>
        <v>0</v>
      </c>
      <c r="I580" s="85">
        <f t="shared" si="206"/>
        <v>0</v>
      </c>
      <c r="J580" s="85">
        <f t="shared" si="206"/>
        <v>0</v>
      </c>
      <c r="K580" s="76">
        <v>0</v>
      </c>
      <c r="L580" s="497">
        <f t="shared" si="205"/>
        <v>0</v>
      </c>
      <c r="M580" s="366"/>
      <c r="N580" s="476"/>
      <c r="O580" s="559"/>
      <c r="P580" s="842" t="s">
        <v>696</v>
      </c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  <c r="AR580" s="49"/>
      <c r="AS580" s="49"/>
      <c r="AT580" s="49"/>
      <c r="AU580" s="49"/>
      <c r="AV580" s="49"/>
      <c r="AW580" s="49"/>
      <c r="AX580" s="49"/>
      <c r="AY580" s="49"/>
      <c r="AZ580" s="49"/>
      <c r="BA580" s="49"/>
      <c r="BB580" s="49"/>
      <c r="BC580" s="49"/>
      <c r="BD580" s="49"/>
      <c r="BE580" s="49"/>
      <c r="BF580" s="68"/>
    </row>
    <row r="581" spans="1:58" s="51" customFormat="1" ht="25.5" customHeight="1">
      <c r="A581" s="1126"/>
      <c r="B581" s="868"/>
      <c r="C581" s="1125"/>
      <c r="D581" s="62" t="s">
        <v>693</v>
      </c>
      <c r="E581" s="63">
        <f>F581+G581+H581+I581+J581</f>
        <v>0</v>
      </c>
      <c r="F581" s="63">
        <v>0</v>
      </c>
      <c r="G581" s="63">
        <v>0</v>
      </c>
      <c r="H581" s="63">
        <v>0</v>
      </c>
      <c r="I581" s="63">
        <v>0</v>
      </c>
      <c r="J581" s="63">
        <v>0</v>
      </c>
      <c r="K581" s="76">
        <v>0</v>
      </c>
      <c r="L581" s="497">
        <f t="shared" si="205"/>
        <v>0</v>
      </c>
      <c r="M581" s="366"/>
      <c r="N581" s="476"/>
      <c r="O581" s="559"/>
      <c r="P581" s="1125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  <c r="AT581" s="49"/>
      <c r="AU581" s="49"/>
      <c r="AV581" s="49"/>
      <c r="AW581" s="49"/>
      <c r="AX581" s="49"/>
      <c r="AY581" s="49"/>
      <c r="AZ581" s="49"/>
      <c r="BA581" s="49"/>
      <c r="BB581" s="49"/>
      <c r="BC581" s="49"/>
      <c r="BD581" s="49"/>
      <c r="BE581" s="49"/>
      <c r="BF581" s="68"/>
    </row>
    <row r="582" spans="1:58" s="367" customFormat="1" ht="15.75">
      <c r="A582" s="1128" t="s">
        <v>697</v>
      </c>
      <c r="B582" s="929" t="s">
        <v>698</v>
      </c>
      <c r="C582" s="1000"/>
      <c r="D582" s="84" t="s">
        <v>16</v>
      </c>
      <c r="E582" s="136">
        <f t="shared" ref="E582:J582" si="207">SUM(E583:E594)</f>
        <v>3.3210000000000002</v>
      </c>
      <c r="F582" s="136">
        <f t="shared" si="207"/>
        <v>0</v>
      </c>
      <c r="G582" s="136">
        <f t="shared" si="207"/>
        <v>1.3180000000000001</v>
      </c>
      <c r="H582" s="136">
        <f t="shared" si="207"/>
        <v>1.0069999999999999</v>
      </c>
      <c r="I582" s="136">
        <f t="shared" si="207"/>
        <v>0.996</v>
      </c>
      <c r="J582" s="313">
        <f t="shared" si="207"/>
        <v>0</v>
      </c>
      <c r="K582" s="76">
        <v>0</v>
      </c>
      <c r="L582" s="497">
        <f t="shared" si="205"/>
        <v>3.3210000000000002</v>
      </c>
      <c r="M582" s="185"/>
      <c r="N582" s="476"/>
      <c r="O582" s="301"/>
      <c r="P582" s="541"/>
      <c r="Q582" s="368"/>
      <c r="R582" s="368"/>
      <c r="S582" s="368"/>
      <c r="T582" s="368"/>
      <c r="U582" s="368"/>
      <c r="V582" s="368"/>
      <c r="W582" s="368"/>
      <c r="X582" s="368"/>
      <c r="Y582" s="368"/>
      <c r="Z582" s="368"/>
      <c r="AA582" s="368"/>
      <c r="AB582" s="368"/>
      <c r="AC582" s="368"/>
      <c r="AD582" s="368"/>
      <c r="AE582" s="368"/>
      <c r="AF582" s="368"/>
      <c r="AG582" s="368"/>
      <c r="AH582" s="368"/>
      <c r="AI582" s="368"/>
      <c r="AJ582" s="368"/>
      <c r="AK582" s="368"/>
      <c r="AL582" s="368"/>
      <c r="AM582" s="368"/>
      <c r="AN582" s="368"/>
      <c r="AO582" s="368"/>
      <c r="AP582" s="368"/>
      <c r="AQ582" s="368"/>
      <c r="AR582" s="368"/>
      <c r="AS582" s="368"/>
      <c r="AT582" s="368"/>
      <c r="AU582" s="368"/>
      <c r="AV582" s="368"/>
      <c r="AW582" s="368"/>
      <c r="AX582" s="368"/>
      <c r="AY582" s="368"/>
      <c r="AZ582" s="368"/>
      <c r="BA582" s="368"/>
      <c r="BB582" s="368"/>
      <c r="BC582" s="368"/>
      <c r="BD582" s="368"/>
      <c r="BE582" s="368"/>
      <c r="BF582" s="369"/>
    </row>
    <row r="583" spans="1:58" s="367" customFormat="1" ht="15.75">
      <c r="A583" s="1129"/>
      <c r="B583" s="868"/>
      <c r="C583" s="1125"/>
      <c r="D583" s="84">
        <v>2019</v>
      </c>
      <c r="E583" s="85">
        <f t="shared" ref="E583:J594" si="208">E596</f>
        <v>3.3210000000000002</v>
      </c>
      <c r="F583" s="85">
        <f t="shared" si="208"/>
        <v>0</v>
      </c>
      <c r="G583" s="85">
        <f t="shared" si="208"/>
        <v>1.3180000000000001</v>
      </c>
      <c r="H583" s="85">
        <f t="shared" si="208"/>
        <v>1.0069999999999999</v>
      </c>
      <c r="I583" s="85">
        <f t="shared" si="208"/>
        <v>0.996</v>
      </c>
      <c r="J583" s="85">
        <f t="shared" si="208"/>
        <v>0</v>
      </c>
      <c r="K583" s="76">
        <v>0</v>
      </c>
      <c r="L583" s="497">
        <f t="shared" si="205"/>
        <v>3.3210000000000002</v>
      </c>
      <c r="M583" s="185"/>
      <c r="N583" s="476"/>
      <c r="O583" s="301"/>
      <c r="P583" s="541"/>
      <c r="Q583" s="368"/>
      <c r="R583" s="368"/>
      <c r="S583" s="368"/>
      <c r="T583" s="368"/>
      <c r="U583" s="368"/>
      <c r="V583" s="368"/>
      <c r="W583" s="368"/>
      <c r="X583" s="368"/>
      <c r="Y583" s="368"/>
      <c r="Z583" s="368"/>
      <c r="AA583" s="368"/>
      <c r="AB583" s="368"/>
      <c r="AC583" s="368"/>
      <c r="AD583" s="368"/>
      <c r="AE583" s="368"/>
      <c r="AF583" s="368"/>
      <c r="AG583" s="368"/>
      <c r="AH583" s="368"/>
      <c r="AI583" s="368"/>
      <c r="AJ583" s="368"/>
      <c r="AK583" s="368"/>
      <c r="AL583" s="368"/>
      <c r="AM583" s="368"/>
      <c r="AN583" s="368"/>
      <c r="AO583" s="368"/>
      <c r="AP583" s="368"/>
      <c r="AQ583" s="368"/>
      <c r="AR583" s="368"/>
      <c r="AS583" s="368"/>
      <c r="AT583" s="368"/>
      <c r="AU583" s="368"/>
      <c r="AV583" s="368"/>
      <c r="AW583" s="368"/>
      <c r="AX583" s="368"/>
      <c r="AY583" s="368"/>
      <c r="AZ583" s="368"/>
      <c r="BA583" s="368"/>
      <c r="BB583" s="368"/>
      <c r="BC583" s="368"/>
      <c r="BD583" s="368"/>
      <c r="BE583" s="368"/>
      <c r="BF583" s="369"/>
    </row>
    <row r="584" spans="1:58" s="367" customFormat="1" ht="15.75">
      <c r="A584" s="1129"/>
      <c r="B584" s="868"/>
      <c r="C584" s="1125"/>
      <c r="D584" s="84">
        <v>2020</v>
      </c>
      <c r="E584" s="85">
        <f t="shared" si="208"/>
        <v>0</v>
      </c>
      <c r="F584" s="85">
        <f t="shared" si="208"/>
        <v>0</v>
      </c>
      <c r="G584" s="85">
        <f t="shared" si="208"/>
        <v>0</v>
      </c>
      <c r="H584" s="85">
        <f t="shared" si="208"/>
        <v>0</v>
      </c>
      <c r="I584" s="85">
        <f t="shared" si="208"/>
        <v>0</v>
      </c>
      <c r="J584" s="85">
        <f t="shared" si="208"/>
        <v>0</v>
      </c>
      <c r="K584" s="76">
        <v>0</v>
      </c>
      <c r="L584" s="497">
        <f t="shared" si="205"/>
        <v>0</v>
      </c>
      <c r="M584" s="185"/>
      <c r="N584" s="476"/>
      <c r="O584" s="301"/>
      <c r="P584" s="541"/>
      <c r="Q584" s="368"/>
      <c r="R584" s="368"/>
      <c r="S584" s="368"/>
      <c r="T584" s="368"/>
      <c r="U584" s="368"/>
      <c r="V584" s="368"/>
      <c r="W584" s="368"/>
      <c r="X584" s="368"/>
      <c r="Y584" s="368"/>
      <c r="Z584" s="368"/>
      <c r="AA584" s="368"/>
      <c r="AB584" s="368"/>
      <c r="AC584" s="368"/>
      <c r="AD584" s="368"/>
      <c r="AE584" s="368"/>
      <c r="AF584" s="368"/>
      <c r="AG584" s="368"/>
      <c r="AH584" s="368"/>
      <c r="AI584" s="368"/>
      <c r="AJ584" s="368"/>
      <c r="AK584" s="368"/>
      <c r="AL584" s="368"/>
      <c r="AM584" s="368"/>
      <c r="AN584" s="368"/>
      <c r="AO584" s="368"/>
      <c r="AP584" s="368"/>
      <c r="AQ584" s="368"/>
      <c r="AR584" s="368"/>
      <c r="AS584" s="368"/>
      <c r="AT584" s="368"/>
      <c r="AU584" s="368"/>
      <c r="AV584" s="368"/>
      <c r="AW584" s="368"/>
      <c r="AX584" s="368"/>
      <c r="AY584" s="368"/>
      <c r="AZ584" s="368"/>
      <c r="BA584" s="368"/>
      <c r="BB584" s="368"/>
      <c r="BC584" s="368"/>
      <c r="BD584" s="368"/>
      <c r="BE584" s="368"/>
      <c r="BF584" s="369"/>
    </row>
    <row r="585" spans="1:58" s="367" customFormat="1" ht="15.75">
      <c r="A585" s="1129"/>
      <c r="B585" s="868"/>
      <c r="C585" s="1125"/>
      <c r="D585" s="84">
        <v>2021</v>
      </c>
      <c r="E585" s="85">
        <f t="shared" si="208"/>
        <v>0</v>
      </c>
      <c r="F585" s="85">
        <f t="shared" si="208"/>
        <v>0</v>
      </c>
      <c r="G585" s="85">
        <f t="shared" si="208"/>
        <v>0</v>
      </c>
      <c r="H585" s="85">
        <f t="shared" si="208"/>
        <v>0</v>
      </c>
      <c r="I585" s="85">
        <f t="shared" si="208"/>
        <v>0</v>
      </c>
      <c r="J585" s="85">
        <f t="shared" si="208"/>
        <v>0</v>
      </c>
      <c r="K585" s="76">
        <v>0</v>
      </c>
      <c r="L585" s="497">
        <f t="shared" si="205"/>
        <v>0</v>
      </c>
      <c r="M585" s="185"/>
      <c r="N585" s="476"/>
      <c r="O585" s="301"/>
      <c r="P585" s="541"/>
      <c r="Q585" s="368"/>
      <c r="R585" s="368"/>
      <c r="S585" s="368"/>
      <c r="T585" s="368"/>
      <c r="U585" s="368"/>
      <c r="V585" s="368"/>
      <c r="W585" s="368"/>
      <c r="X585" s="368"/>
      <c r="Y585" s="368"/>
      <c r="Z585" s="368"/>
      <c r="AA585" s="368"/>
      <c r="AB585" s="368"/>
      <c r="AC585" s="368"/>
      <c r="AD585" s="368"/>
      <c r="AE585" s="368"/>
      <c r="AF585" s="368"/>
      <c r="AG585" s="368"/>
      <c r="AH585" s="368"/>
      <c r="AI585" s="368"/>
      <c r="AJ585" s="368"/>
      <c r="AK585" s="368"/>
      <c r="AL585" s="368"/>
      <c r="AM585" s="368"/>
      <c r="AN585" s="368"/>
      <c r="AO585" s="368"/>
      <c r="AP585" s="368"/>
      <c r="AQ585" s="368"/>
      <c r="AR585" s="368"/>
      <c r="AS585" s="368"/>
      <c r="AT585" s="368"/>
      <c r="AU585" s="368"/>
      <c r="AV585" s="368"/>
      <c r="AW585" s="368"/>
      <c r="AX585" s="368"/>
      <c r="AY585" s="368"/>
      <c r="AZ585" s="368"/>
      <c r="BA585" s="368"/>
      <c r="BB585" s="368"/>
      <c r="BC585" s="368"/>
      <c r="BD585" s="368"/>
      <c r="BE585" s="368"/>
      <c r="BF585" s="369"/>
    </row>
    <row r="586" spans="1:58" s="367" customFormat="1" ht="15.75">
      <c r="A586" s="1129"/>
      <c r="B586" s="868"/>
      <c r="C586" s="1125"/>
      <c r="D586" s="84">
        <v>2022</v>
      </c>
      <c r="E586" s="85">
        <f t="shared" si="208"/>
        <v>0</v>
      </c>
      <c r="F586" s="85">
        <f t="shared" si="208"/>
        <v>0</v>
      </c>
      <c r="G586" s="85">
        <f t="shared" si="208"/>
        <v>0</v>
      </c>
      <c r="H586" s="85">
        <f t="shared" si="208"/>
        <v>0</v>
      </c>
      <c r="I586" s="85">
        <f t="shared" si="208"/>
        <v>0</v>
      </c>
      <c r="J586" s="85">
        <f t="shared" si="208"/>
        <v>0</v>
      </c>
      <c r="K586" s="76">
        <v>0</v>
      </c>
      <c r="L586" s="497">
        <f t="shared" si="205"/>
        <v>0</v>
      </c>
      <c r="M586" s="185"/>
      <c r="N586" s="476"/>
      <c r="O586" s="301"/>
      <c r="P586" s="541"/>
      <c r="Q586" s="368"/>
      <c r="R586" s="368"/>
      <c r="S586" s="368"/>
      <c r="T586" s="368"/>
      <c r="U586" s="368"/>
      <c r="V586" s="368"/>
      <c r="W586" s="368"/>
      <c r="X586" s="368"/>
      <c r="Y586" s="368"/>
      <c r="Z586" s="368"/>
      <c r="AA586" s="368"/>
      <c r="AB586" s="368"/>
      <c r="AC586" s="368"/>
      <c r="AD586" s="368"/>
      <c r="AE586" s="368"/>
      <c r="AF586" s="368"/>
      <c r="AG586" s="368"/>
      <c r="AH586" s="368"/>
      <c r="AI586" s="368"/>
      <c r="AJ586" s="368"/>
      <c r="AK586" s="368"/>
      <c r="AL586" s="368"/>
      <c r="AM586" s="368"/>
      <c r="AN586" s="368"/>
      <c r="AO586" s="368"/>
      <c r="AP586" s="368"/>
      <c r="AQ586" s="368"/>
      <c r="AR586" s="368"/>
      <c r="AS586" s="368"/>
      <c r="AT586" s="368"/>
      <c r="AU586" s="368"/>
      <c r="AV586" s="368"/>
      <c r="AW586" s="368"/>
      <c r="AX586" s="368"/>
      <c r="AY586" s="368"/>
      <c r="AZ586" s="368"/>
      <c r="BA586" s="368"/>
      <c r="BB586" s="368"/>
      <c r="BC586" s="368"/>
      <c r="BD586" s="368"/>
      <c r="BE586" s="368"/>
      <c r="BF586" s="369"/>
    </row>
    <row r="587" spans="1:58" s="367" customFormat="1" ht="15.75">
      <c r="A587" s="1129"/>
      <c r="B587" s="868"/>
      <c r="C587" s="1125"/>
      <c r="D587" s="84">
        <v>2023</v>
      </c>
      <c r="E587" s="85">
        <f t="shared" si="208"/>
        <v>0</v>
      </c>
      <c r="F587" s="85">
        <f t="shared" si="208"/>
        <v>0</v>
      </c>
      <c r="G587" s="85">
        <f t="shared" si="208"/>
        <v>0</v>
      </c>
      <c r="H587" s="85">
        <f t="shared" si="208"/>
        <v>0</v>
      </c>
      <c r="I587" s="85">
        <f t="shared" si="208"/>
        <v>0</v>
      </c>
      <c r="J587" s="85">
        <f t="shared" si="208"/>
        <v>0</v>
      </c>
      <c r="K587" s="76">
        <v>0</v>
      </c>
      <c r="L587" s="497">
        <f t="shared" si="205"/>
        <v>0</v>
      </c>
      <c r="M587" s="185"/>
      <c r="N587" s="476"/>
      <c r="O587" s="301"/>
      <c r="P587" s="541"/>
      <c r="Q587" s="368"/>
      <c r="R587" s="368"/>
      <c r="S587" s="368"/>
      <c r="T587" s="368"/>
      <c r="U587" s="368"/>
      <c r="V587" s="368"/>
      <c r="W587" s="368"/>
      <c r="X587" s="368"/>
      <c r="Y587" s="368"/>
      <c r="Z587" s="368"/>
      <c r="AA587" s="368"/>
      <c r="AB587" s="368"/>
      <c r="AC587" s="368"/>
      <c r="AD587" s="368"/>
      <c r="AE587" s="368"/>
      <c r="AF587" s="368"/>
      <c r="AG587" s="368"/>
      <c r="AH587" s="368"/>
      <c r="AI587" s="368"/>
      <c r="AJ587" s="368"/>
      <c r="AK587" s="368"/>
      <c r="AL587" s="368"/>
      <c r="AM587" s="368"/>
      <c r="AN587" s="368"/>
      <c r="AO587" s="368"/>
      <c r="AP587" s="368"/>
      <c r="AQ587" s="368"/>
      <c r="AR587" s="368"/>
      <c r="AS587" s="368"/>
      <c r="AT587" s="368"/>
      <c r="AU587" s="368"/>
      <c r="AV587" s="368"/>
      <c r="AW587" s="368"/>
      <c r="AX587" s="368"/>
      <c r="AY587" s="368"/>
      <c r="AZ587" s="368"/>
      <c r="BA587" s="368"/>
      <c r="BB587" s="368"/>
      <c r="BC587" s="368"/>
      <c r="BD587" s="368"/>
      <c r="BE587" s="368"/>
      <c r="BF587" s="369"/>
    </row>
    <row r="588" spans="1:58" s="367" customFormat="1" ht="15.75">
      <c r="A588" s="1129"/>
      <c r="B588" s="868"/>
      <c r="C588" s="1125"/>
      <c r="D588" s="84">
        <v>2024</v>
      </c>
      <c r="E588" s="85">
        <f t="shared" si="208"/>
        <v>0</v>
      </c>
      <c r="F588" s="85">
        <f t="shared" si="208"/>
        <v>0</v>
      </c>
      <c r="G588" s="85">
        <f t="shared" si="208"/>
        <v>0</v>
      </c>
      <c r="H588" s="85">
        <f t="shared" si="208"/>
        <v>0</v>
      </c>
      <c r="I588" s="85">
        <f t="shared" si="208"/>
        <v>0</v>
      </c>
      <c r="J588" s="85">
        <f t="shared" si="208"/>
        <v>0</v>
      </c>
      <c r="K588" s="76">
        <v>0</v>
      </c>
      <c r="L588" s="497">
        <f t="shared" si="205"/>
        <v>0</v>
      </c>
      <c r="M588" s="185"/>
      <c r="N588" s="476"/>
      <c r="O588" s="301"/>
      <c r="P588" s="541"/>
      <c r="Q588" s="368"/>
      <c r="R588" s="368"/>
      <c r="S588" s="368"/>
      <c r="T588" s="368"/>
      <c r="U588" s="368"/>
      <c r="V588" s="368"/>
      <c r="W588" s="368"/>
      <c r="X588" s="368"/>
      <c r="Y588" s="368"/>
      <c r="Z588" s="368"/>
      <c r="AA588" s="368"/>
      <c r="AB588" s="368"/>
      <c r="AC588" s="368"/>
      <c r="AD588" s="368"/>
      <c r="AE588" s="368"/>
      <c r="AF588" s="368"/>
      <c r="AG588" s="368"/>
      <c r="AH588" s="368"/>
      <c r="AI588" s="368"/>
      <c r="AJ588" s="368"/>
      <c r="AK588" s="368"/>
      <c r="AL588" s="368"/>
      <c r="AM588" s="368"/>
      <c r="AN588" s="368"/>
      <c r="AO588" s="368"/>
      <c r="AP588" s="368"/>
      <c r="AQ588" s="368"/>
      <c r="AR588" s="368"/>
      <c r="AS588" s="368"/>
      <c r="AT588" s="368"/>
      <c r="AU588" s="368"/>
      <c r="AV588" s="368"/>
      <c r="AW588" s="368"/>
      <c r="AX588" s="368"/>
      <c r="AY588" s="368"/>
      <c r="AZ588" s="368"/>
      <c r="BA588" s="368"/>
      <c r="BB588" s="368"/>
      <c r="BC588" s="368"/>
      <c r="BD588" s="368"/>
      <c r="BE588" s="368"/>
      <c r="BF588" s="369"/>
    </row>
    <row r="589" spans="1:58" s="367" customFormat="1" ht="15.75">
      <c r="A589" s="1129"/>
      <c r="B589" s="868"/>
      <c r="C589" s="1125"/>
      <c r="D589" s="84">
        <v>2025</v>
      </c>
      <c r="E589" s="85">
        <f t="shared" si="208"/>
        <v>0</v>
      </c>
      <c r="F589" s="85">
        <f t="shared" si="208"/>
        <v>0</v>
      </c>
      <c r="G589" s="85">
        <f t="shared" si="208"/>
        <v>0</v>
      </c>
      <c r="H589" s="85">
        <f t="shared" si="208"/>
        <v>0</v>
      </c>
      <c r="I589" s="85">
        <f t="shared" si="208"/>
        <v>0</v>
      </c>
      <c r="J589" s="85">
        <f t="shared" si="208"/>
        <v>0</v>
      </c>
      <c r="K589" s="76">
        <v>0</v>
      </c>
      <c r="L589" s="497">
        <f t="shared" si="205"/>
        <v>0</v>
      </c>
      <c r="M589" s="185"/>
      <c r="N589" s="476"/>
      <c r="O589" s="301"/>
      <c r="P589" s="541"/>
      <c r="Q589" s="368"/>
      <c r="R589" s="368"/>
      <c r="S589" s="368"/>
      <c r="T589" s="368"/>
      <c r="U589" s="368"/>
      <c r="V589" s="368"/>
      <c r="W589" s="368"/>
      <c r="X589" s="368"/>
      <c r="Y589" s="368"/>
      <c r="Z589" s="368"/>
      <c r="AA589" s="368"/>
      <c r="AB589" s="368"/>
      <c r="AC589" s="368"/>
      <c r="AD589" s="368"/>
      <c r="AE589" s="368"/>
      <c r="AF589" s="368"/>
      <c r="AG589" s="368"/>
      <c r="AH589" s="368"/>
      <c r="AI589" s="368"/>
      <c r="AJ589" s="368"/>
      <c r="AK589" s="368"/>
      <c r="AL589" s="368"/>
      <c r="AM589" s="368"/>
      <c r="AN589" s="368"/>
      <c r="AO589" s="368"/>
      <c r="AP589" s="368"/>
      <c r="AQ589" s="368"/>
      <c r="AR589" s="368"/>
      <c r="AS589" s="368"/>
      <c r="AT589" s="368"/>
      <c r="AU589" s="368"/>
      <c r="AV589" s="368"/>
      <c r="AW589" s="368"/>
      <c r="AX589" s="368"/>
      <c r="AY589" s="368"/>
      <c r="AZ589" s="368"/>
      <c r="BA589" s="368"/>
      <c r="BB589" s="368"/>
      <c r="BC589" s="368"/>
      <c r="BD589" s="368"/>
      <c r="BE589" s="368"/>
      <c r="BF589" s="369"/>
    </row>
    <row r="590" spans="1:58" s="367" customFormat="1" ht="15.75">
      <c r="A590" s="1129"/>
      <c r="B590" s="868"/>
      <c r="C590" s="1125"/>
      <c r="D590" s="84">
        <v>2026</v>
      </c>
      <c r="E590" s="85">
        <f t="shared" si="208"/>
        <v>0</v>
      </c>
      <c r="F590" s="85">
        <f t="shared" si="208"/>
        <v>0</v>
      </c>
      <c r="G590" s="85">
        <f t="shared" si="208"/>
        <v>0</v>
      </c>
      <c r="H590" s="85">
        <f t="shared" si="208"/>
        <v>0</v>
      </c>
      <c r="I590" s="85">
        <f t="shared" si="208"/>
        <v>0</v>
      </c>
      <c r="J590" s="85">
        <f t="shared" si="208"/>
        <v>0</v>
      </c>
      <c r="K590" s="76">
        <v>0</v>
      </c>
      <c r="L590" s="497">
        <f t="shared" si="205"/>
        <v>0</v>
      </c>
      <c r="M590" s="185"/>
      <c r="N590" s="476"/>
      <c r="O590" s="301"/>
      <c r="P590" s="541"/>
      <c r="Q590" s="368"/>
      <c r="R590" s="368"/>
      <c r="S590" s="368"/>
      <c r="T590" s="368"/>
      <c r="U590" s="368"/>
      <c r="V590" s="368"/>
      <c r="W590" s="368"/>
      <c r="X590" s="368"/>
      <c r="Y590" s="368"/>
      <c r="Z590" s="368"/>
      <c r="AA590" s="368"/>
      <c r="AB590" s="368"/>
      <c r="AC590" s="368"/>
      <c r="AD590" s="368"/>
      <c r="AE590" s="368"/>
      <c r="AF590" s="368"/>
      <c r="AG590" s="368"/>
      <c r="AH590" s="368"/>
      <c r="AI590" s="368"/>
      <c r="AJ590" s="368"/>
      <c r="AK590" s="368"/>
      <c r="AL590" s="368"/>
      <c r="AM590" s="368"/>
      <c r="AN590" s="368"/>
      <c r="AO590" s="368"/>
      <c r="AP590" s="368"/>
      <c r="AQ590" s="368"/>
      <c r="AR590" s="368"/>
      <c r="AS590" s="368"/>
      <c r="AT590" s="368"/>
      <c r="AU590" s="368"/>
      <c r="AV590" s="368"/>
      <c r="AW590" s="368"/>
      <c r="AX590" s="368"/>
      <c r="AY590" s="368"/>
      <c r="AZ590" s="368"/>
      <c r="BA590" s="368"/>
      <c r="BB590" s="368"/>
      <c r="BC590" s="368"/>
      <c r="BD590" s="368"/>
      <c r="BE590" s="368"/>
      <c r="BF590" s="369"/>
    </row>
    <row r="591" spans="1:58" s="367" customFormat="1" ht="15.75">
      <c r="A591" s="1129"/>
      <c r="B591" s="868"/>
      <c r="C591" s="1125"/>
      <c r="D591" s="84">
        <v>2027</v>
      </c>
      <c r="E591" s="85">
        <f t="shared" si="208"/>
        <v>0</v>
      </c>
      <c r="F591" s="85">
        <f t="shared" si="208"/>
        <v>0</v>
      </c>
      <c r="G591" s="85">
        <f t="shared" si="208"/>
        <v>0</v>
      </c>
      <c r="H591" s="85">
        <f t="shared" si="208"/>
        <v>0</v>
      </c>
      <c r="I591" s="85">
        <f t="shared" si="208"/>
        <v>0</v>
      </c>
      <c r="J591" s="85">
        <f t="shared" si="208"/>
        <v>0</v>
      </c>
      <c r="K591" s="76">
        <v>0</v>
      </c>
      <c r="L591" s="497">
        <f t="shared" si="205"/>
        <v>0</v>
      </c>
      <c r="M591" s="185"/>
      <c r="N591" s="476"/>
      <c r="O591" s="301"/>
      <c r="P591" s="541"/>
      <c r="Q591" s="368"/>
      <c r="R591" s="368"/>
      <c r="S591" s="368"/>
      <c r="T591" s="368"/>
      <c r="U591" s="368"/>
      <c r="V591" s="368"/>
      <c r="W591" s="368"/>
      <c r="X591" s="368"/>
      <c r="Y591" s="368"/>
      <c r="Z591" s="368"/>
      <c r="AA591" s="368"/>
      <c r="AB591" s="368"/>
      <c r="AC591" s="368"/>
      <c r="AD591" s="368"/>
      <c r="AE591" s="368"/>
      <c r="AF591" s="368"/>
      <c r="AG591" s="368"/>
      <c r="AH591" s="368"/>
      <c r="AI591" s="368"/>
      <c r="AJ591" s="368"/>
      <c r="AK591" s="368"/>
      <c r="AL591" s="368"/>
      <c r="AM591" s="368"/>
      <c r="AN591" s="368"/>
      <c r="AO591" s="368"/>
      <c r="AP591" s="368"/>
      <c r="AQ591" s="368"/>
      <c r="AR591" s="368"/>
      <c r="AS591" s="368"/>
      <c r="AT591" s="368"/>
      <c r="AU591" s="368"/>
      <c r="AV591" s="368"/>
      <c r="AW591" s="368"/>
      <c r="AX591" s="368"/>
      <c r="AY591" s="368"/>
      <c r="AZ591" s="368"/>
      <c r="BA591" s="368"/>
      <c r="BB591" s="368"/>
      <c r="BC591" s="368"/>
      <c r="BD591" s="368"/>
      <c r="BE591" s="368"/>
      <c r="BF591" s="369"/>
    </row>
    <row r="592" spans="1:58" s="367" customFormat="1" ht="15.75">
      <c r="A592" s="1129"/>
      <c r="B592" s="868"/>
      <c r="C592" s="1125"/>
      <c r="D592" s="84">
        <v>2028</v>
      </c>
      <c r="E592" s="85">
        <f t="shared" si="208"/>
        <v>0</v>
      </c>
      <c r="F592" s="85">
        <f t="shared" si="208"/>
        <v>0</v>
      </c>
      <c r="G592" s="85">
        <f t="shared" si="208"/>
        <v>0</v>
      </c>
      <c r="H592" s="85">
        <f t="shared" si="208"/>
        <v>0</v>
      </c>
      <c r="I592" s="85">
        <f t="shared" si="208"/>
        <v>0</v>
      </c>
      <c r="J592" s="85">
        <f t="shared" si="208"/>
        <v>0</v>
      </c>
      <c r="K592" s="76">
        <v>0</v>
      </c>
      <c r="L592" s="497">
        <f t="shared" si="205"/>
        <v>0</v>
      </c>
      <c r="M592" s="185"/>
      <c r="N592" s="476"/>
      <c r="O592" s="301"/>
      <c r="P592" s="541"/>
      <c r="Q592" s="368"/>
      <c r="R592" s="368"/>
      <c r="S592" s="368"/>
      <c r="T592" s="368"/>
      <c r="U592" s="368"/>
      <c r="V592" s="368"/>
      <c r="W592" s="368"/>
      <c r="X592" s="368"/>
      <c r="Y592" s="368"/>
      <c r="Z592" s="368"/>
      <c r="AA592" s="368"/>
      <c r="AB592" s="368"/>
      <c r="AC592" s="368"/>
      <c r="AD592" s="368"/>
      <c r="AE592" s="368"/>
      <c r="AF592" s="368"/>
      <c r="AG592" s="368"/>
      <c r="AH592" s="368"/>
      <c r="AI592" s="368"/>
      <c r="AJ592" s="368"/>
      <c r="AK592" s="368"/>
      <c r="AL592" s="368"/>
      <c r="AM592" s="368"/>
      <c r="AN592" s="368"/>
      <c r="AO592" s="368"/>
      <c r="AP592" s="368"/>
      <c r="AQ592" s="368"/>
      <c r="AR592" s="368"/>
      <c r="AS592" s="368"/>
      <c r="AT592" s="368"/>
      <c r="AU592" s="368"/>
      <c r="AV592" s="368"/>
      <c r="AW592" s="368"/>
      <c r="AX592" s="368"/>
      <c r="AY592" s="368"/>
      <c r="AZ592" s="368"/>
      <c r="BA592" s="368"/>
      <c r="BB592" s="368"/>
      <c r="BC592" s="368"/>
      <c r="BD592" s="368"/>
      <c r="BE592" s="368"/>
      <c r="BF592" s="369"/>
    </row>
    <row r="593" spans="1:58" s="367" customFormat="1" ht="15.75">
      <c r="A593" s="1129"/>
      <c r="B593" s="868"/>
      <c r="C593" s="1125"/>
      <c r="D593" s="84">
        <v>2029</v>
      </c>
      <c r="E593" s="85">
        <f t="shared" si="208"/>
        <v>0</v>
      </c>
      <c r="F593" s="85">
        <f t="shared" si="208"/>
        <v>0</v>
      </c>
      <c r="G593" s="85">
        <f t="shared" si="208"/>
        <v>0</v>
      </c>
      <c r="H593" s="85">
        <f t="shared" si="208"/>
        <v>0</v>
      </c>
      <c r="I593" s="85">
        <f t="shared" si="208"/>
        <v>0</v>
      </c>
      <c r="J593" s="85">
        <f t="shared" si="208"/>
        <v>0</v>
      </c>
      <c r="K593" s="76">
        <v>0</v>
      </c>
      <c r="L593" s="497">
        <f t="shared" si="205"/>
        <v>0</v>
      </c>
      <c r="M593" s="185"/>
      <c r="N593" s="476"/>
      <c r="O593" s="301"/>
      <c r="P593" s="541"/>
      <c r="Q593" s="368"/>
      <c r="R593" s="368"/>
      <c r="S593" s="368"/>
      <c r="T593" s="368"/>
      <c r="U593" s="368"/>
      <c r="V593" s="368"/>
      <c r="W593" s="368"/>
      <c r="X593" s="368"/>
      <c r="Y593" s="368"/>
      <c r="Z593" s="368"/>
      <c r="AA593" s="368"/>
      <c r="AB593" s="368"/>
      <c r="AC593" s="368"/>
      <c r="AD593" s="368"/>
      <c r="AE593" s="368"/>
      <c r="AF593" s="368"/>
      <c r="AG593" s="368"/>
      <c r="AH593" s="368"/>
      <c r="AI593" s="368"/>
      <c r="AJ593" s="368"/>
      <c r="AK593" s="368"/>
      <c r="AL593" s="368"/>
      <c r="AM593" s="368"/>
      <c r="AN593" s="368"/>
      <c r="AO593" s="368"/>
      <c r="AP593" s="368"/>
      <c r="AQ593" s="368"/>
      <c r="AR593" s="368"/>
      <c r="AS593" s="368"/>
      <c r="AT593" s="368"/>
      <c r="AU593" s="368"/>
      <c r="AV593" s="368"/>
      <c r="AW593" s="368"/>
      <c r="AX593" s="368"/>
      <c r="AY593" s="368"/>
      <c r="AZ593" s="368"/>
      <c r="BA593" s="368"/>
      <c r="BB593" s="368"/>
      <c r="BC593" s="368"/>
      <c r="BD593" s="368"/>
      <c r="BE593" s="368"/>
      <c r="BF593" s="369"/>
    </row>
    <row r="594" spans="1:58" s="367" customFormat="1" ht="15.75">
      <c r="A594" s="1129"/>
      <c r="B594" s="869"/>
      <c r="C594" s="1125"/>
      <c r="D594" s="84">
        <v>2030</v>
      </c>
      <c r="E594" s="85">
        <f t="shared" si="208"/>
        <v>0</v>
      </c>
      <c r="F594" s="85">
        <f t="shared" si="208"/>
        <v>0</v>
      </c>
      <c r="G594" s="85">
        <f t="shared" si="208"/>
        <v>0</v>
      </c>
      <c r="H594" s="85">
        <f t="shared" si="208"/>
        <v>0</v>
      </c>
      <c r="I594" s="85">
        <f t="shared" si="208"/>
        <v>0</v>
      </c>
      <c r="J594" s="85">
        <f t="shared" si="208"/>
        <v>0</v>
      </c>
      <c r="K594" s="76">
        <v>0</v>
      </c>
      <c r="L594" s="497">
        <f t="shared" si="205"/>
        <v>0</v>
      </c>
      <c r="M594" s="185"/>
      <c r="N594" s="476"/>
      <c r="O594" s="301"/>
      <c r="P594" s="541"/>
      <c r="Q594" s="368"/>
      <c r="R594" s="368"/>
      <c r="S594" s="368"/>
      <c r="T594" s="368"/>
      <c r="U594" s="368"/>
      <c r="V594" s="368"/>
      <c r="W594" s="368"/>
      <c r="X594" s="368"/>
      <c r="Y594" s="368"/>
      <c r="Z594" s="368"/>
      <c r="AA594" s="368"/>
      <c r="AB594" s="368"/>
      <c r="AC594" s="368"/>
      <c r="AD594" s="368"/>
      <c r="AE594" s="368"/>
      <c r="AF594" s="368"/>
      <c r="AG594" s="368"/>
      <c r="AH594" s="368"/>
      <c r="AI594" s="368"/>
      <c r="AJ594" s="368"/>
      <c r="AK594" s="368"/>
      <c r="AL594" s="368"/>
      <c r="AM594" s="368"/>
      <c r="AN594" s="368"/>
      <c r="AO594" s="368"/>
      <c r="AP594" s="368"/>
      <c r="AQ594" s="368"/>
      <c r="AR594" s="368"/>
      <c r="AS594" s="368"/>
      <c r="AT594" s="368"/>
      <c r="AU594" s="368"/>
      <c r="AV594" s="368"/>
      <c r="AW594" s="368"/>
      <c r="AX594" s="368"/>
      <c r="AY594" s="368"/>
      <c r="AZ594" s="368"/>
      <c r="BA594" s="368"/>
      <c r="BB594" s="368"/>
      <c r="BC594" s="368"/>
      <c r="BD594" s="368"/>
      <c r="BE594" s="368"/>
      <c r="BF594" s="369"/>
    </row>
    <row r="595" spans="1:58" s="51" customFormat="1" ht="21" customHeight="1">
      <c r="A595" s="794" t="s">
        <v>699</v>
      </c>
      <c r="B595" s="867" t="s">
        <v>700</v>
      </c>
      <c r="C595" s="464"/>
      <c r="D595" s="84" t="s">
        <v>16</v>
      </c>
      <c r="E595" s="347">
        <f t="shared" ref="E595:J595" si="209">E596+E597+E598+E599+E600+E601+E602+E603+E604+E605+E606+E607</f>
        <v>3.3210000000000002</v>
      </c>
      <c r="F595" s="347">
        <f t="shared" si="209"/>
        <v>0</v>
      </c>
      <c r="G595" s="347">
        <f t="shared" si="209"/>
        <v>1.3180000000000001</v>
      </c>
      <c r="H595" s="347">
        <f t="shared" si="209"/>
        <v>1.0069999999999999</v>
      </c>
      <c r="I595" s="347">
        <f t="shared" si="209"/>
        <v>0.996</v>
      </c>
      <c r="J595" s="341">
        <f t="shared" si="209"/>
        <v>0</v>
      </c>
      <c r="K595" s="76">
        <v>0</v>
      </c>
      <c r="L595" s="497">
        <f t="shared" si="205"/>
        <v>3.3210000000000002</v>
      </c>
      <c r="M595" s="185"/>
      <c r="N595" s="476"/>
      <c r="O595" s="301"/>
      <c r="P595" s="1121" t="s">
        <v>701</v>
      </c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49"/>
      <c r="AT595" s="49"/>
      <c r="AU595" s="49"/>
      <c r="AV595" s="49"/>
      <c r="AW595" s="49"/>
      <c r="AX595" s="49"/>
      <c r="AY595" s="49"/>
      <c r="AZ595" s="49"/>
      <c r="BA595" s="49"/>
      <c r="BB595" s="49"/>
      <c r="BC595" s="49"/>
      <c r="BD595" s="49"/>
      <c r="BE595" s="49"/>
      <c r="BF595" s="68"/>
    </row>
    <row r="596" spans="1:58" s="51" customFormat="1" ht="12.75" customHeight="1">
      <c r="A596" s="1126"/>
      <c r="B596" s="868"/>
      <c r="C596" s="881" t="s">
        <v>702</v>
      </c>
      <c r="D596" s="62">
        <v>2019</v>
      </c>
      <c r="E596" s="63">
        <f t="shared" ref="E596:E607" si="210">F596+G596+H596+I596+J596</f>
        <v>3.3210000000000002</v>
      </c>
      <c r="F596" s="63">
        <v>0</v>
      </c>
      <c r="G596" s="63">
        <v>1.3180000000000001</v>
      </c>
      <c r="H596" s="63">
        <v>1.0069999999999999</v>
      </c>
      <c r="I596" s="63">
        <v>0.996</v>
      </c>
      <c r="J596" s="63">
        <v>0</v>
      </c>
      <c r="K596" s="76">
        <v>0</v>
      </c>
      <c r="L596" s="497">
        <f t="shared" si="205"/>
        <v>3.3210000000000002</v>
      </c>
      <c r="M596" s="185"/>
      <c r="N596" s="476"/>
      <c r="O596" s="301"/>
      <c r="P596" s="116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  <c r="AT596" s="49"/>
      <c r="AU596" s="49"/>
      <c r="AV596" s="49"/>
      <c r="AW596" s="49"/>
      <c r="AX596" s="49"/>
      <c r="AY596" s="49"/>
      <c r="AZ596" s="49"/>
      <c r="BA596" s="49"/>
      <c r="BB596" s="49"/>
      <c r="BC596" s="49"/>
      <c r="BD596" s="49"/>
      <c r="BE596" s="49"/>
      <c r="BF596" s="68"/>
    </row>
    <row r="597" spans="1:58" s="51" customFormat="1">
      <c r="A597" s="1126"/>
      <c r="B597" s="868"/>
      <c r="C597" s="882"/>
      <c r="D597" s="62">
        <v>2020</v>
      </c>
      <c r="E597" s="63">
        <f t="shared" si="210"/>
        <v>0</v>
      </c>
      <c r="F597" s="63">
        <v>0</v>
      </c>
      <c r="G597" s="63">
        <v>0</v>
      </c>
      <c r="H597" s="63">
        <v>0</v>
      </c>
      <c r="I597" s="63">
        <v>0</v>
      </c>
      <c r="J597" s="63">
        <v>0</v>
      </c>
      <c r="K597" s="76">
        <v>0</v>
      </c>
      <c r="L597" s="497">
        <f t="shared" si="205"/>
        <v>0</v>
      </c>
      <c r="M597" s="185"/>
      <c r="N597" s="476"/>
      <c r="O597" s="301"/>
      <c r="P597" s="116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  <c r="AT597" s="49"/>
      <c r="AU597" s="49"/>
      <c r="AV597" s="49"/>
      <c r="AW597" s="49"/>
      <c r="AX597" s="49"/>
      <c r="AY597" s="49"/>
      <c r="AZ597" s="49"/>
      <c r="BA597" s="49"/>
      <c r="BB597" s="49"/>
      <c r="BC597" s="49"/>
      <c r="BD597" s="49"/>
      <c r="BE597" s="49"/>
      <c r="BF597" s="68"/>
    </row>
    <row r="598" spans="1:58" s="51" customFormat="1">
      <c r="A598" s="1126"/>
      <c r="B598" s="868"/>
      <c r="C598" s="882"/>
      <c r="D598" s="62">
        <v>2021</v>
      </c>
      <c r="E598" s="63">
        <f t="shared" si="210"/>
        <v>0</v>
      </c>
      <c r="F598" s="63">
        <v>0</v>
      </c>
      <c r="G598" s="63">
        <v>0</v>
      </c>
      <c r="H598" s="63">
        <v>0</v>
      </c>
      <c r="I598" s="63">
        <v>0</v>
      </c>
      <c r="J598" s="63">
        <v>0</v>
      </c>
      <c r="K598" s="76">
        <v>0</v>
      </c>
      <c r="L598" s="497">
        <f t="shared" si="205"/>
        <v>0</v>
      </c>
      <c r="M598" s="185"/>
      <c r="N598" s="476"/>
      <c r="O598" s="301"/>
      <c r="P598" s="116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  <c r="AR598" s="49"/>
      <c r="AS598" s="49"/>
      <c r="AT598" s="49"/>
      <c r="AU598" s="49"/>
      <c r="AV598" s="49"/>
      <c r="AW598" s="49"/>
      <c r="AX598" s="49"/>
      <c r="AY598" s="49"/>
      <c r="AZ598" s="49"/>
      <c r="BA598" s="49"/>
      <c r="BB598" s="49"/>
      <c r="BC598" s="49"/>
      <c r="BD598" s="49"/>
      <c r="BE598" s="49"/>
      <c r="BF598" s="68"/>
    </row>
    <row r="599" spans="1:58" s="51" customFormat="1">
      <c r="A599" s="1126"/>
      <c r="B599" s="868"/>
      <c r="C599" s="882"/>
      <c r="D599" s="62">
        <v>2022</v>
      </c>
      <c r="E599" s="63">
        <f t="shared" si="210"/>
        <v>0</v>
      </c>
      <c r="F599" s="63">
        <v>0</v>
      </c>
      <c r="G599" s="63">
        <v>0</v>
      </c>
      <c r="H599" s="63">
        <v>0</v>
      </c>
      <c r="I599" s="63">
        <v>0</v>
      </c>
      <c r="J599" s="63">
        <v>0</v>
      </c>
      <c r="K599" s="76">
        <v>0</v>
      </c>
      <c r="L599" s="497">
        <f t="shared" si="205"/>
        <v>0</v>
      </c>
      <c r="M599" s="185"/>
      <c r="N599" s="476"/>
      <c r="O599" s="301"/>
      <c r="P599" s="116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  <c r="AR599" s="49"/>
      <c r="AS599" s="49"/>
      <c r="AT599" s="49"/>
      <c r="AU599" s="49"/>
      <c r="AV599" s="49"/>
      <c r="AW599" s="49"/>
      <c r="AX599" s="49"/>
      <c r="AY599" s="49"/>
      <c r="AZ599" s="49"/>
      <c r="BA599" s="49"/>
      <c r="BB599" s="49"/>
      <c r="BC599" s="49"/>
      <c r="BD599" s="49"/>
      <c r="BE599" s="49"/>
      <c r="BF599" s="68"/>
    </row>
    <row r="600" spans="1:58" s="51" customFormat="1">
      <c r="A600" s="1126"/>
      <c r="B600" s="868"/>
      <c r="C600" s="882"/>
      <c r="D600" s="62">
        <v>2023</v>
      </c>
      <c r="E600" s="63">
        <f t="shared" si="210"/>
        <v>0</v>
      </c>
      <c r="F600" s="63">
        <v>0</v>
      </c>
      <c r="G600" s="63">
        <v>0</v>
      </c>
      <c r="H600" s="63">
        <v>0</v>
      </c>
      <c r="I600" s="63">
        <v>0</v>
      </c>
      <c r="J600" s="63">
        <v>0</v>
      </c>
      <c r="K600" s="76">
        <v>0</v>
      </c>
      <c r="L600" s="497">
        <f t="shared" si="205"/>
        <v>0</v>
      </c>
      <c r="M600" s="185"/>
      <c r="N600" s="476"/>
      <c r="O600" s="301"/>
      <c r="P600" s="116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  <c r="AR600" s="49"/>
      <c r="AS600" s="49"/>
      <c r="AT600" s="49"/>
      <c r="AU600" s="49"/>
      <c r="AV600" s="49"/>
      <c r="AW600" s="49"/>
      <c r="AX600" s="49"/>
      <c r="AY600" s="49"/>
      <c r="AZ600" s="49"/>
      <c r="BA600" s="49"/>
      <c r="BB600" s="49"/>
      <c r="BC600" s="49"/>
      <c r="BD600" s="49"/>
      <c r="BE600" s="49"/>
      <c r="BF600" s="68"/>
    </row>
    <row r="601" spans="1:58" s="51" customFormat="1">
      <c r="A601" s="1126"/>
      <c r="B601" s="868"/>
      <c r="C601" s="882"/>
      <c r="D601" s="62">
        <v>2024</v>
      </c>
      <c r="E601" s="63">
        <f t="shared" si="210"/>
        <v>0</v>
      </c>
      <c r="F601" s="63">
        <v>0</v>
      </c>
      <c r="G601" s="63">
        <v>0</v>
      </c>
      <c r="H601" s="63">
        <v>0</v>
      </c>
      <c r="I601" s="63">
        <v>0</v>
      </c>
      <c r="J601" s="63">
        <v>0</v>
      </c>
      <c r="K601" s="76">
        <v>0</v>
      </c>
      <c r="L601" s="497">
        <f t="shared" si="205"/>
        <v>0</v>
      </c>
      <c r="M601" s="185"/>
      <c r="N601" s="476"/>
      <c r="O601" s="301"/>
      <c r="P601" s="116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  <c r="AR601" s="49"/>
      <c r="AS601" s="49"/>
      <c r="AT601" s="49"/>
      <c r="AU601" s="49"/>
      <c r="AV601" s="49"/>
      <c r="AW601" s="49"/>
      <c r="AX601" s="49"/>
      <c r="AY601" s="49"/>
      <c r="AZ601" s="49"/>
      <c r="BA601" s="49"/>
      <c r="BB601" s="49"/>
      <c r="BC601" s="49"/>
      <c r="BD601" s="49"/>
      <c r="BE601" s="49"/>
      <c r="BF601" s="68"/>
    </row>
    <row r="602" spans="1:58" s="51" customFormat="1">
      <c r="A602" s="1126"/>
      <c r="B602" s="868"/>
      <c r="C602" s="882"/>
      <c r="D602" s="62">
        <v>2025</v>
      </c>
      <c r="E602" s="63">
        <f t="shared" si="210"/>
        <v>0</v>
      </c>
      <c r="F602" s="63">
        <v>0</v>
      </c>
      <c r="G602" s="63">
        <v>0</v>
      </c>
      <c r="H602" s="63">
        <v>0</v>
      </c>
      <c r="I602" s="63">
        <v>0</v>
      </c>
      <c r="J602" s="63">
        <v>0</v>
      </c>
      <c r="K602" s="76">
        <v>0</v>
      </c>
      <c r="L602" s="497">
        <f t="shared" si="205"/>
        <v>0</v>
      </c>
      <c r="M602" s="185"/>
      <c r="N602" s="476"/>
      <c r="O602" s="301"/>
      <c r="P602" s="116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  <c r="AR602" s="49"/>
      <c r="AS602" s="49"/>
      <c r="AT602" s="49"/>
      <c r="AU602" s="49"/>
      <c r="AV602" s="49"/>
      <c r="AW602" s="49"/>
      <c r="AX602" s="49"/>
      <c r="AY602" s="49"/>
      <c r="AZ602" s="49"/>
      <c r="BA602" s="49"/>
      <c r="BB602" s="49"/>
      <c r="BC602" s="49"/>
      <c r="BD602" s="49"/>
      <c r="BE602" s="49"/>
      <c r="BF602" s="68"/>
    </row>
    <row r="603" spans="1:58" s="51" customFormat="1" ht="12.75" customHeight="1">
      <c r="A603" s="1126"/>
      <c r="B603" s="868"/>
      <c r="C603" s="1019" t="s">
        <v>703</v>
      </c>
      <c r="D603" s="62">
        <v>2026</v>
      </c>
      <c r="E603" s="63">
        <f t="shared" si="210"/>
        <v>0</v>
      </c>
      <c r="F603" s="63">
        <v>0</v>
      </c>
      <c r="G603" s="63">
        <v>0</v>
      </c>
      <c r="H603" s="63">
        <v>0</v>
      </c>
      <c r="I603" s="63">
        <v>0</v>
      </c>
      <c r="J603" s="63">
        <v>0</v>
      </c>
      <c r="K603" s="76">
        <v>0</v>
      </c>
      <c r="L603" s="497">
        <f t="shared" si="205"/>
        <v>0</v>
      </c>
      <c r="M603" s="185"/>
      <c r="N603" s="476"/>
      <c r="O603" s="301"/>
      <c r="P603" s="116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49"/>
      <c r="AU603" s="49"/>
      <c r="AV603" s="49"/>
      <c r="AW603" s="49"/>
      <c r="AX603" s="49"/>
      <c r="AY603" s="49"/>
      <c r="AZ603" s="49"/>
      <c r="BA603" s="49"/>
      <c r="BB603" s="49"/>
      <c r="BC603" s="49"/>
      <c r="BD603" s="49"/>
      <c r="BE603" s="49"/>
      <c r="BF603" s="68"/>
    </row>
    <row r="604" spans="1:58" s="51" customFormat="1">
      <c r="A604" s="1126"/>
      <c r="B604" s="868"/>
      <c r="C604" s="1019"/>
      <c r="D604" s="62">
        <v>2027</v>
      </c>
      <c r="E604" s="63">
        <f t="shared" si="210"/>
        <v>0</v>
      </c>
      <c r="F604" s="63">
        <v>0</v>
      </c>
      <c r="G604" s="63">
        <v>0</v>
      </c>
      <c r="H604" s="63">
        <v>0</v>
      </c>
      <c r="I604" s="63">
        <v>0</v>
      </c>
      <c r="J604" s="63">
        <v>0</v>
      </c>
      <c r="K604" s="76">
        <v>0</v>
      </c>
      <c r="L604" s="497">
        <f t="shared" si="205"/>
        <v>0</v>
      </c>
      <c r="M604" s="185"/>
      <c r="N604" s="476"/>
      <c r="O604" s="301"/>
      <c r="P604" s="116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  <c r="AR604" s="49"/>
      <c r="AS604" s="49"/>
      <c r="AT604" s="49"/>
      <c r="AU604" s="49"/>
      <c r="AV604" s="49"/>
      <c r="AW604" s="49"/>
      <c r="AX604" s="49"/>
      <c r="AY604" s="49"/>
      <c r="AZ604" s="49"/>
      <c r="BA604" s="49"/>
      <c r="BB604" s="49"/>
      <c r="BC604" s="49"/>
      <c r="BD604" s="49"/>
      <c r="BE604" s="49"/>
      <c r="BF604" s="68"/>
    </row>
    <row r="605" spans="1:58" s="51" customFormat="1">
      <c r="A605" s="1126"/>
      <c r="B605" s="868"/>
      <c r="C605" s="1019"/>
      <c r="D605" s="62">
        <v>2028</v>
      </c>
      <c r="E605" s="63">
        <f t="shared" si="210"/>
        <v>0</v>
      </c>
      <c r="F605" s="63">
        <v>0</v>
      </c>
      <c r="G605" s="63">
        <v>0</v>
      </c>
      <c r="H605" s="63">
        <v>0</v>
      </c>
      <c r="I605" s="63">
        <v>0</v>
      </c>
      <c r="J605" s="63">
        <v>0</v>
      </c>
      <c r="K605" s="76">
        <v>0</v>
      </c>
      <c r="L605" s="497">
        <f t="shared" si="205"/>
        <v>0</v>
      </c>
      <c r="M605" s="185"/>
      <c r="N605" s="476"/>
      <c r="O605" s="301"/>
      <c r="P605" s="116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  <c r="AR605" s="49"/>
      <c r="AS605" s="49"/>
      <c r="AT605" s="49"/>
      <c r="AU605" s="49"/>
      <c r="AV605" s="49"/>
      <c r="AW605" s="49"/>
      <c r="AX605" s="49"/>
      <c r="AY605" s="49"/>
      <c r="AZ605" s="49"/>
      <c r="BA605" s="49"/>
      <c r="BB605" s="49"/>
      <c r="BC605" s="49"/>
      <c r="BD605" s="49"/>
      <c r="BE605" s="49"/>
      <c r="BF605" s="68"/>
    </row>
    <row r="606" spans="1:58" s="51" customFormat="1">
      <c r="A606" s="1126"/>
      <c r="B606" s="868"/>
      <c r="C606" s="1019"/>
      <c r="D606" s="62">
        <v>2029</v>
      </c>
      <c r="E606" s="63">
        <f t="shared" si="210"/>
        <v>0</v>
      </c>
      <c r="F606" s="63">
        <v>0</v>
      </c>
      <c r="G606" s="63">
        <v>0</v>
      </c>
      <c r="H606" s="63">
        <v>0</v>
      </c>
      <c r="I606" s="63">
        <v>0</v>
      </c>
      <c r="J606" s="63">
        <v>0</v>
      </c>
      <c r="K606" s="76">
        <v>0</v>
      </c>
      <c r="L606" s="497">
        <f t="shared" si="205"/>
        <v>0</v>
      </c>
      <c r="M606" s="185"/>
      <c r="N606" s="476"/>
      <c r="O606" s="301"/>
      <c r="P606" s="116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  <c r="AR606" s="49"/>
      <c r="AS606" s="49"/>
      <c r="AT606" s="49"/>
      <c r="AU606" s="49"/>
      <c r="AV606" s="49"/>
      <c r="AW606" s="49"/>
      <c r="AX606" s="49"/>
      <c r="AY606" s="49"/>
      <c r="AZ606" s="49"/>
      <c r="BA606" s="49"/>
      <c r="BB606" s="49"/>
      <c r="BC606" s="49"/>
      <c r="BD606" s="49"/>
      <c r="BE606" s="49"/>
      <c r="BF606" s="68"/>
    </row>
    <row r="607" spans="1:58" s="51" customFormat="1" ht="12.75" customHeight="1">
      <c r="A607" s="1127"/>
      <c r="B607" s="869"/>
      <c r="C607" s="1019"/>
      <c r="D607" s="62">
        <v>2030</v>
      </c>
      <c r="E607" s="63">
        <f t="shared" si="210"/>
        <v>0</v>
      </c>
      <c r="F607" s="63">
        <v>0</v>
      </c>
      <c r="G607" s="63">
        <v>0</v>
      </c>
      <c r="H607" s="63">
        <v>0</v>
      </c>
      <c r="I607" s="63">
        <v>0</v>
      </c>
      <c r="J607" s="63">
        <v>0</v>
      </c>
      <c r="K607" s="76">
        <v>0</v>
      </c>
      <c r="L607" s="497">
        <f t="shared" si="205"/>
        <v>0</v>
      </c>
      <c r="M607" s="185"/>
      <c r="N607" s="476"/>
      <c r="O607" s="301"/>
      <c r="P607" s="116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  <c r="AR607" s="49"/>
      <c r="AS607" s="49"/>
      <c r="AT607" s="49"/>
      <c r="AU607" s="49"/>
      <c r="AV607" s="49"/>
      <c r="AW607" s="49"/>
      <c r="AX607" s="49"/>
      <c r="AY607" s="49"/>
      <c r="AZ607" s="49"/>
      <c r="BA607" s="49"/>
      <c r="BB607" s="49"/>
      <c r="BC607" s="49"/>
      <c r="BD607" s="49"/>
      <c r="BE607" s="49"/>
      <c r="BF607" s="68"/>
    </row>
    <row r="608" spans="1:58" s="51" customFormat="1" ht="16.5" customHeight="1">
      <c r="A608" s="1149">
        <v>11</v>
      </c>
      <c r="B608" s="929" t="s">
        <v>704</v>
      </c>
      <c r="C608" s="1170"/>
      <c r="D608" s="84" t="s">
        <v>16</v>
      </c>
      <c r="E608" s="85">
        <f t="shared" ref="E608:J609" si="211">E615</f>
        <v>4.5951000000000004</v>
      </c>
      <c r="F608" s="85">
        <f t="shared" si="211"/>
        <v>4.5951000000000004</v>
      </c>
      <c r="G608" s="85">
        <f t="shared" si="211"/>
        <v>0</v>
      </c>
      <c r="H608" s="85">
        <f t="shared" si="211"/>
        <v>0</v>
      </c>
      <c r="I608" s="85">
        <f t="shared" si="211"/>
        <v>0</v>
      </c>
      <c r="J608" s="85">
        <f t="shared" si="211"/>
        <v>0</v>
      </c>
      <c r="K608" s="76">
        <v>0</v>
      </c>
      <c r="L608" s="497">
        <f t="shared" si="205"/>
        <v>4.5951000000000004</v>
      </c>
      <c r="M608" s="185"/>
      <c r="N608" s="476"/>
      <c r="O608" s="301"/>
      <c r="P608" s="190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  <c r="AR608" s="49"/>
      <c r="AS608" s="49"/>
      <c r="AT608" s="49"/>
      <c r="AU608" s="49"/>
      <c r="AV608" s="49"/>
      <c r="AW608" s="49"/>
      <c r="AX608" s="49"/>
      <c r="AY608" s="49"/>
      <c r="AZ608" s="49"/>
      <c r="BA608" s="49"/>
      <c r="BB608" s="49"/>
      <c r="BC608" s="49"/>
      <c r="BD608" s="49"/>
      <c r="BE608" s="49"/>
      <c r="BF608" s="68"/>
    </row>
    <row r="609" spans="1:58" s="51" customFormat="1" ht="16.5" customHeight="1">
      <c r="A609" s="1126"/>
      <c r="B609" s="868"/>
      <c r="C609" s="1125"/>
      <c r="D609" s="62">
        <v>2020</v>
      </c>
      <c r="E609" s="63">
        <f t="shared" si="211"/>
        <v>4.5951000000000004</v>
      </c>
      <c r="F609" s="63">
        <f t="shared" si="211"/>
        <v>4.5951000000000004</v>
      </c>
      <c r="G609" s="63">
        <f t="shared" si="211"/>
        <v>0</v>
      </c>
      <c r="H609" s="63">
        <f t="shared" si="211"/>
        <v>0</v>
      </c>
      <c r="I609" s="63">
        <f t="shared" si="211"/>
        <v>0</v>
      </c>
      <c r="J609" s="63">
        <f t="shared" si="211"/>
        <v>0</v>
      </c>
      <c r="K609" s="76">
        <v>0</v>
      </c>
      <c r="L609" s="497">
        <f t="shared" si="205"/>
        <v>4.5951000000000004</v>
      </c>
      <c r="M609" s="185"/>
      <c r="N609" s="476"/>
      <c r="O609" s="301"/>
      <c r="P609" s="190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  <c r="AR609" s="49"/>
      <c r="AS609" s="49"/>
      <c r="AT609" s="49"/>
      <c r="AU609" s="49"/>
      <c r="AV609" s="49"/>
      <c r="AW609" s="49"/>
      <c r="AX609" s="49"/>
      <c r="AY609" s="49"/>
      <c r="AZ609" s="49"/>
      <c r="BA609" s="49"/>
      <c r="BB609" s="49"/>
      <c r="BC609" s="49"/>
      <c r="BD609" s="49"/>
      <c r="BE609" s="49"/>
      <c r="BF609" s="68"/>
    </row>
    <row r="610" spans="1:58" s="51" customFormat="1" ht="16.5" customHeight="1">
      <c r="A610" s="1126"/>
      <c r="B610" s="868"/>
      <c r="C610" s="1125"/>
      <c r="D610" s="62">
        <v>2021</v>
      </c>
      <c r="E610" s="63">
        <f t="shared" ref="E610:J614" si="212">E618</f>
        <v>1.8812</v>
      </c>
      <c r="F610" s="63">
        <f t="shared" si="212"/>
        <v>1.8812</v>
      </c>
      <c r="G610" s="63">
        <f t="shared" si="212"/>
        <v>0</v>
      </c>
      <c r="H610" s="63">
        <f t="shared" si="212"/>
        <v>0</v>
      </c>
      <c r="I610" s="63">
        <f t="shared" si="212"/>
        <v>0</v>
      </c>
      <c r="J610" s="63">
        <f t="shared" si="212"/>
        <v>0</v>
      </c>
      <c r="K610" s="76">
        <v>0</v>
      </c>
      <c r="L610" s="497">
        <f t="shared" si="205"/>
        <v>1.8812</v>
      </c>
      <c r="M610" s="185"/>
      <c r="N610" s="476"/>
      <c r="O610" s="301"/>
      <c r="P610" s="192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  <c r="AT610" s="49"/>
      <c r="AU610" s="49"/>
      <c r="AV610" s="49"/>
      <c r="AW610" s="49"/>
      <c r="AX610" s="49"/>
      <c r="AY610" s="49"/>
      <c r="AZ610" s="49"/>
      <c r="BA610" s="49"/>
      <c r="BB610" s="49"/>
      <c r="BC610" s="49"/>
      <c r="BD610" s="49"/>
      <c r="BE610" s="49"/>
      <c r="BF610" s="68"/>
    </row>
    <row r="611" spans="1:58" s="51" customFormat="1" ht="16.5" customHeight="1">
      <c r="A611" s="1126"/>
      <c r="B611" s="868"/>
      <c r="C611" s="1125"/>
      <c r="D611" s="62">
        <v>2022</v>
      </c>
      <c r="E611" s="63">
        <f t="shared" si="212"/>
        <v>0</v>
      </c>
      <c r="F611" s="63">
        <f t="shared" si="212"/>
        <v>0</v>
      </c>
      <c r="G611" s="63">
        <f t="shared" si="212"/>
        <v>0</v>
      </c>
      <c r="H611" s="63">
        <f t="shared" si="212"/>
        <v>0</v>
      </c>
      <c r="I611" s="63">
        <f t="shared" si="212"/>
        <v>0</v>
      </c>
      <c r="J611" s="63">
        <f t="shared" si="212"/>
        <v>0</v>
      </c>
      <c r="K611" s="76">
        <v>0</v>
      </c>
      <c r="L611" s="497">
        <f t="shared" si="205"/>
        <v>0</v>
      </c>
      <c r="M611" s="185"/>
      <c r="N611" s="476"/>
      <c r="O611" s="301"/>
      <c r="P611" s="47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49"/>
      <c r="AT611" s="49"/>
      <c r="AU611" s="49"/>
      <c r="AV611" s="49"/>
      <c r="AW611" s="49"/>
      <c r="AX611" s="49"/>
      <c r="AY611" s="49"/>
      <c r="AZ611" s="49"/>
      <c r="BA611" s="49"/>
      <c r="BB611" s="49"/>
      <c r="BC611" s="49"/>
      <c r="BD611" s="49"/>
      <c r="BE611" s="49"/>
      <c r="BF611" s="68"/>
    </row>
    <row r="612" spans="1:58" s="51" customFormat="1" ht="16.5" customHeight="1">
      <c r="A612" s="1126"/>
      <c r="B612" s="868"/>
      <c r="C612" s="1125"/>
      <c r="D612" s="62">
        <v>2023</v>
      </c>
      <c r="E612" s="63">
        <f t="shared" si="212"/>
        <v>0</v>
      </c>
      <c r="F612" s="63">
        <f t="shared" si="212"/>
        <v>0</v>
      </c>
      <c r="G612" s="63">
        <f t="shared" si="212"/>
        <v>0</v>
      </c>
      <c r="H612" s="63">
        <f t="shared" si="212"/>
        <v>0</v>
      </c>
      <c r="I612" s="63">
        <f t="shared" si="212"/>
        <v>0</v>
      </c>
      <c r="J612" s="63">
        <f t="shared" si="212"/>
        <v>0</v>
      </c>
      <c r="K612" s="76">
        <v>0</v>
      </c>
      <c r="L612" s="497">
        <f t="shared" si="205"/>
        <v>0</v>
      </c>
      <c r="M612" s="185"/>
      <c r="N612" s="476"/>
      <c r="O612" s="301"/>
      <c r="P612" s="47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  <c r="AR612" s="49"/>
      <c r="AS612" s="49"/>
      <c r="AT612" s="49"/>
      <c r="AU612" s="49"/>
      <c r="AV612" s="49"/>
      <c r="AW612" s="49"/>
      <c r="AX612" s="49"/>
      <c r="AY612" s="49"/>
      <c r="AZ612" s="49"/>
      <c r="BA612" s="49"/>
      <c r="BB612" s="49"/>
      <c r="BC612" s="49"/>
      <c r="BD612" s="49"/>
      <c r="BE612" s="49"/>
      <c r="BF612" s="68"/>
    </row>
    <row r="613" spans="1:58" s="51" customFormat="1" ht="16.5" customHeight="1">
      <c r="A613" s="1126"/>
      <c r="B613" s="868"/>
      <c r="C613" s="1125"/>
      <c r="D613" s="320">
        <v>2024</v>
      </c>
      <c r="E613" s="347">
        <f t="shared" si="212"/>
        <v>0</v>
      </c>
      <c r="F613" s="347">
        <f t="shared" si="212"/>
        <v>0</v>
      </c>
      <c r="G613" s="347">
        <f t="shared" si="212"/>
        <v>0</v>
      </c>
      <c r="H613" s="347">
        <f t="shared" si="212"/>
        <v>0</v>
      </c>
      <c r="I613" s="347">
        <f t="shared" si="212"/>
        <v>0</v>
      </c>
      <c r="J613" s="341">
        <f t="shared" si="212"/>
        <v>0</v>
      </c>
      <c r="K613" s="76">
        <v>0</v>
      </c>
      <c r="L613" s="497">
        <f t="shared" si="205"/>
        <v>0</v>
      </c>
      <c r="M613" s="185"/>
      <c r="N613" s="476"/>
      <c r="O613" s="301"/>
      <c r="P613" s="47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  <c r="AT613" s="49"/>
      <c r="AU613" s="49"/>
      <c r="AV613" s="49"/>
      <c r="AW613" s="49"/>
      <c r="AX613" s="49"/>
      <c r="AY613" s="49"/>
      <c r="AZ613" s="49"/>
      <c r="BA613" s="49"/>
      <c r="BB613" s="49"/>
      <c r="BC613" s="49"/>
      <c r="BD613" s="49"/>
      <c r="BE613" s="49"/>
      <c r="BF613" s="68"/>
    </row>
    <row r="614" spans="1:58" s="51" customFormat="1" ht="16.5" customHeight="1">
      <c r="A614" s="478"/>
      <c r="B614" s="94"/>
      <c r="C614" s="479"/>
      <c r="D614" s="62">
        <v>2025</v>
      </c>
      <c r="E614" s="63">
        <f t="shared" si="212"/>
        <v>0</v>
      </c>
      <c r="F614" s="63">
        <f t="shared" si="212"/>
        <v>0</v>
      </c>
      <c r="G614" s="63">
        <f t="shared" si="212"/>
        <v>0</v>
      </c>
      <c r="H614" s="63">
        <f t="shared" si="212"/>
        <v>0</v>
      </c>
      <c r="I614" s="63">
        <f t="shared" si="212"/>
        <v>0</v>
      </c>
      <c r="J614" s="63">
        <f t="shared" si="212"/>
        <v>0</v>
      </c>
      <c r="K614" s="76">
        <v>0</v>
      </c>
      <c r="L614" s="497">
        <f t="shared" si="205"/>
        <v>0</v>
      </c>
      <c r="M614" s="185"/>
      <c r="N614" s="476"/>
      <c r="O614" s="301"/>
      <c r="P614" s="47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49"/>
      <c r="BC614" s="49"/>
      <c r="BD614" s="49"/>
      <c r="BE614" s="49"/>
      <c r="BF614" s="68"/>
    </row>
    <row r="615" spans="1:58" s="51" customFormat="1" ht="16.5" customHeight="1">
      <c r="A615" s="1111" t="s">
        <v>705</v>
      </c>
      <c r="B615" s="867" t="s">
        <v>706</v>
      </c>
      <c r="C615" s="915" t="s">
        <v>1203</v>
      </c>
      <c r="D615" s="84" t="s">
        <v>16</v>
      </c>
      <c r="E615" s="480">
        <f t="shared" ref="E615:J615" si="213">E616</f>
        <v>4.5951000000000004</v>
      </c>
      <c r="F615" s="480">
        <f t="shared" si="213"/>
        <v>4.5951000000000004</v>
      </c>
      <c r="G615" s="480">
        <f t="shared" si="213"/>
        <v>0</v>
      </c>
      <c r="H615" s="480">
        <f t="shared" si="213"/>
        <v>0</v>
      </c>
      <c r="I615" s="480">
        <f t="shared" si="213"/>
        <v>0</v>
      </c>
      <c r="J615" s="480">
        <f t="shared" si="213"/>
        <v>0</v>
      </c>
      <c r="K615" s="76">
        <v>0</v>
      </c>
      <c r="L615" s="497">
        <f t="shared" si="205"/>
        <v>4.5951000000000004</v>
      </c>
      <c r="M615" s="185"/>
      <c r="N615" s="476"/>
      <c r="O615" s="301"/>
      <c r="P615" s="47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  <c r="AR615" s="49"/>
      <c r="AS615" s="49"/>
      <c r="AT615" s="49"/>
      <c r="AU615" s="49"/>
      <c r="AV615" s="49"/>
      <c r="AW615" s="49"/>
      <c r="AX615" s="49"/>
      <c r="AY615" s="49"/>
      <c r="AZ615" s="49"/>
      <c r="BA615" s="49"/>
      <c r="BB615" s="49"/>
      <c r="BC615" s="49"/>
      <c r="BD615" s="49"/>
      <c r="BE615" s="49"/>
      <c r="BF615" s="68"/>
    </row>
    <row r="616" spans="1:58" s="51" customFormat="1" ht="16.5" customHeight="1">
      <c r="A616" s="958"/>
      <c r="B616" s="873"/>
      <c r="C616" s="999"/>
      <c r="D616" s="62">
        <v>2020</v>
      </c>
      <c r="E616" s="63">
        <f>F616+G616+H616+I616+J616</f>
        <v>4.5951000000000004</v>
      </c>
      <c r="F616" s="63">
        <v>4.5951000000000004</v>
      </c>
      <c r="G616" s="63">
        <v>0</v>
      </c>
      <c r="H616" s="63">
        <v>0</v>
      </c>
      <c r="I616" s="63">
        <v>0</v>
      </c>
      <c r="J616" s="63">
        <v>0</v>
      </c>
      <c r="K616" s="76">
        <v>0</v>
      </c>
      <c r="L616" s="497">
        <f t="shared" si="205"/>
        <v>4.5951000000000004</v>
      </c>
      <c r="M616" s="185"/>
      <c r="N616" s="476"/>
      <c r="O616" s="301"/>
      <c r="P616" s="964"/>
      <c r="Q616" s="333"/>
      <c r="R616" s="333"/>
      <c r="S616" s="333"/>
      <c r="T616" s="333"/>
      <c r="U616" s="333"/>
      <c r="V616" s="333"/>
      <c r="W616" s="333"/>
      <c r="X616" s="333"/>
      <c r="Y616" s="333"/>
      <c r="Z616" s="333"/>
      <c r="AA616" s="333"/>
      <c r="AB616" s="333"/>
      <c r="AC616" s="333"/>
      <c r="AD616" s="333"/>
      <c r="AE616" s="333"/>
      <c r="AF616" s="333"/>
      <c r="AG616" s="333"/>
      <c r="AH616" s="333"/>
      <c r="AI616" s="333"/>
      <c r="AJ616" s="333"/>
      <c r="AK616" s="333"/>
      <c r="AL616" s="333"/>
      <c r="AM616" s="333"/>
      <c r="AN616" s="333"/>
      <c r="AO616" s="333"/>
      <c r="AP616" s="333"/>
      <c r="AQ616" s="333"/>
      <c r="AR616" s="333"/>
      <c r="AS616" s="333"/>
      <c r="AT616" s="333"/>
      <c r="AU616" s="333"/>
      <c r="AV616" s="333"/>
      <c r="AW616" s="333"/>
      <c r="AX616" s="333"/>
      <c r="AY616" s="333"/>
      <c r="AZ616" s="333"/>
      <c r="BA616" s="333"/>
      <c r="BB616" s="333"/>
      <c r="BC616" s="333"/>
      <c r="BD616" s="333"/>
      <c r="BE616" s="333"/>
      <c r="BF616" s="68"/>
    </row>
    <row r="617" spans="1:58" s="51" customFormat="1" ht="16.5" customHeight="1">
      <c r="A617" s="1110"/>
      <c r="B617" s="1171" t="s">
        <v>1204</v>
      </c>
      <c r="C617" s="1077"/>
      <c r="D617" s="506" t="s">
        <v>429</v>
      </c>
      <c r="E617" s="507">
        <f t="shared" ref="E617:K617" si="214">E618</f>
        <v>1.8812</v>
      </c>
      <c r="F617" s="507">
        <f t="shared" si="214"/>
        <v>1.8812</v>
      </c>
      <c r="G617" s="507">
        <f t="shared" si="214"/>
        <v>0</v>
      </c>
      <c r="H617" s="507">
        <f t="shared" si="214"/>
        <v>0</v>
      </c>
      <c r="I617" s="507">
        <f t="shared" si="214"/>
        <v>0</v>
      </c>
      <c r="J617" s="507">
        <f t="shared" si="214"/>
        <v>0</v>
      </c>
      <c r="K617" s="507">
        <f t="shared" si="214"/>
        <v>0</v>
      </c>
      <c r="L617" s="497"/>
      <c r="M617" s="185"/>
      <c r="N617" s="476"/>
      <c r="O617" s="399"/>
      <c r="P617" s="1019"/>
      <c r="Q617" s="508"/>
      <c r="R617" s="508"/>
      <c r="S617" s="508"/>
      <c r="T617" s="508"/>
      <c r="U617" s="508"/>
      <c r="V617" s="508"/>
      <c r="W617" s="508"/>
      <c r="X617" s="508"/>
      <c r="Y617" s="508"/>
      <c r="Z617" s="508"/>
      <c r="AA617" s="508"/>
      <c r="AB617" s="508"/>
      <c r="AC617" s="508"/>
      <c r="AD617" s="508"/>
      <c r="AE617" s="508"/>
      <c r="AF617" s="508"/>
      <c r="AG617" s="508"/>
      <c r="AH617" s="508"/>
      <c r="AI617" s="508"/>
      <c r="AJ617" s="508"/>
      <c r="AK617" s="508"/>
      <c r="AL617" s="508"/>
      <c r="AM617" s="508"/>
      <c r="AN617" s="508"/>
      <c r="AO617" s="508"/>
      <c r="AP617" s="508"/>
      <c r="AQ617" s="508"/>
      <c r="AR617" s="508"/>
      <c r="AS617" s="508"/>
      <c r="AT617" s="508"/>
      <c r="AU617" s="508"/>
      <c r="AV617" s="508"/>
      <c r="AW617" s="508"/>
      <c r="AX617" s="508"/>
      <c r="AY617" s="508"/>
      <c r="AZ617" s="508"/>
      <c r="BA617" s="508"/>
      <c r="BB617" s="508"/>
      <c r="BC617" s="508"/>
      <c r="BD617" s="508"/>
      <c r="BE617" s="508"/>
      <c r="BF617" s="68"/>
    </row>
    <row r="618" spans="1:58" s="51" customFormat="1" ht="16.5" customHeight="1">
      <c r="A618" s="1111"/>
      <c r="B618" s="872"/>
      <c r="C618" s="915"/>
      <c r="D618" s="62">
        <v>2021</v>
      </c>
      <c r="E618" s="63">
        <f>F618+G618+H618+I618+J618</f>
        <v>1.8812</v>
      </c>
      <c r="F618" s="63">
        <v>1.8812</v>
      </c>
      <c r="G618" s="63">
        <v>0</v>
      </c>
      <c r="H618" s="63">
        <v>0</v>
      </c>
      <c r="I618" s="63">
        <v>0</v>
      </c>
      <c r="J618" s="63">
        <v>0</v>
      </c>
      <c r="K618" s="76">
        <v>0</v>
      </c>
      <c r="L618" s="497">
        <f>F618+G618+H618+I618+J618</f>
        <v>1.8812</v>
      </c>
      <c r="M618" s="185"/>
      <c r="N618" s="476"/>
      <c r="O618" s="301"/>
      <c r="P618" s="881"/>
      <c r="Q618" s="509"/>
      <c r="R618" s="509"/>
      <c r="S618" s="509"/>
      <c r="T618" s="509"/>
      <c r="U618" s="509"/>
      <c r="V618" s="509"/>
      <c r="W618" s="509"/>
      <c r="X618" s="509"/>
      <c r="Y618" s="509"/>
      <c r="Z618" s="509"/>
      <c r="AA618" s="509"/>
      <c r="AB618" s="509"/>
      <c r="AC618" s="509"/>
      <c r="AD618" s="509"/>
      <c r="AE618" s="509"/>
      <c r="AF618" s="509"/>
      <c r="AG618" s="509"/>
      <c r="AH618" s="509"/>
      <c r="AI618" s="509"/>
      <c r="AJ618" s="509"/>
      <c r="AK618" s="509"/>
      <c r="AL618" s="509"/>
      <c r="AM618" s="509"/>
      <c r="AN618" s="509"/>
      <c r="AO618" s="509"/>
      <c r="AP618" s="509"/>
      <c r="AQ618" s="509"/>
      <c r="AR618" s="509"/>
      <c r="AS618" s="509"/>
      <c r="AT618" s="509"/>
      <c r="AU618" s="509"/>
      <c r="AV618" s="509"/>
      <c r="AW618" s="509"/>
      <c r="AX618" s="509"/>
      <c r="AY618" s="509"/>
      <c r="AZ618" s="509"/>
      <c r="BA618" s="509"/>
      <c r="BB618" s="509"/>
      <c r="BC618" s="509"/>
      <c r="BD618" s="509"/>
      <c r="BE618" s="509"/>
      <c r="BF618" s="68"/>
    </row>
    <row r="619" spans="1:58" s="51" customFormat="1" ht="16.5" customHeight="1">
      <c r="A619" s="1039"/>
      <c r="B619" s="872"/>
      <c r="C619" s="916"/>
      <c r="D619" s="62">
        <v>2022</v>
      </c>
      <c r="E619" s="63">
        <f>F619+G619+H619+I619+J619</f>
        <v>0</v>
      </c>
      <c r="F619" s="63">
        <v>0</v>
      </c>
      <c r="G619" s="63">
        <v>0</v>
      </c>
      <c r="H619" s="63">
        <v>0</v>
      </c>
      <c r="I619" s="63">
        <v>0</v>
      </c>
      <c r="J619" s="63">
        <v>0</v>
      </c>
      <c r="K619" s="76">
        <v>0</v>
      </c>
      <c r="L619" s="497">
        <f>F619+G619+H619+I619+J619</f>
        <v>0</v>
      </c>
      <c r="M619" s="185"/>
      <c r="N619" s="476"/>
      <c r="O619" s="301"/>
      <c r="P619" s="882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  <c r="AR619" s="49"/>
      <c r="AS619" s="49"/>
      <c r="AT619" s="49"/>
      <c r="AU619" s="49"/>
      <c r="AV619" s="49"/>
      <c r="AW619" s="49"/>
      <c r="AX619" s="49"/>
      <c r="AY619" s="49"/>
      <c r="AZ619" s="49"/>
      <c r="BA619" s="49"/>
      <c r="BB619" s="49"/>
      <c r="BC619" s="49"/>
      <c r="BD619" s="49"/>
      <c r="BE619" s="49"/>
      <c r="BF619" s="68"/>
    </row>
    <row r="620" spans="1:58" s="51" customFormat="1">
      <c r="A620" s="1039"/>
      <c r="B620" s="872"/>
      <c r="C620" s="916"/>
      <c r="D620" s="62">
        <v>2023</v>
      </c>
      <c r="E620" s="63">
        <f>F620+G620+H620+I620+J620</f>
        <v>0</v>
      </c>
      <c r="F620" s="63">
        <v>0</v>
      </c>
      <c r="G620" s="63">
        <v>0</v>
      </c>
      <c r="H620" s="63">
        <v>0</v>
      </c>
      <c r="I620" s="63">
        <v>0</v>
      </c>
      <c r="J620" s="63">
        <v>0</v>
      </c>
      <c r="K620" s="76">
        <v>0</v>
      </c>
      <c r="L620" s="497">
        <f>F620+G620+H620+I620+J620</f>
        <v>0</v>
      </c>
      <c r="M620" s="185"/>
      <c r="N620" s="476"/>
      <c r="O620" s="301"/>
      <c r="P620" s="964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49"/>
      <c r="AZ620" s="49"/>
      <c r="BA620" s="49"/>
      <c r="BB620" s="49"/>
      <c r="BC620" s="49"/>
      <c r="BD620" s="49"/>
      <c r="BE620" s="49"/>
      <c r="BF620" s="68"/>
    </row>
    <row r="621" spans="1:58" s="51" customFormat="1">
      <c r="A621" s="1039"/>
      <c r="B621" s="872"/>
      <c r="C621" s="916"/>
      <c r="D621" s="62">
        <v>2024</v>
      </c>
      <c r="E621" s="63">
        <f>F621+G621+H621+I621+J621</f>
        <v>0</v>
      </c>
      <c r="F621" s="63">
        <v>0</v>
      </c>
      <c r="G621" s="63">
        <v>0</v>
      </c>
      <c r="H621" s="63">
        <v>0</v>
      </c>
      <c r="I621" s="63">
        <v>0</v>
      </c>
      <c r="J621" s="63">
        <v>0</v>
      </c>
      <c r="K621" s="76">
        <v>0</v>
      </c>
      <c r="L621" s="497">
        <f>F621+G621+H621+I621+J621</f>
        <v>0</v>
      </c>
      <c r="M621" s="185"/>
      <c r="N621" s="476"/>
      <c r="O621" s="301"/>
      <c r="P621" s="192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  <c r="AY621" s="49"/>
      <c r="AZ621" s="49"/>
      <c r="BA621" s="49"/>
      <c r="BB621" s="49"/>
      <c r="BC621" s="49"/>
      <c r="BD621" s="49"/>
      <c r="BE621" s="49"/>
      <c r="BF621" s="68"/>
    </row>
    <row r="622" spans="1:58" s="51" customFormat="1">
      <c r="A622" s="958"/>
      <c r="B622" s="873"/>
      <c r="C622" s="999"/>
      <c r="D622" s="62">
        <v>2025</v>
      </c>
      <c r="E622" s="63">
        <f>F622+G622+H622+I622+J622</f>
        <v>0</v>
      </c>
      <c r="F622" s="63">
        <v>0</v>
      </c>
      <c r="G622" s="63">
        <v>0</v>
      </c>
      <c r="H622" s="63">
        <v>0</v>
      </c>
      <c r="I622" s="63">
        <v>0</v>
      </c>
      <c r="J622" s="63">
        <v>0</v>
      </c>
      <c r="K622" s="76">
        <v>0</v>
      </c>
      <c r="L622" s="497">
        <f>F622+G622+H622+I622+J622</f>
        <v>0</v>
      </c>
      <c r="M622" s="185"/>
      <c r="N622" s="476"/>
      <c r="O622" s="301"/>
      <c r="P622" s="192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  <c r="AY622" s="49"/>
      <c r="AZ622" s="49"/>
      <c r="BA622" s="49"/>
      <c r="BB622" s="49"/>
      <c r="BC622" s="49"/>
      <c r="BD622" s="49"/>
      <c r="BE622" s="49"/>
      <c r="BF622" s="68"/>
    </row>
    <row r="623" spans="1:58" s="82" customFormat="1" ht="12.75" customHeight="1">
      <c r="A623" s="794" t="s">
        <v>708</v>
      </c>
      <c r="B623" s="929" t="s">
        <v>165</v>
      </c>
      <c r="C623" s="348"/>
      <c r="D623" s="84" t="s">
        <v>16</v>
      </c>
      <c r="E623" s="85">
        <f t="shared" ref="E623:K623" si="215">E624+E625+E626+E627+E628+E629+E630+E631+E632+E633+E634+E635</f>
        <v>1016.4059999999999</v>
      </c>
      <c r="F623" s="85">
        <f t="shared" si="215"/>
        <v>6.2218</v>
      </c>
      <c r="G623" s="85">
        <f t="shared" si="215"/>
        <v>0</v>
      </c>
      <c r="H623" s="85">
        <f t="shared" si="215"/>
        <v>731.69849999999985</v>
      </c>
      <c r="I623" s="85">
        <f t="shared" si="215"/>
        <v>255.06189999999998</v>
      </c>
      <c r="J623" s="85">
        <f t="shared" si="215"/>
        <v>21.057300000000001</v>
      </c>
      <c r="K623" s="63">
        <f t="shared" si="215"/>
        <v>2.3664999999999998</v>
      </c>
      <c r="L623" s="497">
        <f>F623+G623+H623+I623+J623+K623</f>
        <v>1016.4059999999999</v>
      </c>
      <c r="M623" s="185"/>
      <c r="N623" s="476"/>
      <c r="O623" s="301"/>
      <c r="P623" s="477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  <c r="AN623" s="91"/>
      <c r="AO623" s="91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  <c r="BF623" s="92"/>
    </row>
    <row r="624" spans="1:58" s="82" customFormat="1">
      <c r="A624" s="1172"/>
      <c r="B624" s="953"/>
      <c r="C624" s="1125"/>
      <c r="D624" s="84">
        <v>2019</v>
      </c>
      <c r="E624" s="85">
        <f t="shared" ref="E624:K624" si="216">E668+E693+E718+E726+E745+E684+E732+E734</f>
        <v>563.55709999999999</v>
      </c>
      <c r="F624" s="85">
        <f t="shared" si="216"/>
        <v>3.2890000000000001</v>
      </c>
      <c r="G624" s="85">
        <f t="shared" si="216"/>
        <v>0</v>
      </c>
      <c r="H624" s="85">
        <f t="shared" si="216"/>
        <v>530.40409999999997</v>
      </c>
      <c r="I624" s="85">
        <f t="shared" si="216"/>
        <v>14.1075</v>
      </c>
      <c r="J624" s="85">
        <f t="shared" si="216"/>
        <v>15.756500000000001</v>
      </c>
      <c r="K624" s="63">
        <f t="shared" si="216"/>
        <v>0</v>
      </c>
      <c r="L624" s="497">
        <f>F624+G624+H624+I624+J624</f>
        <v>563.55709999999988</v>
      </c>
      <c r="M624" s="185"/>
      <c r="N624" s="476"/>
      <c r="O624" s="301"/>
      <c r="P624" s="477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  <c r="BF624" s="92"/>
    </row>
    <row r="625" spans="1:58" s="82" customFormat="1">
      <c r="A625" s="1172"/>
      <c r="B625" s="953"/>
      <c r="C625" s="1125"/>
      <c r="D625" s="84">
        <v>2020</v>
      </c>
      <c r="E625" s="85">
        <f t="shared" ref="E625:K625" si="217">E685+E694+E719+E727+E741+E746+E669+E666</f>
        <v>134.05719999999999</v>
      </c>
      <c r="F625" s="85">
        <f t="shared" si="217"/>
        <v>2.4327999999999999</v>
      </c>
      <c r="G625" s="85">
        <f t="shared" si="217"/>
        <v>0</v>
      </c>
      <c r="H625" s="85">
        <f t="shared" si="217"/>
        <v>120.235</v>
      </c>
      <c r="I625" s="85">
        <f t="shared" si="217"/>
        <v>9.4374000000000002</v>
      </c>
      <c r="J625" s="85">
        <f t="shared" si="217"/>
        <v>1.952</v>
      </c>
      <c r="K625" s="63">
        <f t="shared" si="217"/>
        <v>0</v>
      </c>
      <c r="L625" s="497">
        <f>F625+G625+H625+I625+J625</f>
        <v>134.05719999999999</v>
      </c>
      <c r="M625" s="185"/>
      <c r="N625" s="476"/>
      <c r="O625" s="301"/>
      <c r="P625" s="477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  <c r="AN625" s="91"/>
      <c r="AO625" s="91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  <c r="BF625" s="92"/>
    </row>
    <row r="626" spans="1:58" s="82" customFormat="1">
      <c r="A626" s="1172"/>
      <c r="B626" s="953"/>
      <c r="C626" s="1125"/>
      <c r="D626" s="84">
        <v>2021</v>
      </c>
      <c r="E626" s="85">
        <f t="shared" ref="E626:K626" si="218">E686+E728+E737+E743+E747+E724</f>
        <v>42.053000000000004</v>
      </c>
      <c r="F626" s="85">
        <f t="shared" si="218"/>
        <v>0</v>
      </c>
      <c r="G626" s="85">
        <f t="shared" si="218"/>
        <v>0</v>
      </c>
      <c r="H626" s="85">
        <f t="shared" si="218"/>
        <v>16.278199999999998</v>
      </c>
      <c r="I626" s="85">
        <f t="shared" si="218"/>
        <v>22.088000000000001</v>
      </c>
      <c r="J626" s="85">
        <f t="shared" si="218"/>
        <v>1.3203</v>
      </c>
      <c r="K626" s="85">
        <f t="shared" si="218"/>
        <v>2.3664999999999998</v>
      </c>
      <c r="L626" s="497">
        <f>F626+G626+H626+I626+J626+K626</f>
        <v>42.053000000000004</v>
      </c>
      <c r="M626" s="185"/>
      <c r="N626" s="476"/>
      <c r="O626" s="301"/>
      <c r="P626" s="477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  <c r="BF626" s="92"/>
    </row>
    <row r="627" spans="1:58" s="82" customFormat="1">
      <c r="A627" s="1172"/>
      <c r="B627" s="953"/>
      <c r="C627" s="1125"/>
      <c r="D627" s="84">
        <v>2022</v>
      </c>
      <c r="E627" s="85">
        <f t="shared" ref="E627:K627" si="219">E664+E687+E720+E729+E739+E748</f>
        <v>49.784700000000001</v>
      </c>
      <c r="F627" s="85">
        <f t="shared" si="219"/>
        <v>0</v>
      </c>
      <c r="G627" s="85">
        <f t="shared" si="219"/>
        <v>0</v>
      </c>
      <c r="H627" s="85">
        <f t="shared" si="219"/>
        <v>8.3292000000000002</v>
      </c>
      <c r="I627" s="85">
        <f t="shared" si="219"/>
        <v>41.174999999999997</v>
      </c>
      <c r="J627" s="85">
        <f t="shared" si="219"/>
        <v>0.28050000000000003</v>
      </c>
      <c r="K627" s="63">
        <f t="shared" si="219"/>
        <v>0</v>
      </c>
      <c r="L627" s="497">
        <f>F627+G627+H627+I627+J627</f>
        <v>49.784700000000001</v>
      </c>
      <c r="M627" s="185"/>
      <c r="N627" s="476"/>
      <c r="O627" s="301"/>
      <c r="P627" s="477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  <c r="AN627" s="91"/>
      <c r="AO627" s="91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  <c r="BF627" s="92"/>
    </row>
    <row r="628" spans="1:58" s="82" customFormat="1">
      <c r="A628" s="1172"/>
      <c r="B628" s="953"/>
      <c r="C628" s="1125"/>
      <c r="D628" s="84">
        <v>2023</v>
      </c>
      <c r="E628" s="85">
        <f t="shared" ref="E628:K628" si="220">E658+E688+E716+E721+E730</f>
        <v>48.256999999999998</v>
      </c>
      <c r="F628" s="85">
        <f t="shared" si="220"/>
        <v>0</v>
      </c>
      <c r="G628" s="85">
        <f t="shared" si="220"/>
        <v>0</v>
      </c>
      <c r="H628" s="85">
        <f t="shared" si="220"/>
        <v>6.0809999999999995</v>
      </c>
      <c r="I628" s="85">
        <f t="shared" si="220"/>
        <v>41.957000000000001</v>
      </c>
      <c r="J628" s="85">
        <f t="shared" si="220"/>
        <v>0.21899999999999997</v>
      </c>
      <c r="K628" s="63">
        <f t="shared" si="220"/>
        <v>0</v>
      </c>
      <c r="L628" s="497">
        <f>F628+G628+H628+I628+J628</f>
        <v>48.256999999999998</v>
      </c>
      <c r="M628" s="185"/>
      <c r="N628" s="476"/>
      <c r="O628" s="301"/>
      <c r="P628" s="477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91"/>
      <c r="BE628" s="91"/>
      <c r="BF628" s="92"/>
    </row>
    <row r="629" spans="1:58" s="82" customFormat="1">
      <c r="A629" s="1172"/>
      <c r="B629" s="953"/>
      <c r="C629" s="1125"/>
      <c r="D629" s="84">
        <v>2024</v>
      </c>
      <c r="E629" s="85">
        <f t="shared" ref="E629:L629" si="221">E646+E648+E650+E662+E689+E722+E731</f>
        <v>55.753999999999998</v>
      </c>
      <c r="F629" s="85">
        <f t="shared" si="221"/>
        <v>0</v>
      </c>
      <c r="G629" s="85">
        <f t="shared" si="221"/>
        <v>0</v>
      </c>
      <c r="H629" s="85">
        <f t="shared" si="221"/>
        <v>13.55</v>
      </c>
      <c r="I629" s="85">
        <f t="shared" si="221"/>
        <v>41.753999999999998</v>
      </c>
      <c r="J629" s="85">
        <f t="shared" si="221"/>
        <v>0.45000000000000007</v>
      </c>
      <c r="K629" s="63">
        <f t="shared" si="221"/>
        <v>0</v>
      </c>
      <c r="L629" s="473">
        <f t="shared" si="221"/>
        <v>53.753999999999998</v>
      </c>
      <c r="M629" s="185"/>
      <c r="N629" s="476"/>
      <c r="O629" s="301"/>
      <c r="P629" s="477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  <c r="AN629" s="91"/>
      <c r="AO629" s="91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  <c r="BF629" s="92"/>
    </row>
    <row r="630" spans="1:58" s="82" customFormat="1">
      <c r="A630" s="1172"/>
      <c r="B630" s="953"/>
      <c r="C630" s="1125"/>
      <c r="D630" s="84">
        <v>2025</v>
      </c>
      <c r="E630" s="85">
        <f t="shared" ref="E630:K630" si="222">E644+E652+E654+E656+E690</f>
        <v>56.493000000000002</v>
      </c>
      <c r="F630" s="85">
        <f t="shared" si="222"/>
        <v>0</v>
      </c>
      <c r="G630" s="85">
        <f t="shared" si="222"/>
        <v>0</v>
      </c>
      <c r="H630" s="85">
        <f t="shared" si="222"/>
        <v>13.651</v>
      </c>
      <c r="I630" s="85">
        <f t="shared" si="222"/>
        <v>42.393000000000001</v>
      </c>
      <c r="J630" s="85">
        <f t="shared" si="222"/>
        <v>0.44900000000000001</v>
      </c>
      <c r="K630" s="63">
        <f t="shared" si="222"/>
        <v>0</v>
      </c>
      <c r="L630" s="497">
        <f t="shared" ref="L630:L660" si="223">F630+G630+H630+I630+J630</f>
        <v>56.492999999999995</v>
      </c>
      <c r="M630" s="185"/>
      <c r="N630" s="476"/>
      <c r="O630" s="301"/>
      <c r="P630" s="477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  <c r="AN630" s="91"/>
      <c r="AO630" s="91"/>
      <c r="AP630" s="9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91"/>
      <c r="BE630" s="91"/>
      <c r="BF630" s="92"/>
    </row>
    <row r="631" spans="1:58" s="82" customFormat="1">
      <c r="A631" s="1172"/>
      <c r="B631" s="953"/>
      <c r="C631" s="1125"/>
      <c r="D631" s="84">
        <v>2026</v>
      </c>
      <c r="E631" s="85">
        <f t="shared" ref="E631:K631" si="224">E691</f>
        <v>42.15</v>
      </c>
      <c r="F631" s="85">
        <f t="shared" si="224"/>
        <v>0</v>
      </c>
      <c r="G631" s="85">
        <f t="shared" si="224"/>
        <v>0</v>
      </c>
      <c r="H631" s="85">
        <f t="shared" si="224"/>
        <v>0</v>
      </c>
      <c r="I631" s="85">
        <f t="shared" si="224"/>
        <v>42.15</v>
      </c>
      <c r="J631" s="85">
        <f t="shared" si="224"/>
        <v>0</v>
      </c>
      <c r="K631" s="63">
        <f t="shared" si="224"/>
        <v>0</v>
      </c>
      <c r="L631" s="497">
        <f t="shared" si="223"/>
        <v>42.15</v>
      </c>
      <c r="M631" s="185"/>
      <c r="N631" s="476"/>
      <c r="O631" s="301"/>
      <c r="P631" s="477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  <c r="AN631" s="91"/>
      <c r="AO631" s="91"/>
      <c r="AP631" s="9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91"/>
      <c r="BE631" s="91"/>
      <c r="BF631" s="92"/>
    </row>
    <row r="632" spans="1:58" s="82" customFormat="1">
      <c r="A632" s="1172"/>
      <c r="B632" s="953"/>
      <c r="C632" s="1125"/>
      <c r="D632" s="84">
        <v>2027</v>
      </c>
      <c r="E632" s="85">
        <f t="shared" ref="E632:K632" si="225">E642</f>
        <v>10</v>
      </c>
      <c r="F632" s="85">
        <f t="shared" si="225"/>
        <v>0</v>
      </c>
      <c r="G632" s="85">
        <f t="shared" si="225"/>
        <v>0</v>
      </c>
      <c r="H632" s="85">
        <f t="shared" si="225"/>
        <v>9.5</v>
      </c>
      <c r="I632" s="85">
        <f t="shared" si="225"/>
        <v>0</v>
      </c>
      <c r="J632" s="85">
        <f t="shared" si="225"/>
        <v>0.5</v>
      </c>
      <c r="K632" s="63">
        <f t="shared" si="225"/>
        <v>0</v>
      </c>
      <c r="L632" s="497">
        <f t="shared" si="223"/>
        <v>10</v>
      </c>
      <c r="M632" s="185"/>
      <c r="N632" s="476"/>
      <c r="O632" s="301"/>
      <c r="P632" s="557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2"/>
    </row>
    <row r="633" spans="1:58" s="82" customFormat="1">
      <c r="A633" s="1172"/>
      <c r="B633" s="953"/>
      <c r="C633" s="1125"/>
      <c r="D633" s="84">
        <v>2028</v>
      </c>
      <c r="E633" s="85">
        <f t="shared" ref="E633:K633" si="226">E639</f>
        <v>10</v>
      </c>
      <c r="F633" s="85">
        <f t="shared" si="226"/>
        <v>0.5</v>
      </c>
      <c r="G633" s="85">
        <f t="shared" si="226"/>
        <v>0</v>
      </c>
      <c r="H633" s="85">
        <f t="shared" si="226"/>
        <v>9.5</v>
      </c>
      <c r="I633" s="85">
        <f t="shared" si="226"/>
        <v>0</v>
      </c>
      <c r="J633" s="85">
        <f t="shared" si="226"/>
        <v>0</v>
      </c>
      <c r="K633" s="63">
        <f t="shared" si="226"/>
        <v>0</v>
      </c>
      <c r="L633" s="497">
        <f t="shared" si="223"/>
        <v>10</v>
      </c>
      <c r="M633" s="185"/>
      <c r="N633" s="476"/>
      <c r="O633" s="301"/>
      <c r="P633" s="557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2"/>
    </row>
    <row r="634" spans="1:58" s="82" customFormat="1">
      <c r="A634" s="1172"/>
      <c r="B634" s="953"/>
      <c r="C634" s="1125"/>
      <c r="D634" s="84">
        <v>2029</v>
      </c>
      <c r="E634" s="85">
        <f t="shared" ref="E634:K634" si="227">E660</f>
        <v>4.3</v>
      </c>
      <c r="F634" s="85">
        <f t="shared" si="227"/>
        <v>0</v>
      </c>
      <c r="G634" s="85">
        <f t="shared" si="227"/>
        <v>0</v>
      </c>
      <c r="H634" s="85">
        <f t="shared" si="227"/>
        <v>4.17</v>
      </c>
      <c r="I634" s="85">
        <f t="shared" si="227"/>
        <v>0</v>
      </c>
      <c r="J634" s="85">
        <f t="shared" si="227"/>
        <v>0.13</v>
      </c>
      <c r="K634" s="63">
        <f t="shared" si="227"/>
        <v>0</v>
      </c>
      <c r="L634" s="497">
        <f t="shared" si="223"/>
        <v>4.3</v>
      </c>
      <c r="M634" s="185"/>
      <c r="N634" s="476"/>
      <c r="O634" s="301"/>
      <c r="P634" s="557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2"/>
    </row>
    <row r="635" spans="1:58" s="82" customFormat="1">
      <c r="A635" s="1173"/>
      <c r="B635" s="954"/>
      <c r="C635" s="1103"/>
      <c r="D635" s="84">
        <v>2030</v>
      </c>
      <c r="E635" s="85">
        <v>0</v>
      </c>
      <c r="F635" s="85">
        <f>F666</f>
        <v>0</v>
      </c>
      <c r="G635" s="85">
        <f>G666</f>
        <v>0</v>
      </c>
      <c r="H635" s="85">
        <v>0</v>
      </c>
      <c r="I635" s="85">
        <f>I666</f>
        <v>0</v>
      </c>
      <c r="J635" s="85">
        <v>0</v>
      </c>
      <c r="K635" s="63">
        <v>0</v>
      </c>
      <c r="L635" s="497">
        <f t="shared" si="223"/>
        <v>0</v>
      </c>
      <c r="M635" s="185"/>
      <c r="N635" s="476"/>
      <c r="O635" s="301"/>
      <c r="P635" s="557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2"/>
    </row>
    <row r="636" spans="1:58" s="51" customFormat="1" ht="12.75" customHeight="1">
      <c r="A636" s="794" t="s">
        <v>266</v>
      </c>
      <c r="B636" s="867" t="s">
        <v>709</v>
      </c>
      <c r="C636" s="881" t="s">
        <v>710</v>
      </c>
      <c r="D636" s="84" t="s">
        <v>16</v>
      </c>
      <c r="E636" s="85">
        <f t="shared" ref="E636:K636" si="228">E637+E638+E639+E640</f>
        <v>40</v>
      </c>
      <c r="F636" s="85">
        <f t="shared" si="228"/>
        <v>2</v>
      </c>
      <c r="G636" s="85">
        <f t="shared" si="228"/>
        <v>0</v>
      </c>
      <c r="H636" s="85">
        <f t="shared" si="228"/>
        <v>38</v>
      </c>
      <c r="I636" s="85">
        <f t="shared" si="228"/>
        <v>0</v>
      </c>
      <c r="J636" s="85">
        <f t="shared" si="228"/>
        <v>0</v>
      </c>
      <c r="K636" s="63">
        <f t="shared" si="228"/>
        <v>0</v>
      </c>
      <c r="L636" s="497">
        <f t="shared" si="223"/>
        <v>40</v>
      </c>
      <c r="M636" s="185"/>
      <c r="N636" s="476"/>
      <c r="O636" s="301"/>
      <c r="P636" s="1163" t="s">
        <v>561</v>
      </c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  <c r="AO636" s="49"/>
      <c r="AP636" s="49"/>
      <c r="AQ636" s="49"/>
      <c r="AR636" s="49"/>
      <c r="AS636" s="49"/>
      <c r="AT636" s="49"/>
      <c r="AU636" s="49"/>
      <c r="AV636" s="49"/>
      <c r="AW636" s="49"/>
      <c r="AX636" s="49"/>
      <c r="AY636" s="49"/>
      <c r="AZ636" s="49"/>
      <c r="BA636" s="49"/>
      <c r="BB636" s="49"/>
      <c r="BC636" s="49"/>
      <c r="BD636" s="49"/>
      <c r="BE636" s="49"/>
      <c r="BF636" s="68"/>
    </row>
    <row r="637" spans="1:58" s="51" customFormat="1" ht="13.5" customHeight="1">
      <c r="A637" s="795"/>
      <c r="B637" s="868"/>
      <c r="C637" s="1125"/>
      <c r="D637" s="62">
        <v>2026</v>
      </c>
      <c r="E637" s="63">
        <f>F637+G637+H637+I637+J637</f>
        <v>10</v>
      </c>
      <c r="F637" s="63">
        <v>0.5</v>
      </c>
      <c r="G637" s="63">
        <v>0</v>
      </c>
      <c r="H637" s="63">
        <v>9.5</v>
      </c>
      <c r="I637" s="63">
        <v>0</v>
      </c>
      <c r="J637" s="63">
        <v>0</v>
      </c>
      <c r="K637" s="76">
        <v>0</v>
      </c>
      <c r="L637" s="497">
        <f t="shared" si="223"/>
        <v>10</v>
      </c>
      <c r="M637" s="185" t="s">
        <v>711</v>
      </c>
      <c r="N637" s="476"/>
      <c r="O637" s="301"/>
      <c r="P637" s="1164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  <c r="AO637" s="49"/>
      <c r="AP637" s="49"/>
      <c r="AQ637" s="49"/>
      <c r="AR637" s="49"/>
      <c r="AS637" s="49"/>
      <c r="AT637" s="49"/>
      <c r="AU637" s="49"/>
      <c r="AV637" s="49"/>
      <c r="AW637" s="49"/>
      <c r="AX637" s="49"/>
      <c r="AY637" s="49"/>
      <c r="AZ637" s="49"/>
      <c r="BA637" s="49"/>
      <c r="BB637" s="49"/>
      <c r="BC637" s="49"/>
      <c r="BD637" s="49"/>
      <c r="BE637" s="49"/>
      <c r="BF637" s="68"/>
    </row>
    <row r="638" spans="1:58" s="51" customFormat="1" ht="16.5" customHeight="1">
      <c r="A638" s="795"/>
      <c r="B638" s="868"/>
      <c r="C638" s="1125"/>
      <c r="D638" s="62">
        <v>2027</v>
      </c>
      <c r="E638" s="63">
        <f>F638+G638+H638+I638+J638</f>
        <v>10</v>
      </c>
      <c r="F638" s="63">
        <v>0.5</v>
      </c>
      <c r="G638" s="63">
        <v>0</v>
      </c>
      <c r="H638" s="63">
        <v>9.5</v>
      </c>
      <c r="I638" s="63">
        <v>0</v>
      </c>
      <c r="J638" s="63">
        <v>0</v>
      </c>
      <c r="K638" s="76">
        <v>0</v>
      </c>
      <c r="L638" s="497">
        <f t="shared" si="223"/>
        <v>10</v>
      </c>
      <c r="M638" s="185"/>
      <c r="N638" s="476"/>
      <c r="O638" s="301"/>
      <c r="P638" s="1152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  <c r="AO638" s="49"/>
      <c r="AP638" s="49"/>
      <c r="AQ638" s="49"/>
      <c r="AR638" s="49"/>
      <c r="AS638" s="49"/>
      <c r="AT638" s="49"/>
      <c r="AU638" s="49"/>
      <c r="AV638" s="49"/>
      <c r="AW638" s="49"/>
      <c r="AX638" s="49"/>
      <c r="AY638" s="49"/>
      <c r="AZ638" s="49"/>
      <c r="BA638" s="49"/>
      <c r="BB638" s="49"/>
      <c r="BC638" s="49"/>
      <c r="BD638" s="49"/>
      <c r="BE638" s="49"/>
      <c r="BF638" s="68"/>
    </row>
    <row r="639" spans="1:58" s="51" customFormat="1" ht="14.25" customHeight="1">
      <c r="A639" s="795"/>
      <c r="B639" s="868"/>
      <c r="C639" s="1125"/>
      <c r="D639" s="62">
        <v>2028</v>
      </c>
      <c r="E639" s="63">
        <f>F639+G639+H639+I639+J639</f>
        <v>10</v>
      </c>
      <c r="F639" s="63">
        <v>0.5</v>
      </c>
      <c r="G639" s="63">
        <v>0</v>
      </c>
      <c r="H639" s="63">
        <v>9.5</v>
      </c>
      <c r="I639" s="63">
        <v>0</v>
      </c>
      <c r="J639" s="63">
        <v>0</v>
      </c>
      <c r="K639" s="76">
        <v>0</v>
      </c>
      <c r="L639" s="497">
        <f t="shared" si="223"/>
        <v>10</v>
      </c>
      <c r="M639" s="185"/>
      <c r="N639" s="476"/>
      <c r="O639" s="301"/>
      <c r="P639" s="1152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  <c r="AO639" s="49"/>
      <c r="AP639" s="49"/>
      <c r="AQ639" s="49"/>
      <c r="AR639" s="49"/>
      <c r="AS639" s="49"/>
      <c r="AT639" s="49"/>
      <c r="AU639" s="49"/>
      <c r="AV639" s="49"/>
      <c r="AW639" s="49"/>
      <c r="AX639" s="49"/>
      <c r="AY639" s="49"/>
      <c r="AZ639" s="49"/>
      <c r="BA639" s="49"/>
      <c r="BB639" s="49"/>
      <c r="BC639" s="49"/>
      <c r="BD639" s="49"/>
      <c r="BE639" s="49"/>
      <c r="BF639" s="68"/>
    </row>
    <row r="640" spans="1:58" s="51" customFormat="1" ht="21" customHeight="1">
      <c r="A640" s="958"/>
      <c r="B640" s="869"/>
      <c r="C640" s="1103"/>
      <c r="D640" s="62">
        <v>2029</v>
      </c>
      <c r="E640" s="63">
        <f>F640+G640+H640+I640+J640</f>
        <v>10</v>
      </c>
      <c r="F640" s="63">
        <v>0.5</v>
      </c>
      <c r="G640" s="63">
        <v>0</v>
      </c>
      <c r="H640" s="63">
        <v>9.5</v>
      </c>
      <c r="I640" s="63">
        <v>0</v>
      </c>
      <c r="J640" s="63">
        <v>0</v>
      </c>
      <c r="K640" s="76">
        <v>0</v>
      </c>
      <c r="L640" s="497">
        <f t="shared" si="223"/>
        <v>10</v>
      </c>
      <c r="M640" s="185"/>
      <c r="N640" s="476"/>
      <c r="O640" s="301"/>
      <c r="P640" s="1147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  <c r="AO640" s="49"/>
      <c r="AP640" s="49"/>
      <c r="AQ640" s="49"/>
      <c r="AR640" s="49"/>
      <c r="AS640" s="49"/>
      <c r="AT640" s="49"/>
      <c r="AU640" s="49"/>
      <c r="AV640" s="49"/>
      <c r="AW640" s="49"/>
      <c r="AX640" s="49"/>
      <c r="AY640" s="49"/>
      <c r="AZ640" s="49"/>
      <c r="BA640" s="49"/>
      <c r="BB640" s="49"/>
      <c r="BC640" s="49"/>
      <c r="BD640" s="49"/>
      <c r="BE640" s="49"/>
      <c r="BF640" s="68"/>
    </row>
    <row r="641" spans="1:58" s="51" customFormat="1">
      <c r="A641" s="794" t="s">
        <v>712</v>
      </c>
      <c r="B641" s="867" t="s">
        <v>713</v>
      </c>
      <c r="C641" s="1019" t="s">
        <v>710</v>
      </c>
      <c r="D641" s="84" t="s">
        <v>16</v>
      </c>
      <c r="E641" s="85">
        <f t="shared" ref="E641:J641" si="229">E642</f>
        <v>10</v>
      </c>
      <c r="F641" s="85">
        <f t="shared" si="229"/>
        <v>0</v>
      </c>
      <c r="G641" s="85">
        <f t="shared" si="229"/>
        <v>0</v>
      </c>
      <c r="H641" s="85">
        <f t="shared" si="229"/>
        <v>9.5</v>
      </c>
      <c r="I641" s="85">
        <f t="shared" si="229"/>
        <v>0</v>
      </c>
      <c r="J641" s="85">
        <f t="shared" si="229"/>
        <v>0.5</v>
      </c>
      <c r="K641" s="76">
        <v>0</v>
      </c>
      <c r="L641" s="497">
        <f t="shared" si="223"/>
        <v>10</v>
      </c>
      <c r="M641" s="1031" t="s">
        <v>714</v>
      </c>
      <c r="N641" s="1168"/>
      <c r="O641" s="962"/>
      <c r="P641" s="842" t="s">
        <v>715</v>
      </c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  <c r="AR641" s="49"/>
      <c r="AS641" s="49"/>
      <c r="AT641" s="49"/>
      <c r="AU641" s="49"/>
      <c r="AV641" s="49"/>
      <c r="AW641" s="49"/>
      <c r="AX641" s="49"/>
      <c r="AY641" s="49"/>
      <c r="AZ641" s="49"/>
      <c r="BA641" s="49"/>
      <c r="BB641" s="49"/>
      <c r="BC641" s="49"/>
      <c r="BD641" s="49"/>
      <c r="BE641" s="49"/>
      <c r="BF641" s="68"/>
    </row>
    <row r="642" spans="1:58" s="51" customFormat="1" ht="27" customHeight="1">
      <c r="A642" s="796"/>
      <c r="B642" s="869"/>
      <c r="C642" s="1159"/>
      <c r="D642" s="62">
        <v>2027</v>
      </c>
      <c r="E642" s="63">
        <f>F642+G642+H642+I642+J642</f>
        <v>10</v>
      </c>
      <c r="F642" s="63">
        <v>0</v>
      </c>
      <c r="G642" s="63">
        <v>0</v>
      </c>
      <c r="H642" s="63">
        <v>9.5</v>
      </c>
      <c r="I642" s="63">
        <v>0</v>
      </c>
      <c r="J642" s="63">
        <v>0.5</v>
      </c>
      <c r="K642" s="76">
        <v>0</v>
      </c>
      <c r="L642" s="497">
        <f t="shared" si="223"/>
        <v>10</v>
      </c>
      <c r="M642" s="945"/>
      <c r="N642" s="1168"/>
      <c r="O642" s="963"/>
      <c r="P642" s="843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49"/>
      <c r="AU642" s="49"/>
      <c r="AV642" s="49"/>
      <c r="AW642" s="49"/>
      <c r="AX642" s="49"/>
      <c r="AY642" s="49"/>
      <c r="AZ642" s="49"/>
      <c r="BA642" s="49"/>
      <c r="BB642" s="49"/>
      <c r="BC642" s="49"/>
      <c r="BD642" s="49"/>
      <c r="BE642" s="49"/>
      <c r="BF642" s="68"/>
    </row>
    <row r="643" spans="1:58" s="51" customFormat="1" ht="12.75" customHeight="1">
      <c r="A643" s="794" t="s">
        <v>716</v>
      </c>
      <c r="B643" s="867" t="s">
        <v>717</v>
      </c>
      <c r="C643" s="881" t="s">
        <v>1205</v>
      </c>
      <c r="D643" s="84" t="s">
        <v>16</v>
      </c>
      <c r="E643" s="85">
        <f t="shared" ref="E643:J643" si="230">E644</f>
        <v>3.5</v>
      </c>
      <c r="F643" s="85">
        <f t="shared" si="230"/>
        <v>0</v>
      </c>
      <c r="G643" s="85">
        <f t="shared" si="230"/>
        <v>0</v>
      </c>
      <c r="H643" s="85">
        <f t="shared" si="230"/>
        <v>3.4</v>
      </c>
      <c r="I643" s="85">
        <f t="shared" si="230"/>
        <v>0</v>
      </c>
      <c r="J643" s="85">
        <f t="shared" si="230"/>
        <v>0.1</v>
      </c>
      <c r="K643" s="76">
        <v>0</v>
      </c>
      <c r="L643" s="497">
        <f t="shared" si="223"/>
        <v>3.5</v>
      </c>
      <c r="M643" s="995" t="s">
        <v>718</v>
      </c>
      <c r="N643" s="1168"/>
      <c r="O643" s="962"/>
      <c r="P643" s="842" t="s">
        <v>617</v>
      </c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  <c r="AO643" s="49"/>
      <c r="AP643" s="49"/>
      <c r="AQ643" s="49"/>
      <c r="AR643" s="49"/>
      <c r="AS643" s="49"/>
      <c r="AT643" s="49"/>
      <c r="AU643" s="49"/>
      <c r="AV643" s="49"/>
      <c r="AW643" s="49"/>
      <c r="AX643" s="49"/>
      <c r="AY643" s="49"/>
      <c r="AZ643" s="49"/>
      <c r="BA643" s="49"/>
      <c r="BB643" s="49"/>
      <c r="BC643" s="49"/>
      <c r="BD643" s="49"/>
      <c r="BE643" s="49"/>
      <c r="BF643" s="68"/>
    </row>
    <row r="644" spans="1:58" s="51" customFormat="1" ht="90" customHeight="1">
      <c r="A644" s="796"/>
      <c r="B644" s="869"/>
      <c r="C644" s="1103"/>
      <c r="D644" s="62">
        <v>2025</v>
      </c>
      <c r="E644" s="63">
        <f>F644+G644+H644+I644+J644</f>
        <v>3.5</v>
      </c>
      <c r="F644" s="63">
        <v>0</v>
      </c>
      <c r="G644" s="63">
        <v>0</v>
      </c>
      <c r="H644" s="63">
        <v>3.4</v>
      </c>
      <c r="I644" s="63">
        <v>0</v>
      </c>
      <c r="J644" s="63">
        <v>0.1</v>
      </c>
      <c r="K644" s="76">
        <v>0</v>
      </c>
      <c r="L644" s="497">
        <f t="shared" si="223"/>
        <v>3.5</v>
      </c>
      <c r="M644" s="952"/>
      <c r="N644" s="1168"/>
      <c r="O644" s="963"/>
      <c r="P644" s="843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  <c r="AO644" s="49"/>
      <c r="AP644" s="49"/>
      <c r="AQ644" s="49"/>
      <c r="AR644" s="49"/>
      <c r="AS644" s="49"/>
      <c r="AT644" s="49"/>
      <c r="AU644" s="49"/>
      <c r="AV644" s="49"/>
      <c r="AW644" s="49"/>
      <c r="AX644" s="49"/>
      <c r="AY644" s="49"/>
      <c r="AZ644" s="49"/>
      <c r="BA644" s="49"/>
      <c r="BB644" s="49"/>
      <c r="BC644" s="49"/>
      <c r="BD644" s="49"/>
      <c r="BE644" s="49"/>
      <c r="BF644" s="68"/>
    </row>
    <row r="645" spans="1:58" s="51" customFormat="1" ht="27.75" customHeight="1">
      <c r="A645" s="794" t="s">
        <v>719</v>
      </c>
      <c r="B645" s="867" t="s">
        <v>720</v>
      </c>
      <c r="C645" s="881" t="s">
        <v>532</v>
      </c>
      <c r="D645" s="84" t="s">
        <v>16</v>
      </c>
      <c r="E645" s="85">
        <f t="shared" ref="E645:J645" si="231">E646</f>
        <v>2.9</v>
      </c>
      <c r="F645" s="85">
        <f t="shared" si="231"/>
        <v>0</v>
      </c>
      <c r="G645" s="85">
        <f t="shared" si="231"/>
        <v>0</v>
      </c>
      <c r="H645" s="85">
        <f t="shared" si="231"/>
        <v>2.82</v>
      </c>
      <c r="I645" s="85">
        <f t="shared" si="231"/>
        <v>0</v>
      </c>
      <c r="J645" s="85">
        <f t="shared" si="231"/>
        <v>0.08</v>
      </c>
      <c r="K645" s="76">
        <v>0</v>
      </c>
      <c r="L645" s="497">
        <f t="shared" si="223"/>
        <v>2.9</v>
      </c>
      <c r="M645" s="1031" t="s">
        <v>721</v>
      </c>
      <c r="N645" s="1168"/>
      <c r="O645" s="962"/>
      <c r="P645" s="1163" t="s">
        <v>545</v>
      </c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  <c r="AO645" s="49"/>
      <c r="AP645" s="49"/>
      <c r="AQ645" s="49"/>
      <c r="AR645" s="49"/>
      <c r="AS645" s="49"/>
      <c r="AT645" s="49"/>
      <c r="AU645" s="49"/>
      <c r="AV645" s="49"/>
      <c r="AW645" s="49"/>
      <c r="AX645" s="49"/>
      <c r="AY645" s="49"/>
      <c r="AZ645" s="49"/>
      <c r="BA645" s="49"/>
      <c r="BB645" s="49"/>
      <c r="BC645" s="49"/>
      <c r="BD645" s="49"/>
      <c r="BE645" s="49"/>
      <c r="BF645" s="68"/>
    </row>
    <row r="646" spans="1:58" s="51" customFormat="1" ht="21.75" customHeight="1">
      <c r="A646" s="796"/>
      <c r="B646" s="869"/>
      <c r="C646" s="1103"/>
      <c r="D646" s="62">
        <v>2024</v>
      </c>
      <c r="E646" s="63">
        <f>F646+H646+G646+I646+J646</f>
        <v>2.9</v>
      </c>
      <c r="F646" s="63">
        <v>0</v>
      </c>
      <c r="G646" s="63">
        <v>0</v>
      </c>
      <c r="H646" s="63">
        <v>2.82</v>
      </c>
      <c r="I646" s="63">
        <v>0</v>
      </c>
      <c r="J646" s="63">
        <v>0.08</v>
      </c>
      <c r="K646" s="76">
        <v>0</v>
      </c>
      <c r="L646" s="497">
        <f t="shared" si="223"/>
        <v>2.9</v>
      </c>
      <c r="M646" s="1026"/>
      <c r="N646" s="1168"/>
      <c r="O646" s="963"/>
      <c r="P646" s="1165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  <c r="AR646" s="49"/>
      <c r="AS646" s="49"/>
      <c r="AT646" s="49"/>
      <c r="AU646" s="49"/>
      <c r="AV646" s="49"/>
      <c r="AW646" s="49"/>
      <c r="AX646" s="49"/>
      <c r="AY646" s="49"/>
      <c r="AZ646" s="49"/>
      <c r="BA646" s="49"/>
      <c r="BB646" s="49"/>
      <c r="BC646" s="49"/>
      <c r="BD646" s="49"/>
      <c r="BE646" s="49"/>
      <c r="BF646" s="68"/>
    </row>
    <row r="647" spans="1:58" s="51" customFormat="1" ht="27.75" customHeight="1">
      <c r="A647" s="794" t="s">
        <v>722</v>
      </c>
      <c r="B647" s="867" t="s">
        <v>723</v>
      </c>
      <c r="C647" s="881" t="s">
        <v>532</v>
      </c>
      <c r="D647" s="84" t="s">
        <v>16</v>
      </c>
      <c r="E647" s="85">
        <f t="shared" ref="E647:J647" si="232">E648</f>
        <v>4.8</v>
      </c>
      <c r="F647" s="85">
        <f t="shared" si="232"/>
        <v>0</v>
      </c>
      <c r="G647" s="85">
        <f t="shared" si="232"/>
        <v>0</v>
      </c>
      <c r="H647" s="85">
        <f t="shared" si="232"/>
        <v>4.66</v>
      </c>
      <c r="I647" s="85">
        <f t="shared" si="232"/>
        <v>0</v>
      </c>
      <c r="J647" s="85">
        <f t="shared" si="232"/>
        <v>0.14000000000000001</v>
      </c>
      <c r="K647" s="76">
        <v>0</v>
      </c>
      <c r="L647" s="497">
        <f t="shared" si="223"/>
        <v>4.8</v>
      </c>
      <c r="M647" s="1031" t="s">
        <v>673</v>
      </c>
      <c r="N647" s="1168"/>
      <c r="O647" s="962"/>
      <c r="P647" s="842" t="s">
        <v>724</v>
      </c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  <c r="AR647" s="49"/>
      <c r="AS647" s="49"/>
      <c r="AT647" s="49"/>
      <c r="AU647" s="49"/>
      <c r="AV647" s="49"/>
      <c r="AW647" s="49"/>
      <c r="AX647" s="49"/>
      <c r="AY647" s="49"/>
      <c r="AZ647" s="49"/>
      <c r="BA647" s="49"/>
      <c r="BB647" s="49"/>
      <c r="BC647" s="49"/>
      <c r="BD647" s="49"/>
      <c r="BE647" s="49"/>
      <c r="BF647" s="68"/>
    </row>
    <row r="648" spans="1:58" s="51" customFormat="1" ht="30" customHeight="1">
      <c r="A648" s="796"/>
      <c r="B648" s="869"/>
      <c r="C648" s="1103"/>
      <c r="D648" s="62">
        <v>2024</v>
      </c>
      <c r="E648" s="63">
        <f>F648+G648+H648+I648+J648</f>
        <v>4.8</v>
      </c>
      <c r="F648" s="63">
        <v>0</v>
      </c>
      <c r="G648" s="63">
        <v>0</v>
      </c>
      <c r="H648" s="63">
        <v>4.66</v>
      </c>
      <c r="I648" s="63">
        <v>0</v>
      </c>
      <c r="J648" s="63">
        <v>0.14000000000000001</v>
      </c>
      <c r="K648" s="76">
        <v>0</v>
      </c>
      <c r="L648" s="497">
        <f t="shared" si="223"/>
        <v>4.8</v>
      </c>
      <c r="M648" s="1026"/>
      <c r="N648" s="1168"/>
      <c r="O648" s="963"/>
      <c r="P648" s="843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  <c r="AO648" s="49"/>
      <c r="AP648" s="49"/>
      <c r="AQ648" s="49"/>
      <c r="AR648" s="49"/>
      <c r="AS648" s="49"/>
      <c r="AT648" s="49"/>
      <c r="AU648" s="49"/>
      <c r="AV648" s="49"/>
      <c r="AW648" s="49"/>
      <c r="AX648" s="49"/>
      <c r="AY648" s="49"/>
      <c r="AZ648" s="49"/>
      <c r="BA648" s="49"/>
      <c r="BB648" s="49"/>
      <c r="BC648" s="49"/>
      <c r="BD648" s="49"/>
      <c r="BE648" s="49"/>
      <c r="BF648" s="68"/>
    </row>
    <row r="649" spans="1:58" s="51" customFormat="1" ht="20.25" customHeight="1">
      <c r="A649" s="794" t="s">
        <v>725</v>
      </c>
      <c r="B649" s="867" t="s">
        <v>726</v>
      </c>
      <c r="C649" s="881" t="s">
        <v>532</v>
      </c>
      <c r="D649" s="84" t="s">
        <v>16</v>
      </c>
      <c r="E649" s="136">
        <f t="shared" ref="E649:J649" si="233">E650</f>
        <v>4.3</v>
      </c>
      <c r="F649" s="136">
        <f t="shared" si="233"/>
        <v>0</v>
      </c>
      <c r="G649" s="136">
        <f t="shared" si="233"/>
        <v>0</v>
      </c>
      <c r="H649" s="136">
        <f t="shared" si="233"/>
        <v>4.17</v>
      </c>
      <c r="I649" s="136">
        <f t="shared" si="233"/>
        <v>0</v>
      </c>
      <c r="J649" s="313">
        <f t="shared" si="233"/>
        <v>0.13</v>
      </c>
      <c r="K649" s="76">
        <v>0</v>
      </c>
      <c r="L649" s="497">
        <f t="shared" si="223"/>
        <v>4.3</v>
      </c>
      <c r="M649" s="1031" t="s">
        <v>727</v>
      </c>
      <c r="N649" s="1100"/>
      <c r="O649" s="962"/>
      <c r="P649" s="842" t="s">
        <v>728</v>
      </c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  <c r="AR649" s="49"/>
      <c r="AS649" s="49"/>
      <c r="AT649" s="49"/>
      <c r="AU649" s="49"/>
      <c r="AV649" s="49"/>
      <c r="AW649" s="49"/>
      <c r="AX649" s="49"/>
      <c r="AY649" s="49"/>
      <c r="AZ649" s="49"/>
      <c r="BA649" s="49"/>
      <c r="BB649" s="49"/>
      <c r="BC649" s="49"/>
      <c r="BD649" s="49"/>
      <c r="BE649" s="49"/>
      <c r="BF649" s="68"/>
    </row>
    <row r="650" spans="1:58" s="51" customFormat="1" ht="35.25" customHeight="1">
      <c r="A650" s="958"/>
      <c r="B650" s="869"/>
      <c r="C650" s="1103"/>
      <c r="D650" s="62">
        <v>2024</v>
      </c>
      <c r="E650" s="63">
        <f>F650+G650+H650+I650+J650</f>
        <v>4.3</v>
      </c>
      <c r="F650" s="63">
        <v>0</v>
      </c>
      <c r="G650" s="63">
        <v>0</v>
      </c>
      <c r="H650" s="63">
        <v>4.17</v>
      </c>
      <c r="I650" s="63">
        <v>0</v>
      </c>
      <c r="J650" s="63">
        <v>0.13</v>
      </c>
      <c r="K650" s="76">
        <v>0</v>
      </c>
      <c r="L650" s="497">
        <f t="shared" si="223"/>
        <v>4.3</v>
      </c>
      <c r="M650" s="1026"/>
      <c r="N650" s="1101"/>
      <c r="O650" s="963"/>
      <c r="P650" s="843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  <c r="AR650" s="49"/>
      <c r="AS650" s="49"/>
      <c r="AT650" s="49"/>
      <c r="AU650" s="49"/>
      <c r="AV650" s="49"/>
      <c r="AW650" s="49"/>
      <c r="AX650" s="49"/>
      <c r="AY650" s="49"/>
      <c r="AZ650" s="49"/>
      <c r="BA650" s="49"/>
      <c r="BB650" s="49"/>
      <c r="BC650" s="49"/>
      <c r="BD650" s="49"/>
      <c r="BE650" s="49"/>
      <c r="BF650" s="68"/>
    </row>
    <row r="651" spans="1:58" s="51" customFormat="1" ht="36.75" customHeight="1">
      <c r="A651" s="794" t="s">
        <v>729</v>
      </c>
      <c r="B651" s="867" t="s">
        <v>730</v>
      </c>
      <c r="C651" s="881" t="s">
        <v>532</v>
      </c>
      <c r="D651" s="84" t="s">
        <v>16</v>
      </c>
      <c r="E651" s="313">
        <f t="shared" ref="E651:J651" si="234">E652</f>
        <v>4.3</v>
      </c>
      <c r="F651" s="313">
        <f t="shared" si="234"/>
        <v>0</v>
      </c>
      <c r="G651" s="313">
        <f t="shared" si="234"/>
        <v>0</v>
      </c>
      <c r="H651" s="313">
        <f t="shared" si="234"/>
        <v>4.17</v>
      </c>
      <c r="I651" s="313">
        <f t="shared" si="234"/>
        <v>0</v>
      </c>
      <c r="J651" s="313">
        <f t="shared" si="234"/>
        <v>0.13</v>
      </c>
      <c r="K651" s="76">
        <v>0</v>
      </c>
      <c r="L651" s="497">
        <f t="shared" si="223"/>
        <v>4.3</v>
      </c>
      <c r="M651" s="1029" t="s">
        <v>727</v>
      </c>
      <c r="N651" s="1100"/>
      <c r="O651" s="962"/>
      <c r="P651" s="842" t="s">
        <v>731</v>
      </c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  <c r="AO651" s="49"/>
      <c r="AP651" s="49"/>
      <c r="AQ651" s="49"/>
      <c r="AR651" s="49"/>
      <c r="AS651" s="49"/>
      <c r="AT651" s="49"/>
      <c r="AU651" s="49"/>
      <c r="AV651" s="49"/>
      <c r="AW651" s="49"/>
      <c r="AX651" s="49"/>
      <c r="AY651" s="49"/>
      <c r="AZ651" s="49"/>
      <c r="BA651" s="49"/>
      <c r="BB651" s="49"/>
      <c r="BC651" s="49"/>
      <c r="BD651" s="49"/>
      <c r="BE651" s="49"/>
      <c r="BF651" s="68"/>
    </row>
    <row r="652" spans="1:58" s="51" customFormat="1" ht="21" customHeight="1">
      <c r="A652" s="958"/>
      <c r="B652" s="869"/>
      <c r="C652" s="1103"/>
      <c r="D652" s="84">
        <v>2025</v>
      </c>
      <c r="E652" s="63">
        <f>F652+G652+H652+I652+J652</f>
        <v>4.3</v>
      </c>
      <c r="F652" s="63">
        <v>0</v>
      </c>
      <c r="G652" s="63">
        <v>0</v>
      </c>
      <c r="H652" s="63">
        <v>4.17</v>
      </c>
      <c r="I652" s="63">
        <v>0</v>
      </c>
      <c r="J652" s="63">
        <v>0.13</v>
      </c>
      <c r="K652" s="76">
        <v>0</v>
      </c>
      <c r="L652" s="497">
        <f t="shared" si="223"/>
        <v>4.3</v>
      </c>
      <c r="M652" s="1029"/>
      <c r="N652" s="1101"/>
      <c r="O652" s="963"/>
      <c r="P652" s="843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  <c r="AR652" s="49"/>
      <c r="AS652" s="49"/>
      <c r="AT652" s="49"/>
      <c r="AU652" s="49"/>
      <c r="AV652" s="49"/>
      <c r="AW652" s="49"/>
      <c r="AX652" s="49"/>
      <c r="AY652" s="49"/>
      <c r="AZ652" s="49"/>
      <c r="BA652" s="49"/>
      <c r="BB652" s="49"/>
      <c r="BC652" s="49"/>
      <c r="BD652" s="49"/>
      <c r="BE652" s="49"/>
      <c r="BF652" s="68"/>
    </row>
    <row r="653" spans="1:58" s="51" customFormat="1" ht="24.75" customHeight="1">
      <c r="A653" s="794" t="s">
        <v>732</v>
      </c>
      <c r="B653" s="867" t="s">
        <v>733</v>
      </c>
      <c r="C653" s="881" t="s">
        <v>532</v>
      </c>
      <c r="D653" s="84" t="s">
        <v>16</v>
      </c>
      <c r="E653" s="136">
        <f t="shared" ref="E653:J653" si="235">E654</f>
        <v>4.8</v>
      </c>
      <c r="F653" s="136">
        <f t="shared" si="235"/>
        <v>0</v>
      </c>
      <c r="G653" s="136">
        <f t="shared" si="235"/>
        <v>0</v>
      </c>
      <c r="H653" s="136">
        <f t="shared" si="235"/>
        <v>4.6559999999999997</v>
      </c>
      <c r="I653" s="136">
        <f t="shared" si="235"/>
        <v>0</v>
      </c>
      <c r="J653" s="313">
        <f t="shared" si="235"/>
        <v>0.14399999999999999</v>
      </c>
      <c r="K653" s="76">
        <v>0</v>
      </c>
      <c r="L653" s="497">
        <f t="shared" si="223"/>
        <v>4.8</v>
      </c>
      <c r="M653" s="1029" t="s">
        <v>727</v>
      </c>
      <c r="N653" s="1100"/>
      <c r="O653" s="962"/>
      <c r="P653" s="1174" t="s">
        <v>734</v>
      </c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  <c r="AO653" s="49"/>
      <c r="AP653" s="49"/>
      <c r="AQ653" s="49"/>
      <c r="AR653" s="49"/>
      <c r="AS653" s="49"/>
      <c r="AT653" s="49"/>
      <c r="AU653" s="49"/>
      <c r="AV653" s="49"/>
      <c r="AW653" s="49"/>
      <c r="AX653" s="49"/>
      <c r="AY653" s="49"/>
      <c r="AZ653" s="49"/>
      <c r="BA653" s="49"/>
      <c r="BB653" s="49"/>
      <c r="BC653" s="49"/>
      <c r="BD653" s="49"/>
      <c r="BE653" s="49"/>
      <c r="BF653" s="68"/>
    </row>
    <row r="654" spans="1:58" s="51" customFormat="1" ht="35.25" customHeight="1">
      <c r="A654" s="958"/>
      <c r="B654" s="869"/>
      <c r="C654" s="1103"/>
      <c r="D654" s="429">
        <v>2025</v>
      </c>
      <c r="E654" s="63">
        <f>F654+G654+H654+I654+J654</f>
        <v>4.8</v>
      </c>
      <c r="F654" s="63">
        <v>0</v>
      </c>
      <c r="G654" s="63">
        <v>0</v>
      </c>
      <c r="H654" s="63">
        <v>4.6559999999999997</v>
      </c>
      <c r="I654" s="63">
        <v>0</v>
      </c>
      <c r="J654" s="63">
        <v>0.14399999999999999</v>
      </c>
      <c r="K654" s="76">
        <v>0</v>
      </c>
      <c r="L654" s="497">
        <f t="shared" si="223"/>
        <v>4.8</v>
      </c>
      <c r="M654" s="1029"/>
      <c r="N654" s="1101"/>
      <c r="O654" s="963"/>
      <c r="P654" s="1175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  <c r="AR654" s="49"/>
      <c r="AS654" s="49"/>
      <c r="AT654" s="49"/>
      <c r="AU654" s="49"/>
      <c r="AV654" s="49"/>
      <c r="AW654" s="49"/>
      <c r="AX654" s="49"/>
      <c r="AY654" s="49"/>
      <c r="AZ654" s="49"/>
      <c r="BA654" s="49"/>
      <c r="BB654" s="49"/>
      <c r="BC654" s="49"/>
      <c r="BD654" s="49"/>
      <c r="BE654" s="49"/>
      <c r="BF654" s="68"/>
    </row>
    <row r="655" spans="1:58" s="51" customFormat="1" ht="23.25" customHeight="1">
      <c r="A655" s="794" t="s">
        <v>735</v>
      </c>
      <c r="B655" s="867" t="s">
        <v>736</v>
      </c>
      <c r="C655" s="881" t="s">
        <v>532</v>
      </c>
      <c r="D655" s="84" t="s">
        <v>16</v>
      </c>
      <c r="E655" s="136">
        <f t="shared" ref="E655:J655" si="236">E656</f>
        <v>1.5</v>
      </c>
      <c r="F655" s="136">
        <f t="shared" si="236"/>
        <v>0</v>
      </c>
      <c r="G655" s="136">
        <f t="shared" si="236"/>
        <v>0</v>
      </c>
      <c r="H655" s="136">
        <f t="shared" si="236"/>
        <v>1.425</v>
      </c>
      <c r="I655" s="136">
        <f t="shared" si="236"/>
        <v>0</v>
      </c>
      <c r="J655" s="313">
        <f t="shared" si="236"/>
        <v>7.4999999999999997E-2</v>
      </c>
      <c r="K655" s="76">
        <v>0</v>
      </c>
      <c r="L655" s="497">
        <f t="shared" si="223"/>
        <v>1.5</v>
      </c>
      <c r="M655" s="1029" t="s">
        <v>727</v>
      </c>
      <c r="N655" s="1100"/>
      <c r="O655" s="962"/>
      <c r="P655" s="842" t="s">
        <v>737</v>
      </c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49"/>
      <c r="AU655" s="49"/>
      <c r="AV655" s="49"/>
      <c r="AW655" s="49"/>
      <c r="AX655" s="49"/>
      <c r="AY655" s="49"/>
      <c r="AZ655" s="49"/>
      <c r="BA655" s="49"/>
      <c r="BB655" s="49"/>
      <c r="BC655" s="49"/>
      <c r="BD655" s="49"/>
      <c r="BE655" s="49"/>
      <c r="BF655" s="68"/>
    </row>
    <row r="656" spans="1:58" s="51" customFormat="1" ht="34.5" customHeight="1">
      <c r="A656" s="958"/>
      <c r="B656" s="869"/>
      <c r="C656" s="1103"/>
      <c r="D656" s="62">
        <v>2025</v>
      </c>
      <c r="E656" s="63">
        <f>F656+G656+H656+I656+J656</f>
        <v>1.5</v>
      </c>
      <c r="F656" s="63">
        <v>0</v>
      </c>
      <c r="G656" s="63">
        <v>0</v>
      </c>
      <c r="H656" s="63">
        <v>1.425</v>
      </c>
      <c r="I656" s="63">
        <v>0</v>
      </c>
      <c r="J656" s="63">
        <v>7.4999999999999997E-2</v>
      </c>
      <c r="K656" s="76">
        <v>0</v>
      </c>
      <c r="L656" s="497">
        <f t="shared" si="223"/>
        <v>1.5</v>
      </c>
      <c r="M656" s="1029"/>
      <c r="N656" s="1101"/>
      <c r="O656" s="963"/>
      <c r="P656" s="843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  <c r="AR656" s="49"/>
      <c r="AS656" s="49"/>
      <c r="AT656" s="49"/>
      <c r="AU656" s="49"/>
      <c r="AV656" s="49"/>
      <c r="AW656" s="49"/>
      <c r="AX656" s="49"/>
      <c r="AY656" s="49"/>
      <c r="AZ656" s="49"/>
      <c r="BA656" s="49"/>
      <c r="BB656" s="49"/>
      <c r="BC656" s="49"/>
      <c r="BD656" s="49"/>
      <c r="BE656" s="49"/>
      <c r="BF656" s="68"/>
    </row>
    <row r="657" spans="1:58" s="51" customFormat="1" ht="21.75" customHeight="1">
      <c r="A657" s="794" t="s">
        <v>738</v>
      </c>
      <c r="B657" s="867" t="s">
        <v>739</v>
      </c>
      <c r="C657" s="881" t="s">
        <v>532</v>
      </c>
      <c r="D657" s="84" t="s">
        <v>16</v>
      </c>
      <c r="E657" s="136">
        <f t="shared" ref="E657:J657" si="237">E658</f>
        <v>4.8</v>
      </c>
      <c r="F657" s="136">
        <f t="shared" si="237"/>
        <v>0</v>
      </c>
      <c r="G657" s="136">
        <f t="shared" si="237"/>
        <v>0</v>
      </c>
      <c r="H657" s="136">
        <f t="shared" si="237"/>
        <v>4.6559999999999997</v>
      </c>
      <c r="I657" s="136">
        <f t="shared" si="237"/>
        <v>0</v>
      </c>
      <c r="J657" s="313">
        <f t="shared" si="237"/>
        <v>0.14399999999999999</v>
      </c>
      <c r="K657" s="76">
        <v>0</v>
      </c>
      <c r="L657" s="497">
        <f t="shared" si="223"/>
        <v>4.8</v>
      </c>
      <c r="M657" s="1029" t="s">
        <v>673</v>
      </c>
      <c r="N657" s="1100"/>
      <c r="O657" s="962"/>
      <c r="P657" s="842" t="s">
        <v>740</v>
      </c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  <c r="AR657" s="49"/>
      <c r="AS657" s="49"/>
      <c r="AT657" s="49"/>
      <c r="AU657" s="49"/>
      <c r="AV657" s="49"/>
      <c r="AW657" s="49"/>
      <c r="AX657" s="49"/>
      <c r="AY657" s="49"/>
      <c r="AZ657" s="49"/>
      <c r="BA657" s="49"/>
      <c r="BB657" s="49"/>
      <c r="BC657" s="49"/>
      <c r="BD657" s="49"/>
      <c r="BE657" s="49"/>
      <c r="BF657" s="68"/>
    </row>
    <row r="658" spans="1:58" s="51" customFormat="1" ht="32.25" customHeight="1">
      <c r="A658" s="958"/>
      <c r="B658" s="869"/>
      <c r="C658" s="1103"/>
      <c r="D658" s="62">
        <v>2023</v>
      </c>
      <c r="E658" s="63">
        <f>F658+G658+H658+I658+J658</f>
        <v>4.8</v>
      </c>
      <c r="F658" s="63">
        <v>0</v>
      </c>
      <c r="G658" s="63">
        <v>0</v>
      </c>
      <c r="H658" s="63">
        <v>4.6559999999999997</v>
      </c>
      <c r="I658" s="63">
        <v>0</v>
      </c>
      <c r="J658" s="63">
        <v>0.14399999999999999</v>
      </c>
      <c r="K658" s="76">
        <v>0</v>
      </c>
      <c r="L658" s="497">
        <f t="shared" si="223"/>
        <v>4.8</v>
      </c>
      <c r="M658" s="1029"/>
      <c r="N658" s="1101"/>
      <c r="O658" s="963"/>
      <c r="P658" s="843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  <c r="AR658" s="49"/>
      <c r="AS658" s="49"/>
      <c r="AT658" s="49"/>
      <c r="AU658" s="49"/>
      <c r="AV658" s="49"/>
      <c r="AW658" s="49"/>
      <c r="AX658" s="49"/>
      <c r="AY658" s="49"/>
      <c r="AZ658" s="49"/>
      <c r="BA658" s="49"/>
      <c r="BB658" s="49"/>
      <c r="BC658" s="49"/>
      <c r="BD658" s="49"/>
      <c r="BE658" s="49"/>
      <c r="BF658" s="68"/>
    </row>
    <row r="659" spans="1:58" s="51" customFormat="1">
      <c r="A659" s="794" t="s">
        <v>741</v>
      </c>
      <c r="B659" s="867" t="s">
        <v>742</v>
      </c>
      <c r="C659" s="881" t="s">
        <v>532</v>
      </c>
      <c r="D659" s="84" t="s">
        <v>16</v>
      </c>
      <c r="E659" s="136">
        <f t="shared" ref="E659:J659" si="238">E660</f>
        <v>4.3</v>
      </c>
      <c r="F659" s="136">
        <f t="shared" si="238"/>
        <v>0</v>
      </c>
      <c r="G659" s="136">
        <f t="shared" si="238"/>
        <v>0</v>
      </c>
      <c r="H659" s="136">
        <f t="shared" si="238"/>
        <v>4.17</v>
      </c>
      <c r="I659" s="136">
        <f t="shared" si="238"/>
        <v>0</v>
      </c>
      <c r="J659" s="313">
        <f t="shared" si="238"/>
        <v>0.13</v>
      </c>
      <c r="K659" s="76">
        <v>0</v>
      </c>
      <c r="L659" s="497">
        <f t="shared" si="223"/>
        <v>4.3</v>
      </c>
      <c r="M659" s="1028" t="s">
        <v>673</v>
      </c>
      <c r="N659" s="1100"/>
      <c r="O659" s="962"/>
      <c r="P659" s="842" t="s">
        <v>539</v>
      </c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  <c r="AR659" s="49"/>
      <c r="AS659" s="49"/>
      <c r="AT659" s="49"/>
      <c r="AU659" s="49"/>
      <c r="AV659" s="49"/>
      <c r="AW659" s="49"/>
      <c r="AX659" s="49"/>
      <c r="AY659" s="49"/>
      <c r="AZ659" s="49"/>
      <c r="BA659" s="49"/>
      <c r="BB659" s="49"/>
      <c r="BC659" s="49"/>
      <c r="BD659" s="49"/>
      <c r="BE659" s="49"/>
      <c r="BF659" s="68"/>
    </row>
    <row r="660" spans="1:58" s="51" customFormat="1" ht="39.75" customHeight="1">
      <c r="A660" s="958"/>
      <c r="B660" s="869"/>
      <c r="C660" s="1103"/>
      <c r="D660" s="62">
        <v>2029</v>
      </c>
      <c r="E660" s="63">
        <f>F660+G660+H660+I660+J660</f>
        <v>4.3</v>
      </c>
      <c r="F660" s="63">
        <v>0</v>
      </c>
      <c r="G660" s="63">
        <v>0</v>
      </c>
      <c r="H660" s="63">
        <v>4.17</v>
      </c>
      <c r="I660" s="63">
        <v>0</v>
      </c>
      <c r="J660" s="63">
        <v>0.13</v>
      </c>
      <c r="K660" s="76">
        <v>0</v>
      </c>
      <c r="L660" s="497">
        <f t="shared" si="223"/>
        <v>4.3</v>
      </c>
      <c r="M660" s="1026"/>
      <c r="N660" s="1101"/>
      <c r="O660" s="963"/>
      <c r="P660" s="843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  <c r="AR660" s="49"/>
      <c r="AS660" s="49"/>
      <c r="AT660" s="49"/>
      <c r="AU660" s="49"/>
      <c r="AV660" s="49"/>
      <c r="AW660" s="49"/>
      <c r="AX660" s="49"/>
      <c r="AY660" s="49"/>
      <c r="AZ660" s="49"/>
      <c r="BA660" s="49"/>
      <c r="BB660" s="49"/>
      <c r="BC660" s="49"/>
      <c r="BD660" s="49"/>
      <c r="BE660" s="49"/>
      <c r="BF660" s="68"/>
    </row>
    <row r="661" spans="1:58" s="51" customFormat="1" ht="25.5" customHeight="1">
      <c r="A661" s="1110" t="s">
        <v>1206</v>
      </c>
      <c r="B661" s="881" t="s">
        <v>1207</v>
      </c>
      <c r="C661" s="881" t="s">
        <v>532</v>
      </c>
      <c r="D661" s="84" t="s">
        <v>16</v>
      </c>
      <c r="E661" s="63">
        <f t="shared" ref="E661:J661" si="239">E662</f>
        <v>2</v>
      </c>
      <c r="F661" s="63">
        <f t="shared" si="239"/>
        <v>0</v>
      </c>
      <c r="G661" s="63">
        <f t="shared" si="239"/>
        <v>0</v>
      </c>
      <c r="H661" s="63">
        <f t="shared" si="239"/>
        <v>1.9</v>
      </c>
      <c r="I661" s="63">
        <f t="shared" si="239"/>
        <v>0</v>
      </c>
      <c r="J661" s="63">
        <f t="shared" si="239"/>
        <v>0.1</v>
      </c>
      <c r="K661" s="76">
        <v>0</v>
      </c>
      <c r="L661" s="497"/>
      <c r="M661" s="1028" t="s">
        <v>1208</v>
      </c>
      <c r="N661" s="1100"/>
      <c r="O661" s="962"/>
      <c r="P661" s="842" t="s">
        <v>586</v>
      </c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  <c r="AT661" s="49"/>
      <c r="AU661" s="49"/>
      <c r="AV661" s="49"/>
      <c r="AW661" s="49"/>
      <c r="AX661" s="49"/>
      <c r="AY661" s="49"/>
      <c r="AZ661" s="49"/>
      <c r="BA661" s="49"/>
      <c r="BB661" s="49"/>
      <c r="BC661" s="49"/>
      <c r="BD661" s="49"/>
      <c r="BE661" s="49"/>
      <c r="BF661" s="68"/>
    </row>
    <row r="662" spans="1:58" s="51" customFormat="1" ht="34.5" customHeight="1">
      <c r="A662" s="1110"/>
      <c r="B662" s="964"/>
      <c r="C662" s="1103"/>
      <c r="D662" s="62">
        <v>2024</v>
      </c>
      <c r="E662" s="63">
        <f>F662+G662+H662+I662+J662</f>
        <v>2</v>
      </c>
      <c r="F662" s="63">
        <v>0</v>
      </c>
      <c r="G662" s="63">
        <v>0</v>
      </c>
      <c r="H662" s="63">
        <v>1.9</v>
      </c>
      <c r="I662" s="63">
        <v>0</v>
      </c>
      <c r="J662" s="63">
        <v>0.1</v>
      </c>
      <c r="K662" s="76">
        <v>0</v>
      </c>
      <c r="L662" s="497"/>
      <c r="M662" s="1026"/>
      <c r="N662" s="1213"/>
      <c r="O662" s="963"/>
      <c r="P662" s="843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  <c r="AT662" s="49"/>
      <c r="AU662" s="49"/>
      <c r="AV662" s="49"/>
      <c r="AW662" s="49"/>
      <c r="AX662" s="49"/>
      <c r="AY662" s="49"/>
      <c r="AZ662" s="49"/>
      <c r="BA662" s="49"/>
      <c r="BB662" s="49"/>
      <c r="BC662" s="49"/>
      <c r="BD662" s="49"/>
      <c r="BE662" s="49"/>
      <c r="BF662" s="68"/>
    </row>
    <row r="663" spans="1:58" s="51" customFormat="1">
      <c r="A663" s="1111" t="s">
        <v>1209</v>
      </c>
      <c r="B663" s="881" t="s">
        <v>1210</v>
      </c>
      <c r="C663" s="881" t="s">
        <v>1211</v>
      </c>
      <c r="D663" s="84" t="s">
        <v>16</v>
      </c>
      <c r="E663" s="63">
        <f t="shared" ref="E663:J663" si="240">E664</f>
        <v>3</v>
      </c>
      <c r="F663" s="63">
        <f t="shared" si="240"/>
        <v>0</v>
      </c>
      <c r="G663" s="63">
        <f t="shared" si="240"/>
        <v>0</v>
      </c>
      <c r="H663" s="63">
        <f t="shared" si="240"/>
        <v>3</v>
      </c>
      <c r="I663" s="63">
        <f t="shared" si="240"/>
        <v>0</v>
      </c>
      <c r="J663" s="63">
        <f t="shared" si="240"/>
        <v>0</v>
      </c>
      <c r="K663" s="76">
        <v>0</v>
      </c>
      <c r="L663" s="497"/>
      <c r="M663" s="549"/>
      <c r="N663" s="1100"/>
      <c r="O663" s="962"/>
      <c r="P663" s="360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49"/>
      <c r="AT663" s="49"/>
      <c r="AU663" s="49"/>
      <c r="AV663" s="49"/>
      <c r="AW663" s="49"/>
      <c r="AX663" s="49"/>
      <c r="AY663" s="49"/>
      <c r="AZ663" s="49"/>
      <c r="BA663" s="49"/>
      <c r="BB663" s="49"/>
      <c r="BC663" s="49"/>
      <c r="BD663" s="49"/>
      <c r="BE663" s="49"/>
      <c r="BF663" s="68"/>
    </row>
    <row r="664" spans="1:58" s="51" customFormat="1" ht="30.75" customHeight="1">
      <c r="A664" s="1039"/>
      <c r="B664" s="882"/>
      <c r="C664" s="882"/>
      <c r="D664" s="429">
        <v>2022</v>
      </c>
      <c r="E664" s="63">
        <f>F664+G664+H664+I664+J664</f>
        <v>3</v>
      </c>
      <c r="F664" s="63">
        <v>0</v>
      </c>
      <c r="G664" s="63">
        <v>0</v>
      </c>
      <c r="H664" s="63">
        <v>3</v>
      </c>
      <c r="I664" s="63">
        <v>0</v>
      </c>
      <c r="J664" s="63">
        <v>0</v>
      </c>
      <c r="K664" s="76">
        <v>0</v>
      </c>
      <c r="L664" s="497"/>
      <c r="M664" s="549"/>
      <c r="N664" s="1213"/>
      <c r="O664" s="971"/>
      <c r="P664" s="360" t="s">
        <v>596</v>
      </c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  <c r="AO664" s="49"/>
      <c r="AP664" s="49"/>
      <c r="AQ664" s="49"/>
      <c r="AR664" s="49"/>
      <c r="AS664" s="49"/>
      <c r="AT664" s="49"/>
      <c r="AU664" s="49"/>
      <c r="AV664" s="49"/>
      <c r="AW664" s="49"/>
      <c r="AX664" s="49"/>
      <c r="AY664" s="49"/>
      <c r="AZ664" s="49"/>
      <c r="BA664" s="49"/>
      <c r="BB664" s="49"/>
      <c r="BC664" s="49"/>
      <c r="BD664" s="49"/>
      <c r="BE664" s="49"/>
      <c r="BF664" s="68"/>
    </row>
    <row r="665" spans="1:58" s="51" customFormat="1" ht="12.75" customHeight="1">
      <c r="A665" s="794" t="s">
        <v>1212</v>
      </c>
      <c r="B665" s="867" t="s">
        <v>744</v>
      </c>
      <c r="C665" s="881" t="s">
        <v>745</v>
      </c>
      <c r="D665" s="84" t="s">
        <v>16</v>
      </c>
      <c r="E665" s="136">
        <f t="shared" ref="E665:J665" si="241">E666</f>
        <v>100</v>
      </c>
      <c r="F665" s="136">
        <f t="shared" si="241"/>
        <v>0</v>
      </c>
      <c r="G665" s="136">
        <f t="shared" si="241"/>
        <v>0</v>
      </c>
      <c r="H665" s="136">
        <f t="shared" si="241"/>
        <v>99</v>
      </c>
      <c r="I665" s="136">
        <f t="shared" si="241"/>
        <v>0</v>
      </c>
      <c r="J665" s="313">
        <f t="shared" si="241"/>
        <v>1</v>
      </c>
      <c r="K665" s="76">
        <v>0</v>
      </c>
      <c r="L665" s="497">
        <f t="shared" ref="L665:L696" si="242">F665+G665+H665+I665+J665</f>
        <v>100</v>
      </c>
      <c r="M665" s="1031" t="s">
        <v>746</v>
      </c>
      <c r="N665" s="1100"/>
      <c r="O665" s="962"/>
      <c r="P665" s="842" t="s">
        <v>747</v>
      </c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  <c r="AO665" s="49"/>
      <c r="AP665" s="49"/>
      <c r="AQ665" s="49"/>
      <c r="AR665" s="49"/>
      <c r="AS665" s="49"/>
      <c r="AT665" s="49"/>
      <c r="AU665" s="49"/>
      <c r="AV665" s="49"/>
      <c r="AW665" s="49"/>
      <c r="AX665" s="49"/>
      <c r="AY665" s="49"/>
      <c r="AZ665" s="49"/>
      <c r="BA665" s="49"/>
      <c r="BB665" s="49"/>
      <c r="BC665" s="49"/>
      <c r="BD665" s="49"/>
      <c r="BE665" s="49"/>
      <c r="BF665" s="68"/>
    </row>
    <row r="666" spans="1:58" s="51" customFormat="1" ht="31.5" customHeight="1">
      <c r="A666" s="796"/>
      <c r="B666" s="873"/>
      <c r="C666" s="964"/>
      <c r="D666" s="62">
        <v>2020</v>
      </c>
      <c r="E666" s="63">
        <f>F666+G666+H666+I666+J666</f>
        <v>100</v>
      </c>
      <c r="F666" s="63">
        <v>0</v>
      </c>
      <c r="G666" s="63">
        <v>0</v>
      </c>
      <c r="H666" s="63">
        <v>99</v>
      </c>
      <c r="I666" s="63">
        <v>0</v>
      </c>
      <c r="J666" s="63">
        <v>1</v>
      </c>
      <c r="K666" s="76">
        <v>0</v>
      </c>
      <c r="L666" s="497">
        <f t="shared" si="242"/>
        <v>100</v>
      </c>
      <c r="M666" s="1033"/>
      <c r="N666" s="1101"/>
      <c r="O666" s="963"/>
      <c r="P666" s="843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  <c r="AR666" s="49"/>
      <c r="AS666" s="49"/>
      <c r="AT666" s="49"/>
      <c r="AU666" s="49"/>
      <c r="AV666" s="49"/>
      <c r="AW666" s="49"/>
      <c r="AX666" s="49"/>
      <c r="AY666" s="49"/>
      <c r="AZ666" s="49"/>
      <c r="BA666" s="49"/>
      <c r="BB666" s="49"/>
      <c r="BC666" s="49"/>
      <c r="BD666" s="49"/>
      <c r="BE666" s="49"/>
      <c r="BF666" s="68"/>
    </row>
    <row r="667" spans="1:58" s="51" customFormat="1" ht="19.5" customHeight="1">
      <c r="A667" s="794" t="s">
        <v>1213</v>
      </c>
      <c r="B667" s="881" t="s">
        <v>749</v>
      </c>
      <c r="C667" s="915" t="s">
        <v>750</v>
      </c>
      <c r="D667" s="84" t="s">
        <v>16</v>
      </c>
      <c r="E667" s="85">
        <f t="shared" ref="E667:J667" si="243">E668+E669</f>
        <v>44.984699999999997</v>
      </c>
      <c r="F667" s="85">
        <f t="shared" si="243"/>
        <v>5.7218</v>
      </c>
      <c r="G667" s="85">
        <f t="shared" si="243"/>
        <v>0</v>
      </c>
      <c r="H667" s="85">
        <f t="shared" si="243"/>
        <v>39.262899999999995</v>
      </c>
      <c r="I667" s="85">
        <f t="shared" si="243"/>
        <v>0</v>
      </c>
      <c r="J667" s="85">
        <f t="shared" si="243"/>
        <v>0</v>
      </c>
      <c r="K667" s="76">
        <v>0</v>
      </c>
      <c r="L667" s="497">
        <f t="shared" si="242"/>
        <v>44.984699999999997</v>
      </c>
      <c r="M667" s="375"/>
      <c r="N667" s="565"/>
      <c r="O667" s="566"/>
      <c r="P667" s="1121" t="s">
        <v>405</v>
      </c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  <c r="AR667" s="49"/>
      <c r="AS667" s="49"/>
      <c r="AT667" s="49"/>
      <c r="AU667" s="49"/>
      <c r="AV667" s="49"/>
      <c r="AW667" s="49"/>
      <c r="AX667" s="49"/>
      <c r="AY667" s="49"/>
      <c r="AZ667" s="49"/>
      <c r="BA667" s="49"/>
      <c r="BB667" s="49"/>
      <c r="BC667" s="49"/>
      <c r="BD667" s="49"/>
      <c r="BE667" s="49"/>
      <c r="BF667" s="68"/>
    </row>
    <row r="668" spans="1:58" s="51" customFormat="1" ht="45.75" customHeight="1">
      <c r="A668" s="795"/>
      <c r="B668" s="882"/>
      <c r="C668" s="1120"/>
      <c r="D668" s="84">
        <v>2019</v>
      </c>
      <c r="E668" s="85">
        <f t="shared" ref="E668:J668" si="244">E670+E671+E672+E673+E674+E675+E676+E677+E678+E679</f>
        <v>26.270899999999997</v>
      </c>
      <c r="F668" s="85">
        <f t="shared" si="244"/>
        <v>3.2890000000000001</v>
      </c>
      <c r="G668" s="85">
        <f t="shared" si="244"/>
        <v>0</v>
      </c>
      <c r="H668" s="85">
        <f t="shared" si="244"/>
        <v>22.981899999999996</v>
      </c>
      <c r="I668" s="85">
        <f t="shared" si="244"/>
        <v>0</v>
      </c>
      <c r="J668" s="85">
        <f t="shared" si="244"/>
        <v>0</v>
      </c>
      <c r="K668" s="76">
        <v>0</v>
      </c>
      <c r="L668" s="497">
        <f t="shared" si="242"/>
        <v>26.270899999999997</v>
      </c>
      <c r="M668" s="402"/>
      <c r="N668" s="565"/>
      <c r="O668" s="566"/>
      <c r="P668" s="116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49"/>
      <c r="AU668" s="49"/>
      <c r="AV668" s="49"/>
      <c r="AW668" s="49"/>
      <c r="AX668" s="49"/>
      <c r="AY668" s="49"/>
      <c r="AZ668" s="49"/>
      <c r="BA668" s="49"/>
      <c r="BB668" s="49"/>
      <c r="BC668" s="49"/>
      <c r="BD668" s="49"/>
      <c r="BE668" s="49"/>
      <c r="BF668" s="68"/>
    </row>
    <row r="669" spans="1:58" s="51" customFormat="1" ht="21.75" customHeight="1">
      <c r="A669" s="151"/>
      <c r="B669" s="964"/>
      <c r="C669" s="1120"/>
      <c r="D669" s="84">
        <v>2020</v>
      </c>
      <c r="E669" s="85">
        <f t="shared" ref="E669:J669" si="245">E680+E681+E682</f>
        <v>18.713799999999999</v>
      </c>
      <c r="F669" s="85">
        <f t="shared" si="245"/>
        <v>2.4327999999999999</v>
      </c>
      <c r="G669" s="85">
        <f t="shared" si="245"/>
        <v>0</v>
      </c>
      <c r="H669" s="85">
        <f t="shared" si="245"/>
        <v>16.280999999999999</v>
      </c>
      <c r="I669" s="85">
        <f t="shared" si="245"/>
        <v>0</v>
      </c>
      <c r="J669" s="85">
        <f t="shared" si="245"/>
        <v>0</v>
      </c>
      <c r="K669" s="76">
        <v>0</v>
      </c>
      <c r="L669" s="497">
        <f t="shared" si="242"/>
        <v>18.713799999999999</v>
      </c>
      <c r="M669" s="375"/>
      <c r="N669" s="565"/>
      <c r="O669" s="566"/>
      <c r="P669" s="116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  <c r="AO669" s="49"/>
      <c r="AP669" s="49"/>
      <c r="AQ669" s="49"/>
      <c r="AR669" s="49"/>
      <c r="AS669" s="49"/>
      <c r="AT669" s="49"/>
      <c r="AU669" s="49"/>
      <c r="AV669" s="49"/>
      <c r="AW669" s="49"/>
      <c r="AX669" s="49"/>
      <c r="AY669" s="49"/>
      <c r="AZ669" s="49"/>
      <c r="BA669" s="49"/>
      <c r="BB669" s="49"/>
      <c r="BC669" s="49"/>
      <c r="BD669" s="49"/>
      <c r="BE669" s="49"/>
      <c r="BF669" s="68"/>
    </row>
    <row r="670" spans="1:58" s="51" customFormat="1" ht="110.25" customHeight="1">
      <c r="A670" s="59" t="s">
        <v>790</v>
      </c>
      <c r="B670" s="60" t="s">
        <v>752</v>
      </c>
      <c r="C670" s="1120"/>
      <c r="D670" s="62">
        <v>2019</v>
      </c>
      <c r="E670" s="63">
        <f t="shared" ref="E670:E682" si="246">F670+G670+H670+I670+J670</f>
        <v>1.5590000000000002</v>
      </c>
      <c r="F670" s="63">
        <v>0.20300000000000001</v>
      </c>
      <c r="G670" s="63">
        <v>0</v>
      </c>
      <c r="H670" s="63">
        <v>1.3560000000000001</v>
      </c>
      <c r="I670" s="63">
        <v>0</v>
      </c>
      <c r="J670" s="63">
        <v>0</v>
      </c>
      <c r="K670" s="76">
        <v>0</v>
      </c>
      <c r="L670" s="497">
        <f t="shared" si="242"/>
        <v>1.5590000000000002</v>
      </c>
      <c r="M670" s="185" t="s">
        <v>753</v>
      </c>
      <c r="N670" s="565"/>
      <c r="O670" s="566"/>
      <c r="P670" s="1120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  <c r="AO670" s="49"/>
      <c r="AP670" s="49"/>
      <c r="AQ670" s="49"/>
      <c r="AR670" s="49"/>
      <c r="AS670" s="49"/>
      <c r="AT670" s="49"/>
      <c r="AU670" s="49"/>
      <c r="AV670" s="49"/>
      <c r="AW670" s="49"/>
      <c r="AX670" s="49"/>
      <c r="AY670" s="49"/>
      <c r="AZ670" s="49"/>
      <c r="BA670" s="49"/>
      <c r="BB670" s="49"/>
      <c r="BC670" s="49"/>
      <c r="BD670" s="49"/>
      <c r="BE670" s="49"/>
      <c r="BF670" s="68"/>
    </row>
    <row r="671" spans="1:58" s="51" customFormat="1" ht="105" customHeight="1">
      <c r="A671" s="59" t="s">
        <v>796</v>
      </c>
      <c r="B671" s="60" t="s">
        <v>755</v>
      </c>
      <c r="C671" s="1120"/>
      <c r="D671" s="62">
        <v>2019</v>
      </c>
      <c r="E671" s="63">
        <f t="shared" si="246"/>
        <v>3.2126000000000001</v>
      </c>
      <c r="F671" s="63">
        <v>0.41760000000000003</v>
      </c>
      <c r="G671" s="63">
        <v>0</v>
      </c>
      <c r="H671" s="63">
        <v>2.7949999999999999</v>
      </c>
      <c r="I671" s="63">
        <v>0</v>
      </c>
      <c r="J671" s="63">
        <v>0</v>
      </c>
      <c r="K671" s="76">
        <v>0</v>
      </c>
      <c r="L671" s="497">
        <f t="shared" si="242"/>
        <v>3.2126000000000001</v>
      </c>
      <c r="M671" s="185" t="s">
        <v>756</v>
      </c>
      <c r="N671" s="565"/>
      <c r="O671" s="305"/>
      <c r="P671" s="1120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  <c r="AR671" s="49"/>
      <c r="AS671" s="49"/>
      <c r="AT671" s="49"/>
      <c r="AU671" s="49"/>
      <c r="AV671" s="49"/>
      <c r="AW671" s="49"/>
      <c r="AX671" s="49"/>
      <c r="AY671" s="49"/>
      <c r="AZ671" s="49"/>
      <c r="BA671" s="49"/>
      <c r="BB671" s="49"/>
      <c r="BC671" s="49"/>
      <c r="BD671" s="49"/>
      <c r="BE671" s="49"/>
      <c r="BF671" s="68"/>
    </row>
    <row r="672" spans="1:58" s="51" customFormat="1" ht="103.5" customHeight="1">
      <c r="A672" s="59" t="s">
        <v>802</v>
      </c>
      <c r="B672" s="60" t="s">
        <v>758</v>
      </c>
      <c r="C672" s="1120"/>
      <c r="D672" s="62">
        <v>2019</v>
      </c>
      <c r="E672" s="63">
        <f t="shared" si="246"/>
        <v>1.7907999999999999</v>
      </c>
      <c r="F672" s="63">
        <v>0.23280000000000001</v>
      </c>
      <c r="G672" s="63">
        <v>0</v>
      </c>
      <c r="H672" s="63">
        <v>1.5580000000000001</v>
      </c>
      <c r="I672" s="63">
        <v>0</v>
      </c>
      <c r="J672" s="63">
        <v>0</v>
      </c>
      <c r="K672" s="76">
        <v>0</v>
      </c>
      <c r="L672" s="497">
        <f t="shared" si="242"/>
        <v>1.7907999999999999</v>
      </c>
      <c r="M672" s="185" t="s">
        <v>759</v>
      </c>
      <c r="N672" s="565"/>
      <c r="O672" s="305"/>
      <c r="P672" s="1120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  <c r="AR672" s="49"/>
      <c r="AS672" s="49"/>
      <c r="AT672" s="49"/>
      <c r="AU672" s="49"/>
      <c r="AV672" s="49"/>
      <c r="AW672" s="49"/>
      <c r="AX672" s="49"/>
      <c r="AY672" s="49"/>
      <c r="AZ672" s="49"/>
      <c r="BA672" s="49"/>
      <c r="BB672" s="49"/>
      <c r="BC672" s="49"/>
      <c r="BD672" s="49"/>
      <c r="BE672" s="49"/>
      <c r="BF672" s="68"/>
    </row>
    <row r="673" spans="1:58" s="51" customFormat="1" ht="103.5" customHeight="1">
      <c r="A673" s="59" t="s">
        <v>808</v>
      </c>
      <c r="B673" s="60" t="s">
        <v>761</v>
      </c>
      <c r="C673" s="1120"/>
      <c r="D673" s="62">
        <v>2019</v>
      </c>
      <c r="E673" s="63">
        <f t="shared" si="246"/>
        <v>3.2126000000000001</v>
      </c>
      <c r="F673" s="63">
        <v>0.41760000000000003</v>
      </c>
      <c r="G673" s="63">
        <v>0</v>
      </c>
      <c r="H673" s="63">
        <v>2.7949999999999999</v>
      </c>
      <c r="I673" s="63">
        <v>0</v>
      </c>
      <c r="J673" s="63">
        <v>0</v>
      </c>
      <c r="K673" s="76">
        <v>0</v>
      </c>
      <c r="L673" s="497">
        <f t="shared" si="242"/>
        <v>3.2126000000000001</v>
      </c>
      <c r="M673" s="185" t="s">
        <v>762</v>
      </c>
      <c r="N673" s="565"/>
      <c r="O673" s="305"/>
      <c r="P673" s="1120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  <c r="AO673" s="49"/>
      <c r="AP673" s="49"/>
      <c r="AQ673" s="49"/>
      <c r="AR673" s="49"/>
      <c r="AS673" s="49"/>
      <c r="AT673" s="49"/>
      <c r="AU673" s="49"/>
      <c r="AV673" s="49"/>
      <c r="AW673" s="49"/>
      <c r="AX673" s="49"/>
      <c r="AY673" s="49"/>
      <c r="AZ673" s="49"/>
      <c r="BA673" s="49"/>
      <c r="BB673" s="49"/>
      <c r="BC673" s="49"/>
      <c r="BD673" s="49"/>
      <c r="BE673" s="49"/>
      <c r="BF673" s="68"/>
    </row>
    <row r="674" spans="1:58" s="51" customFormat="1" ht="100.5" customHeight="1">
      <c r="A674" s="59" t="s">
        <v>818</v>
      </c>
      <c r="B674" s="60" t="s">
        <v>764</v>
      </c>
      <c r="C674" s="1120"/>
      <c r="D674" s="62">
        <v>2019</v>
      </c>
      <c r="E674" s="63">
        <f t="shared" si="246"/>
        <v>1.7907999999999999</v>
      </c>
      <c r="F674" s="63">
        <v>0.23280000000000001</v>
      </c>
      <c r="G674" s="63">
        <v>0</v>
      </c>
      <c r="H674" s="63">
        <v>1.5580000000000001</v>
      </c>
      <c r="I674" s="63">
        <v>0</v>
      </c>
      <c r="J674" s="63">
        <v>0</v>
      </c>
      <c r="K674" s="76">
        <v>0</v>
      </c>
      <c r="L674" s="497">
        <f t="shared" si="242"/>
        <v>1.7907999999999999</v>
      </c>
      <c r="M674" s="185" t="s">
        <v>759</v>
      </c>
      <c r="N674" s="565"/>
      <c r="O674" s="305"/>
      <c r="P674" s="1120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  <c r="AT674" s="49"/>
      <c r="AU674" s="49"/>
      <c r="AV674" s="49"/>
      <c r="AW674" s="49"/>
      <c r="AX674" s="49"/>
      <c r="AY674" s="49"/>
      <c r="AZ674" s="49"/>
      <c r="BA674" s="49"/>
      <c r="BB674" s="49"/>
      <c r="BC674" s="49"/>
      <c r="BD674" s="49"/>
      <c r="BE674" s="49"/>
      <c r="BF674" s="68"/>
    </row>
    <row r="675" spans="1:58" s="51" customFormat="1" ht="105.75" customHeight="1">
      <c r="A675" s="83" t="s">
        <v>822</v>
      </c>
      <c r="B675" s="61" t="s">
        <v>766</v>
      </c>
      <c r="C675" s="1120"/>
      <c r="D675" s="62">
        <v>2019</v>
      </c>
      <c r="E675" s="63">
        <f t="shared" si="246"/>
        <v>3.2126000000000001</v>
      </c>
      <c r="F675" s="63">
        <v>0.41760000000000003</v>
      </c>
      <c r="G675" s="63">
        <v>0</v>
      </c>
      <c r="H675" s="63">
        <v>2.7949999999999999</v>
      </c>
      <c r="I675" s="63">
        <v>0</v>
      </c>
      <c r="J675" s="63">
        <v>0</v>
      </c>
      <c r="K675" s="76">
        <v>0</v>
      </c>
      <c r="L675" s="497">
        <f t="shared" si="242"/>
        <v>3.2126000000000001</v>
      </c>
      <c r="M675" s="185" t="s">
        <v>767</v>
      </c>
      <c r="N675" s="565"/>
      <c r="O675" s="305"/>
      <c r="P675" s="1120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  <c r="AO675" s="49"/>
      <c r="AP675" s="49"/>
      <c r="AQ675" s="49"/>
      <c r="AR675" s="49"/>
      <c r="AS675" s="49"/>
      <c r="AT675" s="49"/>
      <c r="AU675" s="49"/>
      <c r="AV675" s="49"/>
      <c r="AW675" s="49"/>
      <c r="AX675" s="49"/>
      <c r="AY675" s="49"/>
      <c r="AZ675" s="49"/>
      <c r="BA675" s="49"/>
      <c r="BB675" s="49"/>
      <c r="BC675" s="49"/>
      <c r="BD675" s="49"/>
      <c r="BE675" s="49"/>
      <c r="BF675" s="68"/>
    </row>
    <row r="676" spans="1:58" s="51" customFormat="1" ht="103.5" customHeight="1">
      <c r="A676" s="83" t="s">
        <v>1214</v>
      </c>
      <c r="B676" s="61" t="s">
        <v>769</v>
      </c>
      <c r="C676" s="1120"/>
      <c r="D676" s="62">
        <v>2019</v>
      </c>
      <c r="E676" s="63">
        <f t="shared" si="246"/>
        <v>2.0596999999999999</v>
      </c>
      <c r="F676" s="63">
        <v>0.26769999999999999</v>
      </c>
      <c r="G676" s="63">
        <v>0</v>
      </c>
      <c r="H676" s="63">
        <v>1.792</v>
      </c>
      <c r="I676" s="63">
        <v>0</v>
      </c>
      <c r="J676" s="63">
        <v>0</v>
      </c>
      <c r="K676" s="76">
        <v>0</v>
      </c>
      <c r="L676" s="497">
        <f t="shared" si="242"/>
        <v>2.0596999999999999</v>
      </c>
      <c r="M676" s="185" t="s">
        <v>746</v>
      </c>
      <c r="N676" s="565"/>
      <c r="O676" s="305"/>
      <c r="P676" s="1120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  <c r="AO676" s="49"/>
      <c r="AP676" s="49"/>
      <c r="AQ676" s="49"/>
      <c r="AR676" s="49"/>
      <c r="AS676" s="49"/>
      <c r="AT676" s="49"/>
      <c r="AU676" s="49"/>
      <c r="AV676" s="49"/>
      <c r="AW676" s="49"/>
      <c r="AX676" s="49"/>
      <c r="AY676" s="49"/>
      <c r="AZ676" s="49"/>
      <c r="BA676" s="49"/>
      <c r="BB676" s="49"/>
      <c r="BC676" s="49"/>
      <c r="BD676" s="49"/>
      <c r="BE676" s="49"/>
      <c r="BF676" s="68"/>
    </row>
    <row r="677" spans="1:58" s="51" customFormat="1" ht="102" customHeight="1">
      <c r="A677" s="83" t="s">
        <v>1215</v>
      </c>
      <c r="B677" s="61" t="s">
        <v>771</v>
      </c>
      <c r="C677" s="1120"/>
      <c r="D677" s="62">
        <v>2019</v>
      </c>
      <c r="E677" s="63">
        <f t="shared" si="246"/>
        <v>3.2126000000000001</v>
      </c>
      <c r="F677" s="63">
        <v>0.41760000000000003</v>
      </c>
      <c r="G677" s="63">
        <v>0</v>
      </c>
      <c r="H677" s="63">
        <v>2.7949999999999999</v>
      </c>
      <c r="I677" s="63">
        <v>0</v>
      </c>
      <c r="J677" s="63">
        <v>0</v>
      </c>
      <c r="K677" s="76">
        <v>0</v>
      </c>
      <c r="L677" s="497">
        <f t="shared" si="242"/>
        <v>3.2126000000000001</v>
      </c>
      <c r="M677" s="185" t="s">
        <v>756</v>
      </c>
      <c r="N677" s="565"/>
      <c r="O677" s="305"/>
      <c r="P677" s="1120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  <c r="AR677" s="49"/>
      <c r="AS677" s="49"/>
      <c r="AT677" s="49"/>
      <c r="AU677" s="49"/>
      <c r="AV677" s="49"/>
      <c r="AW677" s="49"/>
      <c r="AX677" s="49"/>
      <c r="AY677" s="49"/>
      <c r="AZ677" s="49"/>
      <c r="BA677" s="49"/>
      <c r="BB677" s="49"/>
      <c r="BC677" s="49"/>
      <c r="BD677" s="49"/>
      <c r="BE677" s="49"/>
      <c r="BF677" s="68"/>
    </row>
    <row r="678" spans="1:58" s="51" customFormat="1" ht="104.25" customHeight="1">
      <c r="A678" s="83" t="s">
        <v>1216</v>
      </c>
      <c r="B678" s="61" t="s">
        <v>773</v>
      </c>
      <c r="C678" s="1153"/>
      <c r="D678" s="62">
        <v>2019</v>
      </c>
      <c r="E678" s="63">
        <f t="shared" si="246"/>
        <v>5.2412999999999998</v>
      </c>
      <c r="F678" s="63">
        <v>0.68130000000000002</v>
      </c>
      <c r="G678" s="63">
        <v>0</v>
      </c>
      <c r="H678" s="63">
        <v>4.5599999999999996</v>
      </c>
      <c r="I678" s="63">
        <v>0</v>
      </c>
      <c r="J678" s="63">
        <v>0</v>
      </c>
      <c r="K678" s="76">
        <v>0</v>
      </c>
      <c r="L678" s="497">
        <f t="shared" si="242"/>
        <v>5.2412999999999998</v>
      </c>
      <c r="M678" s="185" t="s">
        <v>774</v>
      </c>
      <c r="N678" s="565"/>
      <c r="O678" s="305"/>
      <c r="P678" s="1153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  <c r="AO678" s="49"/>
      <c r="AP678" s="49"/>
      <c r="AQ678" s="49"/>
      <c r="AR678" s="49"/>
      <c r="AS678" s="49"/>
      <c r="AT678" s="49"/>
      <c r="AU678" s="49"/>
      <c r="AV678" s="49"/>
      <c r="AW678" s="49"/>
      <c r="AX678" s="49"/>
      <c r="AY678" s="49"/>
      <c r="AZ678" s="49"/>
      <c r="BA678" s="49"/>
      <c r="BB678" s="49"/>
      <c r="BC678" s="49"/>
      <c r="BD678" s="49"/>
      <c r="BE678" s="49"/>
      <c r="BF678" s="68"/>
    </row>
    <row r="679" spans="1:58" s="51" customFormat="1" ht="104.25" customHeight="1">
      <c r="A679" s="83" t="s">
        <v>1217</v>
      </c>
      <c r="B679" s="61" t="s">
        <v>776</v>
      </c>
      <c r="C679" s="498"/>
      <c r="D679" s="62">
        <v>2019</v>
      </c>
      <c r="E679" s="63">
        <f t="shared" si="246"/>
        <v>0.97889999999999999</v>
      </c>
      <c r="F679" s="63">
        <v>1E-3</v>
      </c>
      <c r="G679" s="63">
        <v>0</v>
      </c>
      <c r="H679" s="63">
        <v>0.97789999999999999</v>
      </c>
      <c r="I679" s="63">
        <v>0</v>
      </c>
      <c r="J679" s="63">
        <v>0</v>
      </c>
      <c r="K679" s="76">
        <v>0</v>
      </c>
      <c r="L679" s="497">
        <f t="shared" si="242"/>
        <v>0.97889999999999999</v>
      </c>
      <c r="M679" s="185"/>
      <c r="N679" s="565"/>
      <c r="O679" s="305"/>
      <c r="P679" s="530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  <c r="AO679" s="49"/>
      <c r="AP679" s="49"/>
      <c r="AQ679" s="49"/>
      <c r="AR679" s="49"/>
      <c r="AS679" s="49"/>
      <c r="AT679" s="49"/>
      <c r="AU679" s="49"/>
      <c r="AV679" s="49"/>
      <c r="AW679" s="49"/>
      <c r="AX679" s="49"/>
      <c r="AY679" s="49"/>
      <c r="AZ679" s="49"/>
      <c r="BA679" s="49"/>
      <c r="BB679" s="49"/>
      <c r="BC679" s="49"/>
      <c r="BD679" s="49"/>
      <c r="BE679" s="49"/>
      <c r="BF679" s="68"/>
    </row>
    <row r="680" spans="1:58" s="51" customFormat="1" ht="73.5" customHeight="1">
      <c r="A680" s="83" t="s">
        <v>1218</v>
      </c>
      <c r="B680" s="61" t="s">
        <v>778</v>
      </c>
      <c r="C680" s="498"/>
      <c r="D680" s="62">
        <v>2020</v>
      </c>
      <c r="E680" s="63">
        <f t="shared" si="246"/>
        <v>8.8452000000000002</v>
      </c>
      <c r="F680" s="63">
        <v>1.1498999999999999</v>
      </c>
      <c r="G680" s="63">
        <v>0</v>
      </c>
      <c r="H680" s="63">
        <v>7.6952999999999996</v>
      </c>
      <c r="I680" s="63">
        <v>0</v>
      </c>
      <c r="J680" s="63">
        <v>0</v>
      </c>
      <c r="K680" s="76">
        <v>0</v>
      </c>
      <c r="L680" s="497">
        <f t="shared" si="242"/>
        <v>8.8452000000000002</v>
      </c>
      <c r="M680" s="185" t="s">
        <v>774</v>
      </c>
      <c r="N680" s="565"/>
      <c r="O680" s="305"/>
      <c r="P680" s="530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  <c r="AO680" s="49"/>
      <c r="AP680" s="49"/>
      <c r="AQ680" s="49"/>
      <c r="AR680" s="49"/>
      <c r="AS680" s="49"/>
      <c r="AT680" s="49"/>
      <c r="AU680" s="49"/>
      <c r="AV680" s="49"/>
      <c r="AW680" s="49"/>
      <c r="AX680" s="49"/>
      <c r="AY680" s="49"/>
      <c r="AZ680" s="49"/>
      <c r="BA680" s="49"/>
      <c r="BB680" s="49"/>
      <c r="BC680" s="49"/>
      <c r="BD680" s="49"/>
      <c r="BE680" s="49"/>
      <c r="BF680" s="68"/>
    </row>
    <row r="681" spans="1:58" s="51" customFormat="1" ht="73.5" customHeight="1">
      <c r="A681" s="83" t="s">
        <v>1219</v>
      </c>
      <c r="B681" s="61" t="s">
        <v>780</v>
      </c>
      <c r="C681" s="498"/>
      <c r="D681" s="62">
        <v>2020</v>
      </c>
      <c r="E681" s="63">
        <f t="shared" si="246"/>
        <v>5.4904999999999999</v>
      </c>
      <c r="F681" s="63">
        <v>0.71379999999999999</v>
      </c>
      <c r="G681" s="63">
        <v>0</v>
      </c>
      <c r="H681" s="63">
        <v>4.7766999999999999</v>
      </c>
      <c r="I681" s="63">
        <v>0</v>
      </c>
      <c r="J681" s="63">
        <v>0</v>
      </c>
      <c r="K681" s="76">
        <v>0</v>
      </c>
      <c r="L681" s="497">
        <f t="shared" si="242"/>
        <v>5.4904999999999999</v>
      </c>
      <c r="M681" s="185" t="s">
        <v>781</v>
      </c>
      <c r="N681" s="565"/>
      <c r="O681" s="305"/>
      <c r="P681" s="530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49"/>
      <c r="AU681" s="49"/>
      <c r="AV681" s="49"/>
      <c r="AW681" s="49"/>
      <c r="AX681" s="49"/>
      <c r="AY681" s="49"/>
      <c r="AZ681" s="49"/>
      <c r="BA681" s="49"/>
      <c r="BB681" s="49"/>
      <c r="BC681" s="49"/>
      <c r="BD681" s="49"/>
      <c r="BE681" s="49"/>
      <c r="BF681" s="68"/>
    </row>
    <row r="682" spans="1:58" s="51" customFormat="1" ht="65.25" customHeight="1">
      <c r="A682" s="83" t="s">
        <v>1220</v>
      </c>
      <c r="B682" s="61" t="s">
        <v>783</v>
      </c>
      <c r="C682" s="498"/>
      <c r="D682" s="62">
        <v>2020</v>
      </c>
      <c r="E682" s="63">
        <f t="shared" si="246"/>
        <v>4.3780999999999999</v>
      </c>
      <c r="F682" s="63">
        <v>0.56910000000000005</v>
      </c>
      <c r="G682" s="63">
        <v>0</v>
      </c>
      <c r="H682" s="63">
        <v>3.8090000000000002</v>
      </c>
      <c r="I682" s="63">
        <v>0</v>
      </c>
      <c r="J682" s="63">
        <v>0</v>
      </c>
      <c r="K682" s="76">
        <v>0</v>
      </c>
      <c r="L682" s="497">
        <f t="shared" si="242"/>
        <v>4.3780999999999999</v>
      </c>
      <c r="M682" s="185" t="s">
        <v>756</v>
      </c>
      <c r="N682" s="565"/>
      <c r="O682" s="305"/>
      <c r="P682" s="530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  <c r="AR682" s="49"/>
      <c r="AS682" s="49"/>
      <c r="AT682" s="49"/>
      <c r="AU682" s="49"/>
      <c r="AV682" s="49"/>
      <c r="AW682" s="49"/>
      <c r="AX682" s="49"/>
      <c r="AY682" s="49"/>
      <c r="AZ682" s="49"/>
      <c r="BA682" s="49"/>
      <c r="BB682" s="49"/>
      <c r="BC682" s="49"/>
      <c r="BD682" s="49"/>
      <c r="BE682" s="49"/>
      <c r="BF682" s="68"/>
    </row>
    <row r="683" spans="1:58" s="51" customFormat="1" ht="28.5" customHeight="1">
      <c r="A683" s="972" t="s">
        <v>1221</v>
      </c>
      <c r="B683" s="838" t="s">
        <v>785</v>
      </c>
      <c r="C683" s="881" t="s">
        <v>599</v>
      </c>
      <c r="D683" s="84" t="s">
        <v>16</v>
      </c>
      <c r="E683" s="313">
        <f>J683+I683+H683+G683</f>
        <v>252.393</v>
      </c>
      <c r="F683" s="313">
        <f>F684+F685+F686</f>
        <v>0</v>
      </c>
      <c r="G683" s="313">
        <f>G684+G685+G686</f>
        <v>0</v>
      </c>
      <c r="H683" s="313">
        <f>H684+H685+H686</f>
        <v>0</v>
      </c>
      <c r="I683" s="313">
        <f>I684+I685+I686+I687+I688+I689+I690+I691</f>
        <v>252.393</v>
      </c>
      <c r="J683" s="313">
        <f>J684+J685+J686</f>
        <v>0</v>
      </c>
      <c r="K683" s="76">
        <v>0</v>
      </c>
      <c r="L683" s="497">
        <f t="shared" si="242"/>
        <v>252.393</v>
      </c>
      <c r="M683" s="185"/>
      <c r="N683" s="565"/>
      <c r="O683" s="1034"/>
      <c r="P683" s="842" t="s">
        <v>786</v>
      </c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  <c r="AO683" s="49"/>
      <c r="AP683" s="49"/>
      <c r="AQ683" s="49"/>
      <c r="AR683" s="49"/>
      <c r="AS683" s="49"/>
      <c r="AT683" s="49"/>
      <c r="AU683" s="49"/>
      <c r="AV683" s="49"/>
      <c r="AW683" s="49"/>
      <c r="AX683" s="49"/>
      <c r="AY683" s="49"/>
      <c r="AZ683" s="49"/>
      <c r="BA683" s="49"/>
      <c r="BB683" s="49"/>
      <c r="BC683" s="49"/>
      <c r="BD683" s="49"/>
      <c r="BE683" s="49"/>
      <c r="BF683" s="68"/>
    </row>
    <row r="684" spans="1:58" s="51" customFormat="1" ht="27" customHeight="1">
      <c r="A684" s="973"/>
      <c r="B684" s="839"/>
      <c r="C684" s="882"/>
      <c r="D684" s="62">
        <v>2019</v>
      </c>
      <c r="E684" s="341">
        <f t="shared" ref="E684:E691" si="247">F684+G684+H684+I684+J684</f>
        <v>12.183999999999999</v>
      </c>
      <c r="F684" s="63">
        <v>0</v>
      </c>
      <c r="G684" s="63">
        <v>0</v>
      </c>
      <c r="H684" s="63">
        <v>0</v>
      </c>
      <c r="I684" s="63">
        <v>12.183999999999999</v>
      </c>
      <c r="J684" s="63">
        <v>0</v>
      </c>
      <c r="K684" s="76">
        <v>0</v>
      </c>
      <c r="L684" s="497">
        <f t="shared" si="242"/>
        <v>12.183999999999999</v>
      </c>
      <c r="M684" s="185"/>
      <c r="N684" s="565"/>
      <c r="O684" s="1035"/>
      <c r="P684" s="1016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  <c r="AO684" s="49"/>
      <c r="AP684" s="49"/>
      <c r="AQ684" s="49"/>
      <c r="AR684" s="49"/>
      <c r="AS684" s="49"/>
      <c r="AT684" s="49"/>
      <c r="AU684" s="49"/>
      <c r="AV684" s="49"/>
      <c r="AW684" s="49"/>
      <c r="AX684" s="49"/>
      <c r="AY684" s="49"/>
      <c r="AZ684" s="49"/>
      <c r="BA684" s="49"/>
      <c r="BB684" s="49"/>
      <c r="BC684" s="49"/>
      <c r="BD684" s="49"/>
      <c r="BE684" s="49"/>
      <c r="BF684" s="68"/>
    </row>
    <row r="685" spans="1:58" s="51" customFormat="1" ht="36.75" customHeight="1">
      <c r="A685" s="973"/>
      <c r="B685" s="839"/>
      <c r="C685" s="882"/>
      <c r="D685" s="62">
        <v>2020</v>
      </c>
      <c r="E685" s="63">
        <f t="shared" si="247"/>
        <v>8.6920000000000002</v>
      </c>
      <c r="F685" s="63">
        <v>0</v>
      </c>
      <c r="G685" s="63">
        <v>0</v>
      </c>
      <c r="H685" s="63">
        <v>0</v>
      </c>
      <c r="I685" s="63">
        <v>8.6920000000000002</v>
      </c>
      <c r="J685" s="63">
        <v>0</v>
      </c>
      <c r="K685" s="76">
        <v>0</v>
      </c>
      <c r="L685" s="497">
        <f t="shared" si="242"/>
        <v>8.6920000000000002</v>
      </c>
      <c r="M685" s="185"/>
      <c r="N685" s="565"/>
      <c r="O685" s="1035"/>
      <c r="P685" s="1016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  <c r="AO685" s="49"/>
      <c r="AP685" s="49"/>
      <c r="AQ685" s="49"/>
      <c r="AR685" s="49"/>
      <c r="AS685" s="49"/>
      <c r="AT685" s="49"/>
      <c r="AU685" s="49"/>
      <c r="AV685" s="49"/>
      <c r="AW685" s="49"/>
      <c r="AX685" s="49"/>
      <c r="AY685" s="49"/>
      <c r="AZ685" s="49"/>
      <c r="BA685" s="49"/>
      <c r="BB685" s="49"/>
      <c r="BC685" s="49"/>
      <c r="BD685" s="49"/>
      <c r="BE685" s="49"/>
      <c r="BF685" s="68"/>
    </row>
    <row r="686" spans="1:58" s="51" customFormat="1" ht="33.75" customHeight="1">
      <c r="A686" s="973"/>
      <c r="B686" s="839"/>
      <c r="C686" s="882"/>
      <c r="D686" s="62">
        <v>2021</v>
      </c>
      <c r="E686" s="63">
        <f t="shared" si="247"/>
        <v>22.088000000000001</v>
      </c>
      <c r="F686" s="63">
        <v>0</v>
      </c>
      <c r="G686" s="63">
        <v>0</v>
      </c>
      <c r="H686" s="63">
        <v>0</v>
      </c>
      <c r="I686" s="63">
        <v>22.088000000000001</v>
      </c>
      <c r="J686" s="63">
        <v>0</v>
      </c>
      <c r="K686" s="76">
        <v>0</v>
      </c>
      <c r="L686" s="497">
        <f t="shared" si="242"/>
        <v>22.088000000000001</v>
      </c>
      <c r="M686" s="185"/>
      <c r="N686" s="565"/>
      <c r="O686" s="1035"/>
      <c r="P686" s="1016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  <c r="AR686" s="49"/>
      <c r="AS686" s="49"/>
      <c r="AT686" s="49"/>
      <c r="AU686" s="49"/>
      <c r="AV686" s="49"/>
      <c r="AW686" s="49"/>
      <c r="AX686" s="49"/>
      <c r="AY686" s="49"/>
      <c r="AZ686" s="49"/>
      <c r="BA686" s="49"/>
      <c r="BB686" s="49"/>
      <c r="BC686" s="49"/>
      <c r="BD686" s="49"/>
      <c r="BE686" s="49"/>
      <c r="BF686" s="68"/>
    </row>
    <row r="687" spans="1:58" s="51" customFormat="1" ht="28.5" customHeight="1">
      <c r="A687" s="973"/>
      <c r="B687" s="839"/>
      <c r="C687" s="882"/>
      <c r="D687" s="62">
        <v>2022</v>
      </c>
      <c r="E687" s="63">
        <f t="shared" si="247"/>
        <v>41.174999999999997</v>
      </c>
      <c r="F687" s="63">
        <v>0</v>
      </c>
      <c r="G687" s="63">
        <v>0</v>
      </c>
      <c r="H687" s="63">
        <v>0</v>
      </c>
      <c r="I687" s="63">
        <v>41.174999999999997</v>
      </c>
      <c r="J687" s="63">
        <v>0</v>
      </c>
      <c r="K687" s="76">
        <v>0</v>
      </c>
      <c r="L687" s="497">
        <f t="shared" si="242"/>
        <v>41.174999999999997</v>
      </c>
      <c r="M687" s="185"/>
      <c r="N687" s="565"/>
      <c r="O687" s="1035"/>
      <c r="P687" s="1016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  <c r="AR687" s="49"/>
      <c r="AS687" s="49"/>
      <c r="AT687" s="49"/>
      <c r="AU687" s="49"/>
      <c r="AV687" s="49"/>
      <c r="AW687" s="49"/>
      <c r="AX687" s="49"/>
      <c r="AY687" s="49"/>
      <c r="AZ687" s="49"/>
      <c r="BA687" s="49"/>
      <c r="BB687" s="49"/>
      <c r="BC687" s="49"/>
      <c r="BD687" s="49"/>
      <c r="BE687" s="49"/>
      <c r="BF687" s="68"/>
    </row>
    <row r="688" spans="1:58" s="51" customFormat="1" ht="22.5" customHeight="1">
      <c r="A688" s="973"/>
      <c r="B688" s="839"/>
      <c r="C688" s="882"/>
      <c r="D688" s="62">
        <v>2023</v>
      </c>
      <c r="E688" s="63">
        <f t="shared" si="247"/>
        <v>41.957000000000001</v>
      </c>
      <c r="F688" s="63">
        <v>0</v>
      </c>
      <c r="G688" s="63">
        <v>0</v>
      </c>
      <c r="H688" s="63">
        <v>0</v>
      </c>
      <c r="I688" s="63">
        <v>41.957000000000001</v>
      </c>
      <c r="J688" s="63">
        <v>0</v>
      </c>
      <c r="K688" s="76">
        <v>0</v>
      </c>
      <c r="L688" s="497">
        <f t="shared" si="242"/>
        <v>41.957000000000001</v>
      </c>
      <c r="M688" s="185"/>
      <c r="N688" s="565"/>
      <c r="O688" s="1035"/>
      <c r="P688" s="1016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  <c r="AO688" s="49"/>
      <c r="AP688" s="49"/>
      <c r="AQ688" s="49"/>
      <c r="AR688" s="49"/>
      <c r="AS688" s="49"/>
      <c r="AT688" s="49"/>
      <c r="AU688" s="49"/>
      <c r="AV688" s="49"/>
      <c r="AW688" s="49"/>
      <c r="AX688" s="49"/>
      <c r="AY688" s="49"/>
      <c r="AZ688" s="49"/>
      <c r="BA688" s="49"/>
      <c r="BB688" s="49"/>
      <c r="BC688" s="49"/>
      <c r="BD688" s="49"/>
      <c r="BE688" s="49"/>
      <c r="BF688" s="68"/>
    </row>
    <row r="689" spans="1:58" s="51" customFormat="1" ht="22.5" customHeight="1">
      <c r="A689" s="973"/>
      <c r="B689" s="839"/>
      <c r="C689" s="882"/>
      <c r="D689" s="62">
        <v>2024</v>
      </c>
      <c r="E689" s="63">
        <f t="shared" si="247"/>
        <v>41.753999999999998</v>
      </c>
      <c r="F689" s="63">
        <v>0</v>
      </c>
      <c r="G689" s="63">
        <v>0</v>
      </c>
      <c r="H689" s="63">
        <v>0</v>
      </c>
      <c r="I689" s="63">
        <v>41.753999999999998</v>
      </c>
      <c r="J689" s="63">
        <v>0</v>
      </c>
      <c r="K689" s="76">
        <v>0</v>
      </c>
      <c r="L689" s="497">
        <f t="shared" si="242"/>
        <v>41.753999999999998</v>
      </c>
      <c r="M689" s="185"/>
      <c r="N689" s="565"/>
      <c r="O689" s="1035"/>
      <c r="P689" s="1016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  <c r="AR689" s="49"/>
      <c r="AS689" s="49"/>
      <c r="AT689" s="49"/>
      <c r="AU689" s="49"/>
      <c r="AV689" s="49"/>
      <c r="AW689" s="49"/>
      <c r="AX689" s="49"/>
      <c r="AY689" s="49"/>
      <c r="AZ689" s="49"/>
      <c r="BA689" s="49"/>
      <c r="BB689" s="49"/>
      <c r="BC689" s="49"/>
      <c r="BD689" s="49"/>
      <c r="BE689" s="49"/>
      <c r="BF689" s="68"/>
    </row>
    <row r="690" spans="1:58" s="51" customFormat="1" ht="21" customHeight="1">
      <c r="A690" s="973"/>
      <c r="B690" s="839"/>
      <c r="C690" s="882"/>
      <c r="D690" s="62">
        <v>2025</v>
      </c>
      <c r="E690" s="63">
        <f t="shared" si="247"/>
        <v>42.393000000000001</v>
      </c>
      <c r="F690" s="63">
        <v>0</v>
      </c>
      <c r="G690" s="63">
        <v>0</v>
      </c>
      <c r="H690" s="63">
        <v>0</v>
      </c>
      <c r="I690" s="63">
        <v>42.393000000000001</v>
      </c>
      <c r="J690" s="63">
        <v>0</v>
      </c>
      <c r="K690" s="76">
        <v>0</v>
      </c>
      <c r="L690" s="497">
        <f t="shared" si="242"/>
        <v>42.393000000000001</v>
      </c>
      <c r="M690" s="185"/>
      <c r="N690" s="565"/>
      <c r="O690" s="1035"/>
      <c r="P690" s="1016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  <c r="AR690" s="49"/>
      <c r="AS690" s="49"/>
      <c r="AT690" s="49"/>
      <c r="AU690" s="49"/>
      <c r="AV690" s="49"/>
      <c r="AW690" s="49"/>
      <c r="AX690" s="49"/>
      <c r="AY690" s="49"/>
      <c r="AZ690" s="49"/>
      <c r="BA690" s="49"/>
      <c r="BB690" s="49"/>
      <c r="BC690" s="49"/>
      <c r="BD690" s="49"/>
      <c r="BE690" s="49"/>
      <c r="BF690" s="68"/>
    </row>
    <row r="691" spans="1:58" s="51" customFormat="1" ht="34.5" customHeight="1">
      <c r="A691" s="974"/>
      <c r="B691" s="839"/>
      <c r="C691" s="882"/>
      <c r="D691" s="62">
        <v>2026</v>
      </c>
      <c r="E691" s="63">
        <f t="shared" si="247"/>
        <v>42.15</v>
      </c>
      <c r="F691" s="63">
        <v>0</v>
      </c>
      <c r="G691" s="63">
        <v>0</v>
      </c>
      <c r="H691" s="63">
        <v>0</v>
      </c>
      <c r="I691" s="63">
        <v>42.15</v>
      </c>
      <c r="J691" s="63">
        <v>0</v>
      </c>
      <c r="K691" s="76">
        <v>0</v>
      </c>
      <c r="L691" s="497">
        <f t="shared" si="242"/>
        <v>42.15</v>
      </c>
      <c r="M691" s="185"/>
      <c r="N691" s="565"/>
      <c r="O691" s="1035"/>
      <c r="P691" s="1016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  <c r="AR691" s="49"/>
      <c r="AS691" s="49"/>
      <c r="AT691" s="49"/>
      <c r="AU691" s="49"/>
      <c r="AV691" s="49"/>
      <c r="AW691" s="49"/>
      <c r="AX691" s="49"/>
      <c r="AY691" s="49"/>
      <c r="AZ691" s="49"/>
      <c r="BA691" s="49"/>
      <c r="BB691" s="49"/>
      <c r="BC691" s="49"/>
      <c r="BD691" s="49"/>
      <c r="BE691" s="49"/>
      <c r="BF691" s="68"/>
    </row>
    <row r="692" spans="1:58" s="51" customFormat="1" ht="17.25" customHeight="1">
      <c r="A692" s="794" t="s">
        <v>825</v>
      </c>
      <c r="B692" s="867" t="s">
        <v>788</v>
      </c>
      <c r="C692" s="881" t="s">
        <v>599</v>
      </c>
      <c r="D692" s="84" t="s">
        <v>16</v>
      </c>
      <c r="E692" s="85">
        <f t="shared" ref="E692:J692" si="248">E693+E694</f>
        <v>2.6689000000000003</v>
      </c>
      <c r="F692" s="85">
        <f t="shared" si="248"/>
        <v>0</v>
      </c>
      <c r="G692" s="85">
        <f t="shared" si="248"/>
        <v>0</v>
      </c>
      <c r="H692" s="85">
        <f t="shared" si="248"/>
        <v>0</v>
      </c>
      <c r="I692" s="85">
        <f t="shared" si="248"/>
        <v>2.6689000000000003</v>
      </c>
      <c r="J692" s="85">
        <f t="shared" si="248"/>
        <v>0</v>
      </c>
      <c r="K692" s="76">
        <v>0</v>
      </c>
      <c r="L692" s="497">
        <f t="shared" si="242"/>
        <v>2.6689000000000003</v>
      </c>
      <c r="M692" s="185"/>
      <c r="N692" s="565"/>
      <c r="O692" s="1034"/>
      <c r="P692" s="842" t="s">
        <v>789</v>
      </c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  <c r="AR692" s="49"/>
      <c r="AS692" s="49"/>
      <c r="AT692" s="49"/>
      <c r="AU692" s="49"/>
      <c r="AV692" s="49"/>
      <c r="AW692" s="49"/>
      <c r="AX692" s="49"/>
      <c r="AY692" s="49"/>
      <c r="AZ692" s="49"/>
      <c r="BA692" s="49"/>
      <c r="BB692" s="49"/>
      <c r="BC692" s="49"/>
      <c r="BD692" s="49"/>
      <c r="BE692" s="49"/>
      <c r="BF692" s="68"/>
    </row>
    <row r="693" spans="1:58" s="51" customFormat="1">
      <c r="A693" s="795"/>
      <c r="B693" s="868"/>
      <c r="C693" s="882"/>
      <c r="D693" s="62">
        <v>2019</v>
      </c>
      <c r="E693" s="507">
        <f t="shared" ref="E693:J693" si="249">E700+E708+E714</f>
        <v>1.9235000000000002</v>
      </c>
      <c r="F693" s="507">
        <f t="shared" si="249"/>
        <v>0</v>
      </c>
      <c r="G693" s="507">
        <f t="shared" si="249"/>
        <v>0</v>
      </c>
      <c r="H693" s="507">
        <f t="shared" si="249"/>
        <v>0</v>
      </c>
      <c r="I693" s="507">
        <f t="shared" si="249"/>
        <v>1.9235000000000002</v>
      </c>
      <c r="J693" s="507">
        <f t="shared" si="249"/>
        <v>0</v>
      </c>
      <c r="K693" s="76">
        <v>0</v>
      </c>
      <c r="L693" s="497">
        <f t="shared" si="242"/>
        <v>1.9235000000000002</v>
      </c>
      <c r="M693" s="185"/>
      <c r="N693" s="565"/>
      <c r="O693" s="944"/>
      <c r="P693" s="1152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  <c r="AR693" s="49"/>
      <c r="AS693" s="49"/>
      <c r="AT693" s="49"/>
      <c r="AU693" s="49"/>
      <c r="AV693" s="49"/>
      <c r="AW693" s="49"/>
      <c r="AX693" s="49"/>
      <c r="AY693" s="49"/>
      <c r="AZ693" s="49"/>
      <c r="BA693" s="49"/>
      <c r="BB693" s="49"/>
      <c r="BC693" s="49"/>
      <c r="BD693" s="49"/>
      <c r="BE693" s="49"/>
      <c r="BF693" s="68"/>
    </row>
    <row r="694" spans="1:58" s="51" customFormat="1">
      <c r="A694" s="795"/>
      <c r="B694" s="868"/>
      <c r="C694" s="882"/>
      <c r="D694" s="62">
        <v>2020</v>
      </c>
      <c r="E694" s="63">
        <f t="shared" ref="E694:J694" si="250">E696+E704</f>
        <v>0.74539999999999995</v>
      </c>
      <c r="F694" s="63">
        <f t="shared" si="250"/>
        <v>0</v>
      </c>
      <c r="G694" s="63">
        <f t="shared" si="250"/>
        <v>0</v>
      </c>
      <c r="H694" s="63">
        <f t="shared" si="250"/>
        <v>0</v>
      </c>
      <c r="I694" s="63">
        <f t="shared" si="250"/>
        <v>0.74539999999999995</v>
      </c>
      <c r="J694" s="63">
        <f t="shared" si="250"/>
        <v>0</v>
      </c>
      <c r="K694" s="76">
        <v>0</v>
      </c>
      <c r="L694" s="497">
        <f t="shared" si="242"/>
        <v>0.74539999999999995</v>
      </c>
      <c r="M694" s="185"/>
      <c r="N694" s="565"/>
      <c r="O694" s="945"/>
      <c r="P694" s="1152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49"/>
      <c r="AU694" s="49"/>
      <c r="AV694" s="49"/>
      <c r="AW694" s="49"/>
      <c r="AX694" s="49"/>
      <c r="AY694" s="49"/>
      <c r="AZ694" s="49"/>
      <c r="BA694" s="49"/>
      <c r="BB694" s="49"/>
      <c r="BC694" s="49"/>
      <c r="BD694" s="49"/>
      <c r="BE694" s="49"/>
      <c r="BF694" s="68"/>
    </row>
    <row r="695" spans="1:58" s="51" customFormat="1">
      <c r="A695" s="794" t="s">
        <v>1222</v>
      </c>
      <c r="B695" s="867" t="s">
        <v>791</v>
      </c>
      <c r="C695" s="479"/>
      <c r="D695" s="84" t="s">
        <v>16</v>
      </c>
      <c r="E695" s="85">
        <f t="shared" ref="E695:J695" si="251">E696</f>
        <v>0.66839999999999999</v>
      </c>
      <c r="F695" s="85">
        <f t="shared" si="251"/>
        <v>0</v>
      </c>
      <c r="G695" s="85">
        <f t="shared" si="251"/>
        <v>0</v>
      </c>
      <c r="H695" s="85">
        <f t="shared" si="251"/>
        <v>0</v>
      </c>
      <c r="I695" s="85">
        <f t="shared" si="251"/>
        <v>0.66839999999999999</v>
      </c>
      <c r="J695" s="85">
        <f t="shared" si="251"/>
        <v>0</v>
      </c>
      <c r="K695" s="76">
        <v>0</v>
      </c>
      <c r="L695" s="497">
        <f t="shared" si="242"/>
        <v>0.66839999999999999</v>
      </c>
      <c r="M695" s="185"/>
      <c r="N695" s="565"/>
      <c r="O695" s="330"/>
      <c r="P695" s="1152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  <c r="AO695" s="49"/>
      <c r="AP695" s="49"/>
      <c r="AQ695" s="49"/>
      <c r="AR695" s="49"/>
      <c r="AS695" s="49"/>
      <c r="AT695" s="49"/>
      <c r="AU695" s="49"/>
      <c r="AV695" s="49"/>
      <c r="AW695" s="49"/>
      <c r="AX695" s="49"/>
      <c r="AY695" s="49"/>
      <c r="AZ695" s="49"/>
      <c r="BA695" s="49"/>
      <c r="BB695" s="49"/>
      <c r="BC695" s="49"/>
      <c r="BD695" s="49"/>
      <c r="BE695" s="49"/>
      <c r="BF695" s="68"/>
    </row>
    <row r="696" spans="1:58" s="51" customFormat="1">
      <c r="A696" s="795"/>
      <c r="B696" s="872"/>
      <c r="C696" s="479"/>
      <c r="D696" s="62">
        <v>2020</v>
      </c>
      <c r="E696" s="63">
        <f t="shared" ref="E696:J696" si="252">E698</f>
        <v>0.66839999999999999</v>
      </c>
      <c r="F696" s="63">
        <f t="shared" si="252"/>
        <v>0</v>
      </c>
      <c r="G696" s="63">
        <f t="shared" si="252"/>
        <v>0</v>
      </c>
      <c r="H696" s="63">
        <f t="shared" si="252"/>
        <v>0</v>
      </c>
      <c r="I696" s="63">
        <f t="shared" si="252"/>
        <v>0.66839999999999999</v>
      </c>
      <c r="J696" s="63">
        <f t="shared" si="252"/>
        <v>0</v>
      </c>
      <c r="K696" s="76">
        <v>0</v>
      </c>
      <c r="L696" s="497">
        <f t="shared" si="242"/>
        <v>0.66839999999999999</v>
      </c>
      <c r="M696" s="185"/>
      <c r="N696" s="565"/>
      <c r="O696" s="330"/>
      <c r="P696" s="1152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  <c r="AR696" s="49"/>
      <c r="AS696" s="49"/>
      <c r="AT696" s="49"/>
      <c r="AU696" s="49"/>
      <c r="AV696" s="49"/>
      <c r="AW696" s="49"/>
      <c r="AX696" s="49"/>
      <c r="AY696" s="49"/>
      <c r="AZ696" s="49"/>
      <c r="BA696" s="49"/>
      <c r="BB696" s="49"/>
      <c r="BC696" s="49"/>
      <c r="BD696" s="49"/>
      <c r="BE696" s="49"/>
      <c r="BF696" s="68"/>
    </row>
    <row r="697" spans="1:58" s="51" customFormat="1">
      <c r="A697" s="151"/>
      <c r="B697" s="69"/>
      <c r="C697" s="479"/>
      <c r="D697" s="84" t="s">
        <v>429</v>
      </c>
      <c r="E697" s="63">
        <f t="shared" ref="E697:K697" si="253">E698</f>
        <v>0.66839999999999999</v>
      </c>
      <c r="F697" s="63">
        <f t="shared" si="253"/>
        <v>0</v>
      </c>
      <c r="G697" s="63">
        <f t="shared" si="253"/>
        <v>0</v>
      </c>
      <c r="H697" s="63">
        <f t="shared" si="253"/>
        <v>0</v>
      </c>
      <c r="I697" s="63">
        <f t="shared" si="253"/>
        <v>0.66839999999999999</v>
      </c>
      <c r="J697" s="63">
        <f t="shared" si="253"/>
        <v>0</v>
      </c>
      <c r="K697" s="63">
        <f t="shared" si="253"/>
        <v>0</v>
      </c>
      <c r="L697" s="497"/>
      <c r="M697" s="185"/>
      <c r="N697" s="565"/>
      <c r="O697" s="330"/>
      <c r="P697" s="1152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  <c r="AR697" s="49"/>
      <c r="AS697" s="49"/>
      <c r="AT697" s="49"/>
      <c r="AU697" s="49"/>
      <c r="AV697" s="49"/>
      <c r="AW697" s="49"/>
      <c r="AX697" s="49"/>
      <c r="AY697" s="49"/>
      <c r="AZ697" s="49"/>
      <c r="BA697" s="49"/>
      <c r="BB697" s="49"/>
      <c r="BC697" s="49"/>
      <c r="BD697" s="49"/>
      <c r="BE697" s="49"/>
      <c r="BF697" s="68"/>
    </row>
    <row r="698" spans="1:58" s="51" customFormat="1" ht="48" customHeight="1">
      <c r="A698" s="59" t="s">
        <v>1223</v>
      </c>
      <c r="B698" s="60" t="s">
        <v>793</v>
      </c>
      <c r="C698" s="479"/>
      <c r="D698" s="62">
        <v>2020</v>
      </c>
      <c r="E698" s="63">
        <f>F698+G698+H698+I698+J698</f>
        <v>0.66839999999999999</v>
      </c>
      <c r="F698" s="63">
        <v>0</v>
      </c>
      <c r="G698" s="63">
        <v>0</v>
      </c>
      <c r="H698" s="63">
        <v>0</v>
      </c>
      <c r="I698" s="63">
        <v>0.66839999999999999</v>
      </c>
      <c r="J698" s="63">
        <v>0</v>
      </c>
      <c r="K698" s="76">
        <v>0</v>
      </c>
      <c r="L698" s="497">
        <f>F698+G698+H698+I698+J698</f>
        <v>0.66839999999999999</v>
      </c>
      <c r="M698" s="185"/>
      <c r="N698" s="565"/>
      <c r="O698" s="330"/>
      <c r="P698" s="1152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  <c r="AR698" s="49"/>
      <c r="AS698" s="49"/>
      <c r="AT698" s="49"/>
      <c r="AU698" s="49"/>
      <c r="AV698" s="49"/>
      <c r="AW698" s="49"/>
      <c r="AX698" s="49"/>
      <c r="AY698" s="49"/>
      <c r="AZ698" s="49"/>
      <c r="BA698" s="49"/>
      <c r="BB698" s="49"/>
      <c r="BC698" s="49"/>
      <c r="BD698" s="49"/>
      <c r="BE698" s="49"/>
      <c r="BF698" s="68"/>
    </row>
    <row r="699" spans="1:58" s="51" customFormat="1">
      <c r="A699" s="921" t="s">
        <v>1224</v>
      </c>
      <c r="B699" s="870" t="s">
        <v>797</v>
      </c>
      <c r="C699" s="479"/>
      <c r="D699" s="84" t="s">
        <v>16</v>
      </c>
      <c r="E699" s="85">
        <f t="shared" ref="E699:J699" si="254">E700</f>
        <v>0.2369</v>
      </c>
      <c r="F699" s="85">
        <f t="shared" si="254"/>
        <v>0</v>
      </c>
      <c r="G699" s="85">
        <f t="shared" si="254"/>
        <v>0</v>
      </c>
      <c r="H699" s="85">
        <f t="shared" si="254"/>
        <v>0</v>
      </c>
      <c r="I699" s="85">
        <f t="shared" si="254"/>
        <v>0.2369</v>
      </c>
      <c r="J699" s="85">
        <f t="shared" si="254"/>
        <v>0</v>
      </c>
      <c r="K699" s="76">
        <v>0</v>
      </c>
      <c r="L699" s="497">
        <f>F699+G699+H699+I699+J699</f>
        <v>0.2369</v>
      </c>
      <c r="M699" s="185"/>
      <c r="N699" s="565"/>
      <c r="O699" s="330"/>
      <c r="P699" s="1152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  <c r="AR699" s="49"/>
      <c r="AS699" s="49"/>
      <c r="AT699" s="49"/>
      <c r="AU699" s="49"/>
      <c r="AV699" s="49"/>
      <c r="AW699" s="49"/>
      <c r="AX699" s="49"/>
      <c r="AY699" s="49"/>
      <c r="AZ699" s="49"/>
      <c r="BA699" s="49"/>
      <c r="BB699" s="49"/>
      <c r="BC699" s="49"/>
      <c r="BD699" s="49"/>
      <c r="BE699" s="49"/>
      <c r="BF699" s="68"/>
    </row>
    <row r="700" spans="1:58" s="51" customFormat="1" ht="18" customHeight="1">
      <c r="A700" s="921"/>
      <c r="B700" s="1025"/>
      <c r="C700" s="479"/>
      <c r="D700" s="62">
        <v>2019</v>
      </c>
      <c r="E700" s="63">
        <f t="shared" ref="E700:J700" si="255">E702</f>
        <v>0.2369</v>
      </c>
      <c r="F700" s="63">
        <f t="shared" si="255"/>
        <v>0</v>
      </c>
      <c r="G700" s="63">
        <f t="shared" si="255"/>
        <v>0</v>
      </c>
      <c r="H700" s="63">
        <f t="shared" si="255"/>
        <v>0</v>
      </c>
      <c r="I700" s="63">
        <f t="shared" si="255"/>
        <v>0.2369</v>
      </c>
      <c r="J700" s="63">
        <f t="shared" si="255"/>
        <v>0</v>
      </c>
      <c r="K700" s="76">
        <v>0</v>
      </c>
      <c r="L700" s="497">
        <f>F700+G700+H700+I700+J700</f>
        <v>0.2369</v>
      </c>
      <c r="M700" s="185"/>
      <c r="N700" s="565"/>
      <c r="O700" s="330"/>
      <c r="P700" s="1152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  <c r="AR700" s="49"/>
      <c r="AS700" s="49"/>
      <c r="AT700" s="49"/>
      <c r="AU700" s="49"/>
      <c r="AV700" s="49"/>
      <c r="AW700" s="49"/>
      <c r="AX700" s="49"/>
      <c r="AY700" s="49"/>
      <c r="AZ700" s="49"/>
      <c r="BA700" s="49"/>
      <c r="BB700" s="49"/>
      <c r="BC700" s="49"/>
      <c r="BD700" s="49"/>
      <c r="BE700" s="49"/>
      <c r="BF700" s="68"/>
    </row>
    <row r="701" spans="1:58" s="51" customFormat="1" ht="18" customHeight="1">
      <c r="A701" s="921" t="s">
        <v>1225</v>
      </c>
      <c r="B701" s="881" t="s">
        <v>799</v>
      </c>
      <c r="C701" s="479"/>
      <c r="D701" s="84" t="s">
        <v>16</v>
      </c>
      <c r="E701" s="85">
        <f t="shared" ref="E701:K701" si="256">E702</f>
        <v>0.2369</v>
      </c>
      <c r="F701" s="85">
        <f t="shared" si="256"/>
        <v>0</v>
      </c>
      <c r="G701" s="85">
        <f t="shared" si="256"/>
        <v>0</v>
      </c>
      <c r="H701" s="85">
        <f t="shared" si="256"/>
        <v>0</v>
      </c>
      <c r="I701" s="85">
        <f t="shared" si="256"/>
        <v>0.2369</v>
      </c>
      <c r="J701" s="85">
        <f t="shared" si="256"/>
        <v>0</v>
      </c>
      <c r="K701" s="85">
        <f t="shared" si="256"/>
        <v>0</v>
      </c>
      <c r="L701" s="497"/>
      <c r="M701" s="185"/>
      <c r="N701" s="565"/>
      <c r="O701" s="330"/>
      <c r="P701" s="1152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  <c r="AR701" s="49"/>
      <c r="AS701" s="49"/>
      <c r="AT701" s="49"/>
      <c r="AU701" s="49"/>
      <c r="AV701" s="49"/>
      <c r="AW701" s="49"/>
      <c r="AX701" s="49"/>
      <c r="AY701" s="49"/>
      <c r="AZ701" s="49"/>
      <c r="BA701" s="49"/>
      <c r="BB701" s="49"/>
      <c r="BC701" s="49"/>
      <c r="BD701" s="49"/>
      <c r="BE701" s="49"/>
      <c r="BF701" s="68"/>
    </row>
    <row r="702" spans="1:58" s="51" customFormat="1" ht="32.25" customHeight="1">
      <c r="A702" s="921"/>
      <c r="B702" s="964"/>
      <c r="C702" s="479"/>
      <c r="D702" s="62">
        <v>2019</v>
      </c>
      <c r="E702" s="63">
        <f>F702+G702+H702+J702+I702</f>
        <v>0.2369</v>
      </c>
      <c r="F702" s="63">
        <v>0</v>
      </c>
      <c r="G702" s="63">
        <v>0</v>
      </c>
      <c r="H702" s="63">
        <v>0</v>
      </c>
      <c r="I702" s="63">
        <v>0.2369</v>
      </c>
      <c r="J702" s="63">
        <v>0</v>
      </c>
      <c r="K702" s="76">
        <v>0</v>
      </c>
      <c r="L702" s="497">
        <f>F702+G702+H702+I702+J702</f>
        <v>0.2369</v>
      </c>
      <c r="M702" s="185"/>
      <c r="N702" s="565"/>
      <c r="O702" s="330"/>
      <c r="P702" s="1152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  <c r="AR702" s="49"/>
      <c r="AS702" s="49"/>
      <c r="AT702" s="49"/>
      <c r="AU702" s="49"/>
      <c r="AV702" s="49"/>
      <c r="AW702" s="49"/>
      <c r="AX702" s="49"/>
      <c r="AY702" s="49"/>
      <c r="AZ702" s="49"/>
      <c r="BA702" s="49"/>
      <c r="BB702" s="49"/>
      <c r="BC702" s="49"/>
      <c r="BD702" s="49"/>
      <c r="BE702" s="49"/>
      <c r="BF702" s="68"/>
    </row>
    <row r="703" spans="1:58" s="51" customFormat="1">
      <c r="A703" s="921" t="s">
        <v>1226</v>
      </c>
      <c r="B703" s="870" t="s">
        <v>803</v>
      </c>
      <c r="C703" s="479"/>
      <c r="D703" s="84" t="s">
        <v>16</v>
      </c>
      <c r="E703" s="85">
        <f t="shared" ref="E703:J703" si="257">E704</f>
        <v>7.6999999999999999E-2</v>
      </c>
      <c r="F703" s="85">
        <f t="shared" si="257"/>
        <v>0</v>
      </c>
      <c r="G703" s="85">
        <f t="shared" si="257"/>
        <v>0</v>
      </c>
      <c r="H703" s="85">
        <f t="shared" si="257"/>
        <v>0</v>
      </c>
      <c r="I703" s="85">
        <f t="shared" si="257"/>
        <v>7.6999999999999999E-2</v>
      </c>
      <c r="J703" s="85">
        <f t="shared" si="257"/>
        <v>0</v>
      </c>
      <c r="K703" s="76">
        <v>0</v>
      </c>
      <c r="L703" s="473">
        <f>L704</f>
        <v>7.6999999999999999E-2</v>
      </c>
      <c r="M703" s="185"/>
      <c r="N703" s="565"/>
      <c r="O703" s="330"/>
      <c r="P703" s="1152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  <c r="AR703" s="49"/>
      <c r="AS703" s="49"/>
      <c r="AT703" s="49"/>
      <c r="AU703" s="49"/>
      <c r="AV703" s="49"/>
      <c r="AW703" s="49"/>
      <c r="AX703" s="49"/>
      <c r="AY703" s="49"/>
      <c r="AZ703" s="49"/>
      <c r="BA703" s="49"/>
      <c r="BB703" s="49"/>
      <c r="BC703" s="49"/>
      <c r="BD703" s="49"/>
      <c r="BE703" s="49"/>
      <c r="BF703" s="68"/>
    </row>
    <row r="704" spans="1:58" s="51" customFormat="1" ht="23.25" customHeight="1">
      <c r="A704" s="921"/>
      <c r="B704" s="1025"/>
      <c r="C704" s="479"/>
      <c r="D704" s="62">
        <v>2020</v>
      </c>
      <c r="E704" s="63">
        <f t="shared" ref="E704:J704" si="258">E706</f>
        <v>7.6999999999999999E-2</v>
      </c>
      <c r="F704" s="63">
        <f t="shared" si="258"/>
        <v>0</v>
      </c>
      <c r="G704" s="63">
        <f t="shared" si="258"/>
        <v>0</v>
      </c>
      <c r="H704" s="63">
        <f t="shared" si="258"/>
        <v>0</v>
      </c>
      <c r="I704" s="63">
        <f t="shared" si="258"/>
        <v>7.6999999999999999E-2</v>
      </c>
      <c r="J704" s="63">
        <f t="shared" si="258"/>
        <v>0</v>
      </c>
      <c r="K704" s="76">
        <v>0</v>
      </c>
      <c r="L704" s="497">
        <f>F704+G704+H704+I704+J704</f>
        <v>7.6999999999999999E-2</v>
      </c>
      <c r="M704" s="185"/>
      <c r="N704" s="565"/>
      <c r="O704" s="330"/>
      <c r="P704" s="1152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  <c r="AR704" s="49"/>
      <c r="AS704" s="49"/>
      <c r="AT704" s="49"/>
      <c r="AU704" s="49"/>
      <c r="AV704" s="49"/>
      <c r="AW704" s="49"/>
      <c r="AX704" s="49"/>
      <c r="AY704" s="49"/>
      <c r="AZ704" s="49"/>
      <c r="BA704" s="49"/>
      <c r="BB704" s="49"/>
      <c r="BC704" s="49"/>
      <c r="BD704" s="49"/>
      <c r="BE704" s="49"/>
      <c r="BF704" s="68"/>
    </row>
    <row r="705" spans="1:58" s="51" customFormat="1" ht="21.75" customHeight="1">
      <c r="A705" s="794" t="s">
        <v>1227</v>
      </c>
      <c r="B705" s="882" t="s">
        <v>805</v>
      </c>
      <c r="C705" s="479"/>
      <c r="D705" s="84" t="s">
        <v>429</v>
      </c>
      <c r="E705" s="63">
        <f t="shared" ref="E705:K705" si="259">E706</f>
        <v>7.6999999999999999E-2</v>
      </c>
      <c r="F705" s="63">
        <f t="shared" si="259"/>
        <v>0</v>
      </c>
      <c r="G705" s="63">
        <f t="shared" si="259"/>
        <v>0</v>
      </c>
      <c r="H705" s="63">
        <f t="shared" si="259"/>
        <v>0</v>
      </c>
      <c r="I705" s="63">
        <f t="shared" si="259"/>
        <v>7.6999999999999999E-2</v>
      </c>
      <c r="J705" s="63">
        <f t="shared" si="259"/>
        <v>0</v>
      </c>
      <c r="K705" s="63">
        <f t="shared" si="259"/>
        <v>0</v>
      </c>
      <c r="L705" s="497"/>
      <c r="M705" s="185"/>
      <c r="N705" s="565"/>
      <c r="O705" s="330"/>
      <c r="P705" s="1152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  <c r="AR705" s="49"/>
      <c r="AS705" s="49"/>
      <c r="AT705" s="49"/>
      <c r="AU705" s="49"/>
      <c r="AV705" s="49"/>
      <c r="AW705" s="49"/>
      <c r="AX705" s="49"/>
      <c r="AY705" s="49"/>
      <c r="AZ705" s="49"/>
      <c r="BA705" s="49"/>
      <c r="BB705" s="49"/>
      <c r="BC705" s="49"/>
      <c r="BD705" s="49"/>
      <c r="BE705" s="49"/>
      <c r="BF705" s="68"/>
    </row>
    <row r="706" spans="1:58" s="51" customFormat="1">
      <c r="A706" s="796"/>
      <c r="B706" s="964"/>
      <c r="C706" s="479"/>
      <c r="D706" s="62">
        <v>2020</v>
      </c>
      <c r="E706" s="63">
        <f>F706+G706+H706+I706+J706</f>
        <v>7.6999999999999999E-2</v>
      </c>
      <c r="F706" s="63">
        <v>0</v>
      </c>
      <c r="G706" s="63">
        <v>0</v>
      </c>
      <c r="H706" s="63">
        <v>0</v>
      </c>
      <c r="I706" s="63">
        <v>7.6999999999999999E-2</v>
      </c>
      <c r="J706" s="63">
        <v>0</v>
      </c>
      <c r="K706" s="76">
        <v>0</v>
      </c>
      <c r="L706" s="497">
        <f>F706+G706+H706+I706+J706</f>
        <v>7.6999999999999999E-2</v>
      </c>
      <c r="M706" s="185"/>
      <c r="N706" s="565"/>
      <c r="O706" s="330"/>
      <c r="P706" s="1152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  <c r="AR706" s="49"/>
      <c r="AS706" s="49"/>
      <c r="AT706" s="49"/>
      <c r="AU706" s="49"/>
      <c r="AV706" s="49"/>
      <c r="AW706" s="49"/>
      <c r="AX706" s="49"/>
      <c r="AY706" s="49"/>
      <c r="AZ706" s="49"/>
      <c r="BA706" s="49"/>
      <c r="BB706" s="49"/>
      <c r="BC706" s="49"/>
      <c r="BD706" s="49"/>
      <c r="BE706" s="49"/>
      <c r="BF706" s="68"/>
    </row>
    <row r="707" spans="1:58" s="51" customFormat="1">
      <c r="A707" s="921" t="s">
        <v>1228</v>
      </c>
      <c r="B707" s="870" t="s">
        <v>809</v>
      </c>
      <c r="C707" s="479"/>
      <c r="D707" s="84" t="s">
        <v>16</v>
      </c>
      <c r="E707" s="85">
        <f t="shared" ref="E707:J707" si="260">E708</f>
        <v>1.4332</v>
      </c>
      <c r="F707" s="85">
        <f t="shared" si="260"/>
        <v>0</v>
      </c>
      <c r="G707" s="85">
        <f t="shared" si="260"/>
        <v>0</v>
      </c>
      <c r="H707" s="85">
        <f t="shared" si="260"/>
        <v>0</v>
      </c>
      <c r="I707" s="85">
        <f t="shared" si="260"/>
        <v>1.4332</v>
      </c>
      <c r="J707" s="85">
        <f t="shared" si="260"/>
        <v>0</v>
      </c>
      <c r="K707" s="76">
        <v>0</v>
      </c>
      <c r="L707" s="497">
        <f>F707+G707+H707+I707+J707</f>
        <v>1.4332</v>
      </c>
      <c r="M707" s="185"/>
      <c r="N707" s="565"/>
      <c r="O707" s="330"/>
      <c r="P707" s="1152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49"/>
      <c r="AU707" s="49"/>
      <c r="AV707" s="49"/>
      <c r="AW707" s="49"/>
      <c r="AX707" s="49"/>
      <c r="AY707" s="49"/>
      <c r="AZ707" s="49"/>
      <c r="BA707" s="49"/>
      <c r="BB707" s="49"/>
      <c r="BC707" s="49"/>
      <c r="BD707" s="49"/>
      <c r="BE707" s="49"/>
      <c r="BF707" s="68"/>
    </row>
    <row r="708" spans="1:58" s="51" customFormat="1">
      <c r="A708" s="921"/>
      <c r="B708" s="870"/>
      <c r="C708" s="479"/>
      <c r="D708" s="62">
        <v>2019</v>
      </c>
      <c r="E708" s="63">
        <f>E710</f>
        <v>1.4332</v>
      </c>
      <c r="F708" s="63">
        <f>F710+F714</f>
        <v>0</v>
      </c>
      <c r="G708" s="63">
        <f>G710+G714</f>
        <v>0</v>
      </c>
      <c r="H708" s="63">
        <f>H710+H714</f>
        <v>0</v>
      </c>
      <c r="I708" s="507">
        <f>I710</f>
        <v>1.4332</v>
      </c>
      <c r="J708" s="63">
        <f>J710</f>
        <v>0</v>
      </c>
      <c r="K708" s="76">
        <v>0</v>
      </c>
      <c r="L708" s="497">
        <f>F708+G708+H708+I708+J708</f>
        <v>1.4332</v>
      </c>
      <c r="M708" s="185"/>
      <c r="N708" s="565"/>
      <c r="O708" s="330"/>
      <c r="P708" s="1152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  <c r="AR708" s="49"/>
      <c r="AS708" s="49"/>
      <c r="AT708" s="49"/>
      <c r="AU708" s="49"/>
      <c r="AV708" s="49"/>
      <c r="AW708" s="49"/>
      <c r="AX708" s="49"/>
      <c r="AY708" s="49"/>
      <c r="AZ708" s="49"/>
      <c r="BA708" s="49"/>
      <c r="BB708" s="49"/>
      <c r="BC708" s="49"/>
      <c r="BD708" s="49"/>
      <c r="BE708" s="49"/>
      <c r="BF708" s="68"/>
    </row>
    <row r="709" spans="1:58" s="51" customFormat="1">
      <c r="A709" s="151"/>
      <c r="B709" s="69"/>
      <c r="C709" s="479"/>
      <c r="D709" s="84" t="s">
        <v>16</v>
      </c>
      <c r="E709" s="85">
        <f t="shared" ref="E709:K709" si="261">E710</f>
        <v>1.4332</v>
      </c>
      <c r="F709" s="85">
        <f t="shared" si="261"/>
        <v>0</v>
      </c>
      <c r="G709" s="85">
        <f t="shared" si="261"/>
        <v>0</v>
      </c>
      <c r="H709" s="85">
        <f t="shared" si="261"/>
        <v>0</v>
      </c>
      <c r="I709" s="85">
        <f t="shared" si="261"/>
        <v>1.4332</v>
      </c>
      <c r="J709" s="85">
        <f t="shared" si="261"/>
        <v>0</v>
      </c>
      <c r="K709" s="85">
        <f t="shared" si="261"/>
        <v>0</v>
      </c>
      <c r="L709" s="497"/>
      <c r="M709" s="185"/>
      <c r="N709" s="565"/>
      <c r="O709" s="330"/>
      <c r="P709" s="1152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  <c r="AR709" s="49"/>
      <c r="AS709" s="49"/>
      <c r="AT709" s="49"/>
      <c r="AU709" s="49"/>
      <c r="AV709" s="49"/>
      <c r="AW709" s="49"/>
      <c r="AX709" s="49"/>
      <c r="AY709" s="49"/>
      <c r="AZ709" s="49"/>
      <c r="BA709" s="49"/>
      <c r="BB709" s="49"/>
      <c r="BC709" s="49"/>
      <c r="BD709" s="49"/>
      <c r="BE709" s="49"/>
      <c r="BF709" s="68"/>
    </row>
    <row r="710" spans="1:58" s="51" customFormat="1" ht="22.5">
      <c r="A710" s="155" t="s">
        <v>1229</v>
      </c>
      <c r="B710" s="78" t="s">
        <v>811</v>
      </c>
      <c r="C710" s="479"/>
      <c r="D710" s="62">
        <v>2019</v>
      </c>
      <c r="E710" s="63">
        <f>F710+G710+H710+I710+J710</f>
        <v>1.4332</v>
      </c>
      <c r="F710" s="63">
        <v>0</v>
      </c>
      <c r="G710" s="63">
        <v>0</v>
      </c>
      <c r="H710" s="63">
        <v>0</v>
      </c>
      <c r="I710" s="63">
        <v>1.4332</v>
      </c>
      <c r="J710" s="63">
        <v>0</v>
      </c>
      <c r="K710" s="76">
        <v>0</v>
      </c>
      <c r="L710" s="497">
        <f>F710+G710+H710+I710+J710</f>
        <v>1.4332</v>
      </c>
      <c r="M710" s="185"/>
      <c r="N710" s="565"/>
      <c r="O710" s="330"/>
      <c r="P710" s="1152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  <c r="AR710" s="49"/>
      <c r="AS710" s="49"/>
      <c r="AT710" s="49"/>
      <c r="AU710" s="49"/>
      <c r="AV710" s="49"/>
      <c r="AW710" s="49"/>
      <c r="AX710" s="49"/>
      <c r="AY710" s="49"/>
      <c r="AZ710" s="49"/>
      <c r="BA710" s="49"/>
      <c r="BB710" s="49"/>
      <c r="BC710" s="49"/>
      <c r="BD710" s="49"/>
      <c r="BE710" s="49"/>
      <c r="BF710" s="68"/>
    </row>
    <row r="711" spans="1:58" s="51" customFormat="1" ht="18.75" customHeight="1">
      <c r="A711" s="794" t="s">
        <v>1230</v>
      </c>
      <c r="B711" s="881" t="s">
        <v>823</v>
      </c>
      <c r="C711" s="479"/>
      <c r="D711" s="84" t="s">
        <v>16</v>
      </c>
      <c r="E711" s="85">
        <f t="shared" ref="E711:J711" si="262">E714</f>
        <v>0.25340000000000001</v>
      </c>
      <c r="F711" s="85">
        <f t="shared" si="262"/>
        <v>0</v>
      </c>
      <c r="G711" s="85">
        <f t="shared" si="262"/>
        <v>0</v>
      </c>
      <c r="H711" s="85">
        <f t="shared" si="262"/>
        <v>0</v>
      </c>
      <c r="I711" s="85">
        <f t="shared" si="262"/>
        <v>0.25340000000000001</v>
      </c>
      <c r="J711" s="85">
        <f t="shared" si="262"/>
        <v>0</v>
      </c>
      <c r="K711" s="76">
        <v>0</v>
      </c>
      <c r="L711" s="497">
        <f>F711+G711+H711+I711+J711</f>
        <v>0.25340000000000001</v>
      </c>
      <c r="M711" s="185"/>
      <c r="N711" s="565"/>
      <c r="O711" s="330"/>
      <c r="P711" s="1152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  <c r="AR711" s="49"/>
      <c r="AS711" s="49"/>
      <c r="AT711" s="49"/>
      <c r="AU711" s="49"/>
      <c r="AV711" s="49"/>
      <c r="AW711" s="49"/>
      <c r="AX711" s="49"/>
      <c r="AY711" s="49"/>
      <c r="AZ711" s="49"/>
      <c r="BA711" s="49"/>
      <c r="BB711" s="49"/>
      <c r="BC711" s="49"/>
      <c r="BD711" s="49"/>
      <c r="BE711" s="49"/>
      <c r="BF711" s="68"/>
    </row>
    <row r="712" spans="1:58" s="51" customFormat="1" ht="18.75" customHeight="1">
      <c r="A712" s="796"/>
      <c r="B712" s="964"/>
      <c r="C712" s="479"/>
      <c r="D712" s="62">
        <v>2019</v>
      </c>
      <c r="E712" s="63">
        <f t="shared" ref="E712:K712" si="263">E711</f>
        <v>0.25340000000000001</v>
      </c>
      <c r="F712" s="63">
        <f t="shared" si="263"/>
        <v>0</v>
      </c>
      <c r="G712" s="63">
        <f t="shared" si="263"/>
        <v>0</v>
      </c>
      <c r="H712" s="63">
        <f t="shared" si="263"/>
        <v>0</v>
      </c>
      <c r="I712" s="63">
        <f t="shared" si="263"/>
        <v>0.25340000000000001</v>
      </c>
      <c r="J712" s="63">
        <f t="shared" si="263"/>
        <v>0</v>
      </c>
      <c r="K712" s="63">
        <f t="shared" si="263"/>
        <v>0</v>
      </c>
      <c r="L712" s="497"/>
      <c r="M712" s="185"/>
      <c r="N712" s="565"/>
      <c r="O712" s="330"/>
      <c r="P712" s="1152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  <c r="AR712" s="49"/>
      <c r="AS712" s="49"/>
      <c r="AT712" s="49"/>
      <c r="AU712" s="49"/>
      <c r="AV712" s="49"/>
      <c r="AW712" s="49"/>
      <c r="AX712" s="49"/>
      <c r="AY712" s="49"/>
      <c r="AZ712" s="49"/>
      <c r="BA712" s="49"/>
      <c r="BB712" s="49"/>
      <c r="BC712" s="49"/>
      <c r="BD712" s="49"/>
      <c r="BE712" s="49"/>
      <c r="BF712" s="68"/>
    </row>
    <row r="713" spans="1:58" s="51" customFormat="1" ht="18.75" customHeight="1">
      <c r="A713" s="794" t="s">
        <v>1231</v>
      </c>
      <c r="B713" s="881" t="s">
        <v>821</v>
      </c>
      <c r="C713" s="479"/>
      <c r="D713" s="84" t="s">
        <v>16</v>
      </c>
      <c r="E713" s="85">
        <f t="shared" ref="E713:K713" si="264">E714</f>
        <v>0.25340000000000001</v>
      </c>
      <c r="F713" s="85">
        <f t="shared" si="264"/>
        <v>0</v>
      </c>
      <c r="G713" s="85">
        <f t="shared" si="264"/>
        <v>0</v>
      </c>
      <c r="H713" s="85">
        <f t="shared" si="264"/>
        <v>0</v>
      </c>
      <c r="I713" s="85">
        <f t="shared" si="264"/>
        <v>0.25340000000000001</v>
      </c>
      <c r="J713" s="85">
        <f t="shared" si="264"/>
        <v>0</v>
      </c>
      <c r="K713" s="85">
        <f t="shared" si="264"/>
        <v>0</v>
      </c>
      <c r="L713" s="497"/>
      <c r="M713" s="185"/>
      <c r="N713" s="565"/>
      <c r="O713" s="330"/>
      <c r="P713" s="1152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  <c r="AR713" s="49"/>
      <c r="AS713" s="49"/>
      <c r="AT713" s="49"/>
      <c r="AU713" s="49"/>
      <c r="AV713" s="49"/>
      <c r="AW713" s="49"/>
      <c r="AX713" s="49"/>
      <c r="AY713" s="49"/>
      <c r="AZ713" s="49"/>
      <c r="BA713" s="49"/>
      <c r="BB713" s="49"/>
      <c r="BC713" s="49"/>
      <c r="BD713" s="49"/>
      <c r="BE713" s="49"/>
      <c r="BF713" s="68"/>
    </row>
    <row r="714" spans="1:58" s="51" customFormat="1" ht="22.5" customHeight="1">
      <c r="A714" s="796"/>
      <c r="B714" s="964"/>
      <c r="C714" s="484"/>
      <c r="D714" s="62">
        <v>2019</v>
      </c>
      <c r="E714" s="63">
        <f>F714+G714+H714+I714+J714</f>
        <v>0.25340000000000001</v>
      </c>
      <c r="F714" s="63">
        <v>0</v>
      </c>
      <c r="G714" s="63">
        <v>0</v>
      </c>
      <c r="H714" s="63">
        <v>0</v>
      </c>
      <c r="I714" s="63">
        <v>0.25340000000000001</v>
      </c>
      <c r="J714" s="63">
        <v>0</v>
      </c>
      <c r="K714" s="76">
        <v>0</v>
      </c>
      <c r="L714" s="497">
        <f t="shared" ref="L714:L722" si="265">F714+G714+H714+I714+J714</f>
        <v>0.25340000000000001</v>
      </c>
      <c r="M714" s="185"/>
      <c r="N714" s="565"/>
      <c r="O714" s="330"/>
      <c r="P714" s="1147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  <c r="AO714" s="49"/>
      <c r="AP714" s="49"/>
      <c r="AQ714" s="49"/>
      <c r="AR714" s="49"/>
      <c r="AS714" s="49"/>
      <c r="AT714" s="49"/>
      <c r="AU714" s="49"/>
      <c r="AV714" s="49"/>
      <c r="AW714" s="49"/>
      <c r="AX714" s="49"/>
      <c r="AY714" s="49"/>
      <c r="AZ714" s="49"/>
      <c r="BA714" s="49"/>
      <c r="BB714" s="49"/>
      <c r="BC714" s="49"/>
      <c r="BD714" s="49"/>
      <c r="BE714" s="49"/>
      <c r="BF714" s="68"/>
    </row>
    <row r="715" spans="1:58" s="51" customFormat="1">
      <c r="A715" s="794" t="s">
        <v>1232</v>
      </c>
      <c r="B715" s="867" t="s">
        <v>826</v>
      </c>
      <c r="C715" s="881" t="s">
        <v>532</v>
      </c>
      <c r="D715" s="84" t="s">
        <v>16</v>
      </c>
      <c r="E715" s="85">
        <f t="shared" ref="E715:J715" si="266">E716</f>
        <v>1.5</v>
      </c>
      <c r="F715" s="85">
        <f t="shared" si="266"/>
        <v>0</v>
      </c>
      <c r="G715" s="85">
        <f t="shared" si="266"/>
        <v>0</v>
      </c>
      <c r="H715" s="85">
        <f t="shared" si="266"/>
        <v>1.425</v>
      </c>
      <c r="I715" s="85">
        <f t="shared" si="266"/>
        <v>0</v>
      </c>
      <c r="J715" s="85">
        <f t="shared" si="266"/>
        <v>7.4999999999999997E-2</v>
      </c>
      <c r="K715" s="76">
        <v>0</v>
      </c>
      <c r="L715" s="497">
        <f t="shared" si="265"/>
        <v>1.5</v>
      </c>
      <c r="M715" s="185"/>
      <c r="N715" s="565"/>
      <c r="O715" s="330"/>
      <c r="P715" s="881" t="s">
        <v>737</v>
      </c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  <c r="AO715" s="49"/>
      <c r="AP715" s="49"/>
      <c r="AQ715" s="49"/>
      <c r="AR715" s="49"/>
      <c r="AS715" s="49"/>
      <c r="AT715" s="49"/>
      <c r="AU715" s="49"/>
      <c r="AV715" s="49"/>
      <c r="AW715" s="49"/>
      <c r="AX715" s="49"/>
      <c r="AY715" s="49"/>
      <c r="AZ715" s="49"/>
      <c r="BA715" s="49"/>
      <c r="BB715" s="49"/>
      <c r="BC715" s="49"/>
      <c r="BD715" s="49"/>
      <c r="BE715" s="49"/>
      <c r="BF715" s="68"/>
    </row>
    <row r="716" spans="1:58" s="51" customFormat="1" ht="46.5" customHeight="1">
      <c r="A716" s="795"/>
      <c r="B716" s="872"/>
      <c r="C716" s="1103"/>
      <c r="D716" s="62">
        <v>2023</v>
      </c>
      <c r="E716" s="63">
        <f>F716+G716+H716+I716+J716</f>
        <v>1.5</v>
      </c>
      <c r="F716" s="63">
        <v>0</v>
      </c>
      <c r="G716" s="63">
        <v>0</v>
      </c>
      <c r="H716" s="63">
        <v>1.425</v>
      </c>
      <c r="I716" s="63">
        <v>0</v>
      </c>
      <c r="J716" s="63">
        <v>7.4999999999999997E-2</v>
      </c>
      <c r="K716" s="76">
        <v>0</v>
      </c>
      <c r="L716" s="497">
        <f t="shared" si="265"/>
        <v>1.5</v>
      </c>
      <c r="M716" s="185"/>
      <c r="N716" s="565"/>
      <c r="O716" s="330"/>
      <c r="P716" s="964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  <c r="AO716" s="49"/>
      <c r="AP716" s="49"/>
      <c r="AQ716" s="49"/>
      <c r="AR716" s="49"/>
      <c r="AS716" s="49"/>
      <c r="AT716" s="49"/>
      <c r="AU716" s="49"/>
      <c r="AV716" s="49"/>
      <c r="AW716" s="49"/>
      <c r="AX716" s="49"/>
      <c r="AY716" s="49"/>
      <c r="AZ716" s="49"/>
      <c r="BA716" s="49"/>
      <c r="BB716" s="49"/>
      <c r="BC716" s="49"/>
      <c r="BD716" s="49"/>
      <c r="BE716" s="49"/>
      <c r="BF716" s="68"/>
    </row>
    <row r="717" spans="1:58" s="51" customFormat="1" ht="12.75" customHeight="1">
      <c r="A717" s="794" t="s">
        <v>1233</v>
      </c>
      <c r="B717" s="858" t="s">
        <v>828</v>
      </c>
      <c r="C717" s="842" t="s">
        <v>1234</v>
      </c>
      <c r="D717" s="84" t="s">
        <v>16</v>
      </c>
      <c r="E717" s="85">
        <f t="shared" ref="E717:J717" si="267">E718+E719+E720+E721+E722</f>
        <v>504.45300000000003</v>
      </c>
      <c r="F717" s="85">
        <f t="shared" si="267"/>
        <v>0</v>
      </c>
      <c r="G717" s="85">
        <f t="shared" si="267"/>
        <v>0</v>
      </c>
      <c r="H717" s="85">
        <f t="shared" si="267"/>
        <v>489.46320000000003</v>
      </c>
      <c r="I717" s="85">
        <f t="shared" si="267"/>
        <v>0</v>
      </c>
      <c r="J717" s="85">
        <f t="shared" si="267"/>
        <v>14.989800000000001</v>
      </c>
      <c r="K717" s="76">
        <v>0</v>
      </c>
      <c r="L717" s="497">
        <f t="shared" si="265"/>
        <v>504.45300000000003</v>
      </c>
      <c r="M717" s="185"/>
      <c r="N717" s="565"/>
      <c r="O717" s="301"/>
      <c r="P717" s="842" t="s">
        <v>830</v>
      </c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  <c r="AT717" s="49"/>
      <c r="AU717" s="49"/>
      <c r="AV717" s="49"/>
      <c r="AW717" s="49"/>
      <c r="AX717" s="49"/>
      <c r="AY717" s="49"/>
      <c r="AZ717" s="49"/>
      <c r="BA717" s="49"/>
      <c r="BB717" s="49"/>
      <c r="BC717" s="49"/>
      <c r="BD717" s="49"/>
      <c r="BE717" s="49"/>
      <c r="BF717" s="68"/>
    </row>
    <row r="718" spans="1:58" s="51" customFormat="1">
      <c r="A718" s="795"/>
      <c r="B718" s="871"/>
      <c r="C718" s="1016"/>
      <c r="D718" s="62">
        <v>2019</v>
      </c>
      <c r="E718" s="63">
        <f>F718+G718+H718+I718+J718</f>
        <v>499.49900000000002</v>
      </c>
      <c r="F718" s="63">
        <v>0</v>
      </c>
      <c r="G718" s="63">
        <v>0</v>
      </c>
      <c r="H718" s="63">
        <v>484.50920000000002</v>
      </c>
      <c r="I718" s="63">
        <v>0</v>
      </c>
      <c r="J718" s="63">
        <v>14.989800000000001</v>
      </c>
      <c r="K718" s="76">
        <v>0</v>
      </c>
      <c r="L718" s="497">
        <f t="shared" si="265"/>
        <v>499.49900000000002</v>
      </c>
      <c r="M718" s="185"/>
      <c r="N718" s="565"/>
      <c r="O718" s="301"/>
      <c r="P718" s="1016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49"/>
      <c r="AT718" s="49"/>
      <c r="AU718" s="49"/>
      <c r="AV718" s="49"/>
      <c r="AW718" s="49"/>
      <c r="AX718" s="49"/>
      <c r="AY718" s="49"/>
      <c r="AZ718" s="49"/>
      <c r="BA718" s="49"/>
      <c r="BB718" s="49"/>
      <c r="BC718" s="49"/>
      <c r="BD718" s="49"/>
      <c r="BE718" s="49"/>
      <c r="BF718" s="68"/>
    </row>
    <row r="719" spans="1:58" s="51" customFormat="1">
      <c r="A719" s="795"/>
      <c r="B719" s="871"/>
      <c r="C719" s="1016"/>
      <c r="D719" s="62">
        <v>2020</v>
      </c>
      <c r="E719" s="63">
        <f>F719+G719+H719+I719+J719</f>
        <v>4.9539999999999997</v>
      </c>
      <c r="F719" s="63">
        <v>0</v>
      </c>
      <c r="G719" s="63">
        <v>0</v>
      </c>
      <c r="H719" s="63">
        <v>4.9539999999999997</v>
      </c>
      <c r="I719" s="63">
        <v>0</v>
      </c>
      <c r="J719" s="63">
        <v>0</v>
      </c>
      <c r="K719" s="76">
        <v>0</v>
      </c>
      <c r="L719" s="497">
        <f t="shared" si="265"/>
        <v>4.9539999999999997</v>
      </c>
      <c r="M719" s="185"/>
      <c r="N719" s="565"/>
      <c r="O719" s="301"/>
      <c r="P719" s="1016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  <c r="AO719" s="49"/>
      <c r="AP719" s="49"/>
      <c r="AQ719" s="49"/>
      <c r="AR719" s="49"/>
      <c r="AS719" s="49"/>
      <c r="AT719" s="49"/>
      <c r="AU719" s="49"/>
      <c r="AV719" s="49"/>
      <c r="AW719" s="49"/>
      <c r="AX719" s="49"/>
      <c r="AY719" s="49"/>
      <c r="AZ719" s="49"/>
      <c r="BA719" s="49"/>
      <c r="BB719" s="49"/>
      <c r="BC719" s="49"/>
      <c r="BD719" s="49"/>
      <c r="BE719" s="49"/>
      <c r="BF719" s="68"/>
    </row>
    <row r="720" spans="1:58" s="51" customFormat="1">
      <c r="A720" s="795"/>
      <c r="B720" s="871"/>
      <c r="C720" s="1016"/>
      <c r="D720" s="62">
        <v>2022</v>
      </c>
      <c r="E720" s="63">
        <f>F720+G720+H720+I720+J720</f>
        <v>0</v>
      </c>
      <c r="F720" s="63">
        <v>0</v>
      </c>
      <c r="G720" s="63">
        <v>0</v>
      </c>
      <c r="H720" s="63">
        <v>0</v>
      </c>
      <c r="I720" s="63">
        <v>0</v>
      </c>
      <c r="J720" s="63">
        <v>0</v>
      </c>
      <c r="K720" s="76">
        <v>0</v>
      </c>
      <c r="L720" s="497">
        <f t="shared" si="265"/>
        <v>0</v>
      </c>
      <c r="M720" s="185"/>
      <c r="N720" s="565"/>
      <c r="O720" s="301"/>
      <c r="P720" s="1016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49"/>
      <c r="AU720" s="49"/>
      <c r="AV720" s="49"/>
      <c r="AW720" s="49"/>
      <c r="AX720" s="49"/>
      <c r="AY720" s="49"/>
      <c r="AZ720" s="49"/>
      <c r="BA720" s="49"/>
      <c r="BB720" s="49"/>
      <c r="BC720" s="49"/>
      <c r="BD720" s="49"/>
      <c r="BE720" s="49"/>
      <c r="BF720" s="68"/>
    </row>
    <row r="721" spans="1:58" s="51" customFormat="1">
      <c r="A721" s="795"/>
      <c r="B721" s="871"/>
      <c r="C721" s="1016"/>
      <c r="D721" s="62">
        <v>2023</v>
      </c>
      <c r="E721" s="63">
        <f>F721+G721+H721+I721+J721</f>
        <v>0</v>
      </c>
      <c r="F721" s="63">
        <v>0</v>
      </c>
      <c r="G721" s="63">
        <v>0</v>
      </c>
      <c r="H721" s="63">
        <v>0</v>
      </c>
      <c r="I721" s="63">
        <v>0</v>
      </c>
      <c r="J721" s="63">
        <v>0</v>
      </c>
      <c r="K721" s="76">
        <v>0</v>
      </c>
      <c r="L721" s="497">
        <f t="shared" si="265"/>
        <v>0</v>
      </c>
      <c r="M721" s="185"/>
      <c r="N721" s="565"/>
      <c r="O721" s="301"/>
      <c r="P721" s="1016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  <c r="AR721" s="49"/>
      <c r="AS721" s="49"/>
      <c r="AT721" s="49"/>
      <c r="AU721" s="49"/>
      <c r="AV721" s="49"/>
      <c r="AW721" s="49"/>
      <c r="AX721" s="49"/>
      <c r="AY721" s="49"/>
      <c r="AZ721" s="49"/>
      <c r="BA721" s="49"/>
      <c r="BB721" s="49"/>
      <c r="BC721" s="49"/>
      <c r="BD721" s="49"/>
      <c r="BE721" s="49"/>
      <c r="BF721" s="68"/>
    </row>
    <row r="722" spans="1:58" s="51" customFormat="1">
      <c r="A722" s="796"/>
      <c r="B722" s="988"/>
      <c r="C722" s="1016"/>
      <c r="D722" s="62">
        <v>2024</v>
      </c>
      <c r="E722" s="63">
        <v>0</v>
      </c>
      <c r="F722" s="63">
        <v>0</v>
      </c>
      <c r="G722" s="63">
        <v>0</v>
      </c>
      <c r="H722" s="63">
        <v>0</v>
      </c>
      <c r="I722" s="63">
        <v>0</v>
      </c>
      <c r="J722" s="63">
        <v>0</v>
      </c>
      <c r="K722" s="76">
        <v>0</v>
      </c>
      <c r="L722" s="497">
        <f t="shared" si="265"/>
        <v>0</v>
      </c>
      <c r="M722" s="185"/>
      <c r="N722" s="565"/>
      <c r="O722" s="301"/>
      <c r="P722" s="1016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  <c r="AR722" s="49"/>
      <c r="AS722" s="49"/>
      <c r="AT722" s="49"/>
      <c r="AU722" s="49"/>
      <c r="AV722" s="49"/>
      <c r="AW722" s="49"/>
      <c r="AX722" s="49"/>
      <c r="AY722" s="49"/>
      <c r="AZ722" s="49"/>
      <c r="BA722" s="49"/>
      <c r="BB722" s="49"/>
      <c r="BC722" s="49"/>
      <c r="BD722" s="49"/>
      <c r="BE722" s="49"/>
      <c r="BF722" s="68"/>
    </row>
    <row r="723" spans="1:58" s="51" customFormat="1">
      <c r="A723" s="794" t="s">
        <v>836</v>
      </c>
      <c r="B723" s="842" t="s">
        <v>1235</v>
      </c>
      <c r="C723" s="1016"/>
      <c r="D723" s="84" t="s">
        <v>16</v>
      </c>
      <c r="E723" s="85">
        <f t="shared" ref="E723:K723" si="268">E724</f>
        <v>3.3525</v>
      </c>
      <c r="F723" s="85">
        <f t="shared" si="268"/>
        <v>0</v>
      </c>
      <c r="G723" s="85">
        <f t="shared" si="268"/>
        <v>0</v>
      </c>
      <c r="H723" s="85">
        <f t="shared" si="268"/>
        <v>0</v>
      </c>
      <c r="I723" s="85">
        <f t="shared" si="268"/>
        <v>0</v>
      </c>
      <c r="J723" s="85">
        <f t="shared" si="268"/>
        <v>0.98599999999999999</v>
      </c>
      <c r="K723" s="63">
        <f t="shared" si="268"/>
        <v>2.3664999999999998</v>
      </c>
      <c r="L723" s="497"/>
      <c r="M723" s="185"/>
      <c r="N723" s="565"/>
      <c r="O723" s="301"/>
      <c r="P723" s="360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  <c r="AR723" s="49"/>
      <c r="AS723" s="49"/>
      <c r="AT723" s="49"/>
      <c r="AU723" s="49"/>
      <c r="AV723" s="49"/>
      <c r="AW723" s="49"/>
      <c r="AX723" s="49"/>
      <c r="AY723" s="49"/>
      <c r="AZ723" s="49"/>
      <c r="BA723" s="49"/>
      <c r="BB723" s="49"/>
      <c r="BC723" s="49"/>
      <c r="BD723" s="49"/>
      <c r="BE723" s="49"/>
      <c r="BF723" s="68"/>
    </row>
    <row r="724" spans="1:58" s="51" customFormat="1" ht="21" customHeight="1">
      <c r="A724" s="796"/>
      <c r="B724" s="843"/>
      <c r="C724" s="843"/>
      <c r="D724" s="62">
        <v>2021</v>
      </c>
      <c r="E724" s="63">
        <f>J724+K724</f>
        <v>3.3525</v>
      </c>
      <c r="F724" s="63">
        <v>0</v>
      </c>
      <c r="G724" s="63">
        <v>0</v>
      </c>
      <c r="H724" s="63">
        <v>0</v>
      </c>
      <c r="I724" s="63">
        <v>0</v>
      </c>
      <c r="J724" s="63">
        <v>0.98599999999999999</v>
      </c>
      <c r="K724" s="76">
        <v>2.3664999999999998</v>
      </c>
      <c r="L724" s="497"/>
      <c r="M724" s="185"/>
      <c r="N724" s="565"/>
      <c r="O724" s="301"/>
      <c r="P724" s="360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  <c r="AR724" s="49"/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  <c r="BF724" s="68"/>
    </row>
    <row r="725" spans="1:58" s="51" customFormat="1">
      <c r="A725" s="794" t="s">
        <v>1236</v>
      </c>
      <c r="B725" s="867" t="s">
        <v>832</v>
      </c>
      <c r="C725" s="842" t="s">
        <v>833</v>
      </c>
      <c r="D725" s="84" t="s">
        <v>16</v>
      </c>
      <c r="E725" s="85">
        <f t="shared" ref="E725:J725" si="269">E726+E727+E728+E729+E730+E731</f>
        <v>17.276</v>
      </c>
      <c r="F725" s="85">
        <f t="shared" si="269"/>
        <v>0</v>
      </c>
      <c r="G725" s="85">
        <f t="shared" si="269"/>
        <v>0</v>
      </c>
      <c r="H725" s="85">
        <f t="shared" si="269"/>
        <v>16.757999999999999</v>
      </c>
      <c r="I725" s="85">
        <f t="shared" si="269"/>
        <v>0</v>
      </c>
      <c r="J725" s="85">
        <f t="shared" si="269"/>
        <v>0.51800000000000002</v>
      </c>
      <c r="K725" s="76">
        <v>0</v>
      </c>
      <c r="L725" s="497">
        <f t="shared" ref="L725:L735" si="270">F725+G725+H725+I725+J725</f>
        <v>17.276</v>
      </c>
      <c r="M725" s="185"/>
      <c r="N725" s="565"/>
      <c r="O725" s="301"/>
      <c r="P725" s="842" t="s">
        <v>640</v>
      </c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  <c r="AR725" s="49"/>
      <c r="AS725" s="49"/>
      <c r="AT725" s="49"/>
      <c r="AU725" s="49"/>
      <c r="AV725" s="49"/>
      <c r="AW725" s="49"/>
      <c r="AX725" s="49"/>
      <c r="AY725" s="49"/>
      <c r="AZ725" s="49"/>
      <c r="BA725" s="49"/>
      <c r="BB725" s="49"/>
      <c r="BC725" s="49"/>
      <c r="BD725" s="49"/>
      <c r="BE725" s="49"/>
      <c r="BF725" s="68"/>
    </row>
    <row r="726" spans="1:58" s="51" customFormat="1">
      <c r="A726" s="1039"/>
      <c r="B726" s="868"/>
      <c r="C726" s="1125"/>
      <c r="D726" s="62">
        <v>2019</v>
      </c>
      <c r="E726" s="63">
        <f t="shared" ref="E726:E731" si="271">F726+G726+H726+I726+J726</f>
        <v>17.276</v>
      </c>
      <c r="F726" s="63">
        <v>0</v>
      </c>
      <c r="G726" s="63">
        <v>0</v>
      </c>
      <c r="H726" s="63">
        <v>16.757999999999999</v>
      </c>
      <c r="I726" s="63">
        <v>0</v>
      </c>
      <c r="J726" s="63">
        <v>0.51800000000000002</v>
      </c>
      <c r="K726" s="76">
        <v>0</v>
      </c>
      <c r="L726" s="497">
        <f t="shared" si="270"/>
        <v>17.276</v>
      </c>
      <c r="M726" s="185"/>
      <c r="N726" s="565"/>
      <c r="O726" s="301"/>
      <c r="P726" s="1125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68"/>
    </row>
    <row r="727" spans="1:58" s="51" customFormat="1">
      <c r="A727" s="1039"/>
      <c r="B727" s="868"/>
      <c r="C727" s="1125"/>
      <c r="D727" s="103">
        <v>2020</v>
      </c>
      <c r="E727" s="63">
        <f t="shared" si="271"/>
        <v>0</v>
      </c>
      <c r="F727" s="63">
        <v>0</v>
      </c>
      <c r="G727" s="63">
        <v>0</v>
      </c>
      <c r="H727" s="63">
        <v>0</v>
      </c>
      <c r="I727" s="63">
        <v>0</v>
      </c>
      <c r="J727" s="63">
        <v>0</v>
      </c>
      <c r="K727" s="76">
        <v>0</v>
      </c>
      <c r="L727" s="497">
        <f t="shared" si="270"/>
        <v>0</v>
      </c>
      <c r="M727" s="185"/>
      <c r="N727" s="565"/>
      <c r="O727" s="301"/>
      <c r="P727" s="1125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  <c r="AT727" s="49"/>
      <c r="AU727" s="49"/>
      <c r="AV727" s="49"/>
      <c r="AW727" s="49"/>
      <c r="AX727" s="49"/>
      <c r="AY727" s="49"/>
      <c r="AZ727" s="49"/>
      <c r="BA727" s="49"/>
      <c r="BB727" s="49"/>
      <c r="BC727" s="49"/>
      <c r="BD727" s="49"/>
      <c r="BE727" s="49"/>
      <c r="BF727" s="68"/>
    </row>
    <row r="728" spans="1:58" s="51" customFormat="1">
      <c r="A728" s="1039"/>
      <c r="B728" s="868"/>
      <c r="C728" s="1125"/>
      <c r="D728" s="103">
        <v>2021</v>
      </c>
      <c r="E728" s="63">
        <f t="shared" si="271"/>
        <v>0</v>
      </c>
      <c r="F728" s="63">
        <v>0</v>
      </c>
      <c r="G728" s="63">
        <v>0</v>
      </c>
      <c r="H728" s="63">
        <v>0</v>
      </c>
      <c r="I728" s="63">
        <v>0</v>
      </c>
      <c r="J728" s="63">
        <v>0</v>
      </c>
      <c r="K728" s="76">
        <v>0</v>
      </c>
      <c r="L728" s="497">
        <f t="shared" si="270"/>
        <v>0</v>
      </c>
      <c r="M728" s="185"/>
      <c r="N728" s="565"/>
      <c r="O728" s="301"/>
      <c r="P728" s="1125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49"/>
      <c r="AT728" s="49"/>
      <c r="AU728" s="49"/>
      <c r="AV728" s="49"/>
      <c r="AW728" s="49"/>
      <c r="AX728" s="49"/>
      <c r="AY728" s="49"/>
      <c r="AZ728" s="49"/>
      <c r="BA728" s="49"/>
      <c r="BB728" s="49"/>
      <c r="BC728" s="49"/>
      <c r="BD728" s="49"/>
      <c r="BE728" s="49"/>
      <c r="BF728" s="68"/>
    </row>
    <row r="729" spans="1:58" s="51" customFormat="1">
      <c r="A729" s="1039"/>
      <c r="B729" s="868"/>
      <c r="C729" s="1125"/>
      <c r="D729" s="103">
        <v>2022</v>
      </c>
      <c r="E729" s="63">
        <f t="shared" si="271"/>
        <v>0</v>
      </c>
      <c r="F729" s="63">
        <v>0</v>
      </c>
      <c r="G729" s="63">
        <v>0</v>
      </c>
      <c r="H729" s="63">
        <v>0</v>
      </c>
      <c r="I729" s="63">
        <v>0</v>
      </c>
      <c r="J729" s="63">
        <v>0</v>
      </c>
      <c r="K729" s="76">
        <v>0</v>
      </c>
      <c r="L729" s="497">
        <f t="shared" si="270"/>
        <v>0</v>
      </c>
      <c r="M729" s="185"/>
      <c r="N729" s="565"/>
      <c r="O729" s="301"/>
      <c r="P729" s="1125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  <c r="AR729" s="49"/>
      <c r="AS729" s="49"/>
      <c r="AT729" s="49"/>
      <c r="AU729" s="49"/>
      <c r="AV729" s="49"/>
      <c r="AW729" s="49"/>
      <c r="AX729" s="49"/>
      <c r="AY729" s="49"/>
      <c r="AZ729" s="49"/>
      <c r="BA729" s="49"/>
      <c r="BB729" s="49"/>
      <c r="BC729" s="49"/>
      <c r="BD729" s="49"/>
      <c r="BE729" s="49"/>
      <c r="BF729" s="68"/>
    </row>
    <row r="730" spans="1:58" s="51" customFormat="1">
      <c r="A730" s="1039"/>
      <c r="B730" s="868"/>
      <c r="C730" s="1125"/>
      <c r="D730" s="103">
        <v>2023</v>
      </c>
      <c r="E730" s="63">
        <f t="shared" si="271"/>
        <v>0</v>
      </c>
      <c r="F730" s="63">
        <v>0</v>
      </c>
      <c r="G730" s="63">
        <v>0</v>
      </c>
      <c r="H730" s="63">
        <v>0</v>
      </c>
      <c r="I730" s="63">
        <v>0</v>
      </c>
      <c r="J730" s="63">
        <v>0</v>
      </c>
      <c r="K730" s="76">
        <v>0</v>
      </c>
      <c r="L730" s="497">
        <f t="shared" si="270"/>
        <v>0</v>
      </c>
      <c r="M730" s="185"/>
      <c r="N730" s="565"/>
      <c r="O730" s="301"/>
      <c r="P730" s="1125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  <c r="AR730" s="49"/>
      <c r="AS730" s="49"/>
      <c r="AT730" s="49"/>
      <c r="AU730" s="49"/>
      <c r="AV730" s="49"/>
      <c r="AW730" s="49"/>
      <c r="AX730" s="49"/>
      <c r="AY730" s="49"/>
      <c r="AZ730" s="49"/>
      <c r="BA730" s="49"/>
      <c r="BB730" s="49"/>
      <c r="BC730" s="49"/>
      <c r="BD730" s="49"/>
      <c r="BE730" s="49"/>
      <c r="BF730" s="68"/>
    </row>
    <row r="731" spans="1:58" s="51" customFormat="1">
      <c r="A731" s="958"/>
      <c r="B731" s="869"/>
      <c r="C731" s="1103"/>
      <c r="D731" s="103">
        <v>2024</v>
      </c>
      <c r="E731" s="63">
        <f t="shared" si="271"/>
        <v>0</v>
      </c>
      <c r="F731" s="63">
        <v>0</v>
      </c>
      <c r="G731" s="63">
        <v>0</v>
      </c>
      <c r="H731" s="63">
        <v>0</v>
      </c>
      <c r="I731" s="63">
        <v>0</v>
      </c>
      <c r="J731" s="63">
        <v>0</v>
      </c>
      <c r="K731" s="76">
        <v>0</v>
      </c>
      <c r="L731" s="497">
        <f t="shared" si="270"/>
        <v>0</v>
      </c>
      <c r="M731" s="185"/>
      <c r="N731" s="565"/>
      <c r="O731" s="301"/>
      <c r="P731" s="1103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  <c r="AR731" s="49"/>
      <c r="AS731" s="49"/>
      <c r="AT731" s="49"/>
      <c r="AU731" s="49"/>
      <c r="AV731" s="49"/>
      <c r="AW731" s="49"/>
      <c r="AX731" s="49"/>
      <c r="AY731" s="49"/>
      <c r="AZ731" s="49"/>
      <c r="BA731" s="49"/>
      <c r="BB731" s="49"/>
      <c r="BC731" s="49"/>
      <c r="BD731" s="49"/>
      <c r="BE731" s="49"/>
      <c r="BF731" s="68"/>
    </row>
    <row r="732" spans="1:58" s="51" customFormat="1">
      <c r="A732" s="1110" t="s">
        <v>1237</v>
      </c>
      <c r="B732" s="881" t="s">
        <v>834</v>
      </c>
      <c r="C732" s="1019" t="s">
        <v>835</v>
      </c>
      <c r="D732" s="114" t="s">
        <v>16</v>
      </c>
      <c r="E732" s="85">
        <f t="shared" ref="E732:J732" si="272">E733</f>
        <v>2.8313999999999999</v>
      </c>
      <c r="F732" s="85">
        <f t="shared" si="272"/>
        <v>0</v>
      </c>
      <c r="G732" s="85">
        <f t="shared" si="272"/>
        <v>0</v>
      </c>
      <c r="H732" s="85">
        <f t="shared" si="272"/>
        <v>2.742</v>
      </c>
      <c r="I732" s="85">
        <f t="shared" si="272"/>
        <v>0</v>
      </c>
      <c r="J732" s="85">
        <f t="shared" si="272"/>
        <v>8.9399999999999993E-2</v>
      </c>
      <c r="K732" s="76">
        <v>0</v>
      </c>
      <c r="L732" s="497">
        <f t="shared" si="270"/>
        <v>2.8313999999999999</v>
      </c>
      <c r="M732" s="185"/>
      <c r="N732" s="565"/>
      <c r="O732" s="301"/>
      <c r="P732" s="881" t="s">
        <v>640</v>
      </c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  <c r="AT732" s="49"/>
      <c r="AU732" s="49"/>
      <c r="AV732" s="49"/>
      <c r="AW732" s="49"/>
      <c r="AX732" s="49"/>
      <c r="AY732" s="49"/>
      <c r="AZ732" s="49"/>
      <c r="BA732" s="49"/>
      <c r="BB732" s="49"/>
      <c r="BC732" s="49"/>
      <c r="BD732" s="49"/>
      <c r="BE732" s="49"/>
      <c r="BF732" s="68"/>
    </row>
    <row r="733" spans="1:58" s="51" customFormat="1" ht="18.75" customHeight="1">
      <c r="A733" s="1110"/>
      <c r="B733" s="964"/>
      <c r="C733" s="1019"/>
      <c r="D733" s="103">
        <v>2019</v>
      </c>
      <c r="E733" s="63">
        <f>F733+G733+H733+I733+J733</f>
        <v>2.8313999999999999</v>
      </c>
      <c r="F733" s="63">
        <v>0</v>
      </c>
      <c r="G733" s="63">
        <v>0</v>
      </c>
      <c r="H733" s="63">
        <v>2.742</v>
      </c>
      <c r="I733" s="63">
        <v>0</v>
      </c>
      <c r="J733" s="63">
        <v>8.9399999999999993E-2</v>
      </c>
      <c r="K733" s="76">
        <v>0</v>
      </c>
      <c r="L733" s="497">
        <f t="shared" si="270"/>
        <v>2.8313999999999999</v>
      </c>
      <c r="M733" s="185"/>
      <c r="N733" s="565"/>
      <c r="O733" s="301"/>
      <c r="P733" s="882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49"/>
      <c r="AU733" s="49"/>
      <c r="AV733" s="49"/>
      <c r="AW733" s="49"/>
      <c r="AX733" s="49"/>
      <c r="AY733" s="49"/>
      <c r="AZ733" s="49"/>
      <c r="BA733" s="49"/>
      <c r="BB733" s="49"/>
      <c r="BC733" s="49"/>
      <c r="BD733" s="49"/>
      <c r="BE733" s="49"/>
      <c r="BF733" s="68"/>
    </row>
    <row r="734" spans="1:58" s="51" customFormat="1">
      <c r="A734" s="1111" t="s">
        <v>1238</v>
      </c>
      <c r="B734" s="881" t="s">
        <v>837</v>
      </c>
      <c r="C734" s="1019"/>
      <c r="D734" s="114" t="s">
        <v>16</v>
      </c>
      <c r="E734" s="63">
        <f t="shared" ref="E734:J734" si="273">E735</f>
        <v>3.5242999999999998</v>
      </c>
      <c r="F734" s="63">
        <f t="shared" si="273"/>
        <v>0</v>
      </c>
      <c r="G734" s="63">
        <f t="shared" si="273"/>
        <v>0</v>
      </c>
      <c r="H734" s="63">
        <f t="shared" si="273"/>
        <v>3.4129999999999998</v>
      </c>
      <c r="I734" s="63">
        <f t="shared" si="273"/>
        <v>0</v>
      </c>
      <c r="J734" s="63">
        <f t="shared" si="273"/>
        <v>0.1113</v>
      </c>
      <c r="K734" s="76">
        <v>0</v>
      </c>
      <c r="L734" s="497">
        <f t="shared" si="270"/>
        <v>3.5242999999999998</v>
      </c>
      <c r="M734" s="185"/>
      <c r="N734" s="565"/>
      <c r="O734" s="301"/>
      <c r="P734" s="882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  <c r="AT734" s="49"/>
      <c r="AU734" s="49"/>
      <c r="AV734" s="49"/>
      <c r="AW734" s="49"/>
      <c r="AX734" s="49"/>
      <c r="AY734" s="49"/>
      <c r="AZ734" s="49"/>
      <c r="BA734" s="49"/>
      <c r="BB734" s="49"/>
      <c r="BC734" s="49"/>
      <c r="BD734" s="49"/>
      <c r="BE734" s="49"/>
      <c r="BF734" s="68"/>
    </row>
    <row r="735" spans="1:58" s="51" customFormat="1" ht="24" customHeight="1">
      <c r="A735" s="958"/>
      <c r="B735" s="964"/>
      <c r="C735" s="1019"/>
      <c r="D735" s="103">
        <v>2019</v>
      </c>
      <c r="E735" s="63">
        <f>F735+G735+H735+I735+J735</f>
        <v>3.5242999999999998</v>
      </c>
      <c r="F735" s="63">
        <v>0</v>
      </c>
      <c r="G735" s="63">
        <v>0</v>
      </c>
      <c r="H735" s="63">
        <v>3.4129999999999998</v>
      </c>
      <c r="I735" s="63">
        <v>0</v>
      </c>
      <c r="J735" s="63">
        <v>0.1113</v>
      </c>
      <c r="K735" s="76">
        <v>0</v>
      </c>
      <c r="L735" s="497">
        <f t="shared" si="270"/>
        <v>3.5242999999999998</v>
      </c>
      <c r="M735" s="185"/>
      <c r="N735" s="565"/>
      <c r="O735" s="301"/>
      <c r="P735" s="964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  <c r="AT735" s="49"/>
      <c r="AU735" s="49"/>
      <c r="AV735" s="49"/>
      <c r="AW735" s="49"/>
      <c r="AX735" s="49"/>
      <c r="AY735" s="49"/>
      <c r="AZ735" s="49"/>
      <c r="BA735" s="49"/>
      <c r="BB735" s="49"/>
      <c r="BC735" s="49"/>
      <c r="BD735" s="49"/>
      <c r="BE735" s="49"/>
      <c r="BF735" s="68"/>
    </row>
    <row r="736" spans="1:58" s="51" customFormat="1" ht="24" customHeight="1">
      <c r="A736" s="1110" t="s">
        <v>1239</v>
      </c>
      <c r="B736" s="1019" t="s">
        <v>1240</v>
      </c>
      <c r="C736" s="881" t="s">
        <v>1241</v>
      </c>
      <c r="D736" s="103" t="s">
        <v>16</v>
      </c>
      <c r="E736" s="63">
        <f t="shared" ref="E736:J736" si="274">E737</f>
        <v>9.2197999999999993</v>
      </c>
      <c r="F736" s="63">
        <f t="shared" si="274"/>
        <v>0</v>
      </c>
      <c r="G736" s="63">
        <f t="shared" si="274"/>
        <v>0</v>
      </c>
      <c r="H736" s="63">
        <f t="shared" si="274"/>
        <v>9.0353999999999992</v>
      </c>
      <c r="I736" s="63">
        <f t="shared" si="274"/>
        <v>0</v>
      </c>
      <c r="J736" s="63">
        <f t="shared" si="274"/>
        <v>0.18440000000000001</v>
      </c>
      <c r="K736" s="76">
        <v>0</v>
      </c>
      <c r="L736" s="497"/>
      <c r="M736" s="185"/>
      <c r="N736" s="565"/>
      <c r="O736" s="301"/>
      <c r="P736" s="881" t="s">
        <v>640</v>
      </c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  <c r="AT736" s="49"/>
      <c r="AU736" s="49"/>
      <c r="AV736" s="49"/>
      <c r="AW736" s="49"/>
      <c r="AX736" s="49"/>
      <c r="AY736" s="49"/>
      <c r="AZ736" s="49"/>
      <c r="BA736" s="49"/>
      <c r="BB736" s="49"/>
      <c r="BC736" s="49"/>
      <c r="BD736" s="49"/>
      <c r="BE736" s="49"/>
      <c r="BF736" s="68"/>
    </row>
    <row r="737" spans="1:138" s="51" customFormat="1" ht="86.25" customHeight="1">
      <c r="A737" s="1110"/>
      <c r="B737" s="1019"/>
      <c r="C737" s="882"/>
      <c r="D737" s="103">
        <v>2021</v>
      </c>
      <c r="E737" s="63">
        <f>F737+G737+H737+I737+J737</f>
        <v>9.2197999999999993</v>
      </c>
      <c r="F737" s="63">
        <v>0</v>
      </c>
      <c r="G737" s="63">
        <v>0</v>
      </c>
      <c r="H737" s="63">
        <v>9.0353999999999992</v>
      </c>
      <c r="I737" s="63">
        <v>0</v>
      </c>
      <c r="J737" s="63">
        <v>0.18440000000000001</v>
      </c>
      <c r="K737" s="76">
        <v>0</v>
      </c>
      <c r="L737" s="497"/>
      <c r="M737" s="185"/>
      <c r="N737" s="565"/>
      <c r="O737" s="301"/>
      <c r="P737" s="882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R737" s="49"/>
      <c r="AS737" s="49"/>
      <c r="AT737" s="49"/>
      <c r="AU737" s="49"/>
      <c r="AV737" s="49"/>
      <c r="AW737" s="49"/>
      <c r="AX737" s="49"/>
      <c r="AY737" s="49"/>
      <c r="AZ737" s="49"/>
      <c r="BA737" s="49"/>
      <c r="BB737" s="49"/>
      <c r="BC737" s="49"/>
      <c r="BD737" s="49"/>
      <c r="BE737" s="49"/>
      <c r="BF737" s="68"/>
    </row>
    <row r="738" spans="1:138" s="51" customFormat="1" ht="26.25" customHeight="1">
      <c r="A738" s="1111" t="s">
        <v>1242</v>
      </c>
      <c r="B738" s="190" t="s">
        <v>1243</v>
      </c>
      <c r="C738" s="881" t="s">
        <v>1244</v>
      </c>
      <c r="D738" s="103" t="s">
        <v>16</v>
      </c>
      <c r="E738" s="63">
        <f t="shared" ref="E738:J738" si="275">E739</f>
        <v>0</v>
      </c>
      <c r="F738" s="63">
        <f t="shared" si="275"/>
        <v>0</v>
      </c>
      <c r="G738" s="63">
        <f t="shared" si="275"/>
        <v>0</v>
      </c>
      <c r="H738" s="63">
        <f t="shared" si="275"/>
        <v>0</v>
      </c>
      <c r="I738" s="63">
        <f t="shared" si="275"/>
        <v>0</v>
      </c>
      <c r="J738" s="63">
        <f t="shared" si="275"/>
        <v>0</v>
      </c>
      <c r="K738" s="76">
        <v>0</v>
      </c>
      <c r="L738" s="497"/>
      <c r="M738" s="185"/>
      <c r="N738" s="565"/>
      <c r="O738" s="301"/>
      <c r="P738" s="882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  <c r="AR738" s="49"/>
      <c r="AS738" s="49"/>
      <c r="AT738" s="49"/>
      <c r="AU738" s="49"/>
      <c r="AV738" s="49"/>
      <c r="AW738" s="49"/>
      <c r="AX738" s="49"/>
      <c r="AY738" s="49"/>
      <c r="AZ738" s="49"/>
      <c r="BA738" s="49"/>
      <c r="BB738" s="49"/>
      <c r="BC738" s="49"/>
      <c r="BD738" s="49"/>
      <c r="BE738" s="49"/>
      <c r="BF738" s="68"/>
    </row>
    <row r="739" spans="1:138" s="51" customFormat="1" ht="69.75" customHeight="1">
      <c r="A739" s="958"/>
      <c r="B739" s="190"/>
      <c r="C739" s="882"/>
      <c r="D739" s="103">
        <v>2022</v>
      </c>
      <c r="E739" s="63">
        <f>F739+G739+H739+I739+J739</f>
        <v>0</v>
      </c>
      <c r="F739" s="63">
        <v>0</v>
      </c>
      <c r="G739" s="63">
        <v>0</v>
      </c>
      <c r="H739" s="63">
        <v>0</v>
      </c>
      <c r="I739" s="63">
        <v>0</v>
      </c>
      <c r="J739" s="63">
        <v>0</v>
      </c>
      <c r="K739" s="76">
        <v>0</v>
      </c>
      <c r="L739" s="497"/>
      <c r="M739" s="185"/>
      <c r="N739" s="565"/>
      <c r="O739" s="301"/>
      <c r="P739" s="882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  <c r="AR739" s="49"/>
      <c r="AS739" s="49"/>
      <c r="AT739" s="49"/>
      <c r="AU739" s="49"/>
      <c r="AV739" s="49"/>
      <c r="AW739" s="49"/>
      <c r="AX739" s="49"/>
      <c r="AY739" s="49"/>
      <c r="AZ739" s="49"/>
      <c r="BA739" s="49"/>
      <c r="BB739" s="49"/>
      <c r="BC739" s="49"/>
      <c r="BD739" s="49"/>
      <c r="BE739" s="49"/>
      <c r="BF739" s="68"/>
    </row>
    <row r="740" spans="1:138" s="51" customFormat="1" ht="12.75" customHeight="1">
      <c r="A740" s="921" t="s">
        <v>1245</v>
      </c>
      <c r="B740" s="870" t="s">
        <v>839</v>
      </c>
      <c r="C740" s="1019" t="s">
        <v>1246</v>
      </c>
      <c r="D740" s="114" t="s">
        <v>16</v>
      </c>
      <c r="E740" s="85">
        <f t="shared" ref="E740:J740" si="276">E741</f>
        <v>0.5</v>
      </c>
      <c r="F740" s="85">
        <f t="shared" si="276"/>
        <v>0</v>
      </c>
      <c r="G740" s="85">
        <f t="shared" si="276"/>
        <v>0</v>
      </c>
      <c r="H740" s="85">
        <f t="shared" si="276"/>
        <v>0</v>
      </c>
      <c r="I740" s="85">
        <f t="shared" si="276"/>
        <v>0</v>
      </c>
      <c r="J740" s="85">
        <f t="shared" si="276"/>
        <v>0.5</v>
      </c>
      <c r="K740" s="76">
        <v>0</v>
      </c>
      <c r="L740" s="473">
        <f>L741</f>
        <v>0.5</v>
      </c>
      <c r="M740" s="185"/>
      <c r="N740" s="565"/>
      <c r="O740" s="301"/>
      <c r="P740" s="882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  <c r="AR740" s="49"/>
      <c r="AS740" s="49"/>
      <c r="AT740" s="49"/>
      <c r="AU740" s="49"/>
      <c r="AV740" s="49"/>
      <c r="AW740" s="49"/>
      <c r="AX740" s="49"/>
      <c r="AY740" s="49"/>
      <c r="AZ740" s="49"/>
      <c r="BA740" s="49"/>
      <c r="BB740" s="49"/>
      <c r="BC740" s="49"/>
      <c r="BD740" s="49"/>
      <c r="BE740" s="49"/>
      <c r="BF740" s="68"/>
      <c r="EH740" s="51" t="s">
        <v>841</v>
      </c>
    </row>
    <row r="741" spans="1:138" s="51" customFormat="1" ht="51" customHeight="1">
      <c r="A741" s="921"/>
      <c r="B741" s="870"/>
      <c r="C741" s="1019"/>
      <c r="D741" s="103">
        <v>2020</v>
      </c>
      <c r="E741" s="63">
        <f>F741+G741+H741+I741+J741</f>
        <v>0.5</v>
      </c>
      <c r="F741" s="63">
        <v>0</v>
      </c>
      <c r="G741" s="63">
        <v>0</v>
      </c>
      <c r="H741" s="63">
        <v>0</v>
      </c>
      <c r="I741" s="63">
        <v>0</v>
      </c>
      <c r="J741" s="63">
        <v>0.5</v>
      </c>
      <c r="K741" s="76">
        <v>0</v>
      </c>
      <c r="L741" s="497">
        <f>F741+G741+H741+I741+J741</f>
        <v>0.5</v>
      </c>
      <c r="M741" s="185"/>
      <c r="N741" s="565"/>
      <c r="O741" s="301"/>
      <c r="P741" s="882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  <c r="AR741" s="49"/>
      <c r="AS741" s="49"/>
      <c r="AT741" s="49"/>
      <c r="AU741" s="49"/>
      <c r="AV741" s="49"/>
      <c r="AW741" s="49"/>
      <c r="AX741" s="49"/>
      <c r="AY741" s="49"/>
      <c r="AZ741" s="49"/>
      <c r="BA741" s="49"/>
      <c r="BB741" s="49"/>
      <c r="BC741" s="49"/>
      <c r="BD741" s="49"/>
      <c r="BE741" s="49"/>
      <c r="BF741" s="68"/>
    </row>
    <row r="742" spans="1:138" s="51" customFormat="1" ht="31.5" customHeight="1">
      <c r="A742" s="794" t="s">
        <v>1247</v>
      </c>
      <c r="B742" s="881" t="s">
        <v>1248</v>
      </c>
      <c r="C742" s="1019" t="s">
        <v>1246</v>
      </c>
      <c r="D742" s="114" t="s">
        <v>16</v>
      </c>
      <c r="E742" s="85">
        <f>E743</f>
        <v>7.3876999999999997</v>
      </c>
      <c r="F742" s="85">
        <v>0</v>
      </c>
      <c r="G742" s="85">
        <v>0</v>
      </c>
      <c r="H742" s="85">
        <f>H743</f>
        <v>7.2427999999999999</v>
      </c>
      <c r="I742" s="85">
        <f>I743</f>
        <v>0</v>
      </c>
      <c r="J742" s="85">
        <f>J743</f>
        <v>0.1449</v>
      </c>
      <c r="K742" s="76">
        <v>0</v>
      </c>
      <c r="L742" s="497"/>
      <c r="M742" s="185"/>
      <c r="N742" s="565"/>
      <c r="O742" s="301"/>
      <c r="P742" s="882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  <c r="AR742" s="49"/>
      <c r="AS742" s="49"/>
      <c r="AT742" s="49"/>
      <c r="AU742" s="49"/>
      <c r="AV742" s="49"/>
      <c r="AW742" s="49"/>
      <c r="AX742" s="49"/>
      <c r="AY742" s="49"/>
      <c r="AZ742" s="49"/>
      <c r="BA742" s="49"/>
      <c r="BB742" s="49"/>
      <c r="BC742" s="49"/>
      <c r="BD742" s="49"/>
      <c r="BE742" s="49"/>
      <c r="BF742" s="68"/>
    </row>
    <row r="743" spans="1:138" s="51" customFormat="1" ht="34.5" customHeight="1">
      <c r="A743" s="796"/>
      <c r="B743" s="964"/>
      <c r="C743" s="1019"/>
      <c r="D743" s="62">
        <v>2021</v>
      </c>
      <c r="E743" s="63">
        <f>F743+G743+H743+I743+J743</f>
        <v>7.3876999999999997</v>
      </c>
      <c r="F743" s="63">
        <v>0</v>
      </c>
      <c r="G743" s="63">
        <v>0</v>
      </c>
      <c r="H743" s="63">
        <v>7.2427999999999999</v>
      </c>
      <c r="I743" s="63">
        <v>0</v>
      </c>
      <c r="J743" s="63">
        <v>0.1449</v>
      </c>
      <c r="K743" s="76">
        <v>0</v>
      </c>
      <c r="L743" s="497"/>
      <c r="M743" s="185"/>
      <c r="N743" s="565"/>
      <c r="O743" s="301"/>
      <c r="P743" s="882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  <c r="AO743" s="49"/>
      <c r="AP743" s="49"/>
      <c r="AQ743" s="49"/>
      <c r="AR743" s="49"/>
      <c r="AS743" s="49"/>
      <c r="AT743" s="49"/>
      <c r="AU743" s="49"/>
      <c r="AV743" s="49"/>
      <c r="AW743" s="49"/>
      <c r="AX743" s="49"/>
      <c r="AY743" s="49"/>
      <c r="AZ743" s="49"/>
      <c r="BA743" s="49"/>
      <c r="BB743" s="49"/>
      <c r="BC743" s="49"/>
      <c r="BD743" s="49"/>
      <c r="BE743" s="49"/>
      <c r="BF743" s="68"/>
    </row>
    <row r="744" spans="1:138">
      <c r="A744" s="794" t="s">
        <v>1249</v>
      </c>
      <c r="B744" s="867" t="s">
        <v>1250</v>
      </c>
      <c r="C744" s="881" t="s">
        <v>1246</v>
      </c>
      <c r="D744" s="114" t="s">
        <v>16</v>
      </c>
      <c r="E744" s="85">
        <f t="shared" ref="E744:J744" si="277">E745+E746+E747+E748</f>
        <v>6.1147</v>
      </c>
      <c r="F744" s="85">
        <f t="shared" si="277"/>
        <v>0</v>
      </c>
      <c r="G744" s="85">
        <f t="shared" si="277"/>
        <v>0</v>
      </c>
      <c r="H744" s="85">
        <f t="shared" si="277"/>
        <v>5.3292000000000002</v>
      </c>
      <c r="I744" s="85">
        <f t="shared" si="277"/>
        <v>0</v>
      </c>
      <c r="J744" s="85">
        <f t="shared" si="277"/>
        <v>0.78550000000000009</v>
      </c>
      <c r="K744" s="76">
        <v>0</v>
      </c>
      <c r="L744" s="497">
        <f t="shared" ref="L744:L762" si="278">F744+G744+H744+I744+J744</f>
        <v>6.1147</v>
      </c>
      <c r="M744" s="185"/>
      <c r="N744" s="565"/>
      <c r="O744" s="301"/>
      <c r="P744" s="881" t="s">
        <v>574</v>
      </c>
    </row>
    <row r="745" spans="1:138">
      <c r="A745" s="795"/>
      <c r="B745" s="872"/>
      <c r="C745" s="882"/>
      <c r="D745" s="103">
        <v>2019</v>
      </c>
      <c r="E745" s="63">
        <f>F745+G745+H745+I745+J745</f>
        <v>4.8000000000000001E-2</v>
      </c>
      <c r="F745" s="63">
        <v>0</v>
      </c>
      <c r="G745" s="63">
        <v>0</v>
      </c>
      <c r="H745" s="63">
        <v>0</v>
      </c>
      <c r="I745" s="63">
        <v>0</v>
      </c>
      <c r="J745" s="63">
        <v>4.8000000000000001E-2</v>
      </c>
      <c r="K745" s="76">
        <v>0</v>
      </c>
      <c r="L745" s="497">
        <f t="shared" si="278"/>
        <v>4.8000000000000001E-2</v>
      </c>
      <c r="M745" s="185"/>
      <c r="N745" s="565"/>
      <c r="O745" s="301"/>
      <c r="P745" s="882"/>
    </row>
    <row r="746" spans="1:138">
      <c r="A746" s="795"/>
      <c r="B746" s="872"/>
      <c r="C746" s="882"/>
      <c r="D746" s="103">
        <v>2020</v>
      </c>
      <c r="E746" s="63">
        <f>F746+G746+H746+I746+J746</f>
        <v>0.45200000000000001</v>
      </c>
      <c r="F746" s="63">
        <v>0</v>
      </c>
      <c r="G746" s="63">
        <v>0</v>
      </c>
      <c r="H746" s="63">
        <v>0</v>
      </c>
      <c r="I746" s="63">
        <v>0</v>
      </c>
      <c r="J746" s="63">
        <v>0.45200000000000001</v>
      </c>
      <c r="K746" s="76">
        <v>0</v>
      </c>
      <c r="L746" s="497">
        <f t="shared" si="278"/>
        <v>0.45200000000000001</v>
      </c>
      <c r="M746" s="185"/>
      <c r="N746" s="565"/>
      <c r="O746" s="301"/>
      <c r="P746" s="882"/>
    </row>
    <row r="747" spans="1:138">
      <c r="A747" s="795"/>
      <c r="B747" s="872"/>
      <c r="C747" s="882"/>
      <c r="D747" s="103">
        <v>2021</v>
      </c>
      <c r="E747" s="63">
        <f>F747+G747+H747+I747+J747</f>
        <v>5.0000000000000001E-3</v>
      </c>
      <c r="F747" s="63">
        <v>0</v>
      </c>
      <c r="G747" s="63">
        <v>0</v>
      </c>
      <c r="H747" s="63">
        <v>0</v>
      </c>
      <c r="I747" s="63">
        <v>0</v>
      </c>
      <c r="J747" s="63">
        <v>5.0000000000000001E-3</v>
      </c>
      <c r="K747" s="76">
        <v>0</v>
      </c>
      <c r="L747" s="497">
        <f t="shared" si="278"/>
        <v>5.0000000000000001E-3</v>
      </c>
      <c r="M747" s="185"/>
      <c r="N747" s="565"/>
      <c r="O747" s="301"/>
      <c r="P747" s="882"/>
    </row>
    <row r="748" spans="1:138">
      <c r="A748" s="796"/>
      <c r="B748" s="873"/>
      <c r="C748" s="964"/>
      <c r="D748" s="103">
        <v>2022</v>
      </c>
      <c r="E748" s="63">
        <f>F748+G748+H748+I748+J748</f>
        <v>5.6097000000000001</v>
      </c>
      <c r="F748" s="63">
        <v>0</v>
      </c>
      <c r="G748" s="63">
        <v>0</v>
      </c>
      <c r="H748" s="63">
        <v>5.3292000000000002</v>
      </c>
      <c r="I748" s="63">
        <v>0</v>
      </c>
      <c r="J748" s="63">
        <v>0.28050000000000003</v>
      </c>
      <c r="K748" s="76">
        <v>0</v>
      </c>
      <c r="L748" s="497">
        <f t="shared" si="278"/>
        <v>5.6097000000000001</v>
      </c>
      <c r="M748" s="185"/>
      <c r="N748" s="565"/>
      <c r="O748" s="301"/>
      <c r="P748" s="964"/>
    </row>
    <row r="749" spans="1:138">
      <c r="A749" s="1210" t="s">
        <v>844</v>
      </c>
      <c r="B749" s="929" t="s">
        <v>1251</v>
      </c>
      <c r="D749" s="84" t="s">
        <v>16</v>
      </c>
      <c r="E749" s="85">
        <f t="shared" ref="E749:J749" si="279">E750+E751+E752</f>
        <v>34.537700000000001</v>
      </c>
      <c r="F749" s="85">
        <f t="shared" si="279"/>
        <v>0</v>
      </c>
      <c r="G749" s="85">
        <f t="shared" si="279"/>
        <v>25.077800000000003</v>
      </c>
      <c r="H749" s="85">
        <f t="shared" si="279"/>
        <v>6.9562000000000008</v>
      </c>
      <c r="I749" s="85">
        <f t="shared" si="279"/>
        <v>0</v>
      </c>
      <c r="J749" s="85">
        <f t="shared" si="279"/>
        <v>2.5036999999999998</v>
      </c>
      <c r="K749" s="76">
        <v>0</v>
      </c>
      <c r="L749" s="497">
        <f t="shared" si="278"/>
        <v>34.537700000000008</v>
      </c>
      <c r="M749" s="320"/>
      <c r="N749" s="565"/>
      <c r="O749" s="399"/>
    </row>
    <row r="750" spans="1:138" ht="12.75" customHeight="1">
      <c r="A750" s="1210"/>
      <c r="B750" s="953"/>
      <c r="D750" s="84">
        <v>2021</v>
      </c>
      <c r="E750" s="85">
        <f t="shared" ref="E750:J750" si="280">E754+E756+E760+E762+E764+E766+E768</f>
        <v>29.191700000000001</v>
      </c>
      <c r="F750" s="85">
        <f t="shared" si="280"/>
        <v>0</v>
      </c>
      <c r="G750" s="85">
        <f t="shared" si="280"/>
        <v>21.169800000000002</v>
      </c>
      <c r="H750" s="85">
        <f t="shared" si="280"/>
        <v>5.7842000000000002</v>
      </c>
      <c r="I750" s="85">
        <f t="shared" si="280"/>
        <v>0</v>
      </c>
      <c r="J750" s="85">
        <f t="shared" si="280"/>
        <v>2.2376999999999998</v>
      </c>
      <c r="K750" s="76">
        <v>0</v>
      </c>
      <c r="L750" s="497">
        <f t="shared" si="278"/>
        <v>29.191700000000001</v>
      </c>
      <c r="M750" s="320"/>
      <c r="N750" s="565"/>
      <c r="O750" s="399"/>
    </row>
    <row r="751" spans="1:138" ht="12.75" customHeight="1">
      <c r="A751" s="1210"/>
      <c r="B751" s="953"/>
      <c r="D751" s="84">
        <v>2022</v>
      </c>
      <c r="E751" s="85">
        <f t="shared" ref="E751:J752" si="281">E757</f>
        <v>2.673</v>
      </c>
      <c r="F751" s="85">
        <f t="shared" si="281"/>
        <v>0</v>
      </c>
      <c r="G751" s="85">
        <f t="shared" si="281"/>
        <v>1.954</v>
      </c>
      <c r="H751" s="85">
        <f t="shared" si="281"/>
        <v>0.58599999999999997</v>
      </c>
      <c r="I751" s="85">
        <f t="shared" si="281"/>
        <v>0</v>
      </c>
      <c r="J751" s="85">
        <f t="shared" si="281"/>
        <v>0.13300000000000001</v>
      </c>
      <c r="K751" s="76">
        <v>0</v>
      </c>
      <c r="L751" s="497">
        <f t="shared" si="278"/>
        <v>2.673</v>
      </c>
      <c r="M751" s="320"/>
      <c r="N751" s="565"/>
      <c r="O751" s="399"/>
    </row>
    <row r="752" spans="1:138" ht="12.75" customHeight="1">
      <c r="A752" s="1210"/>
      <c r="B752" s="954"/>
      <c r="D752" s="84">
        <v>2023</v>
      </c>
      <c r="E752" s="85">
        <f t="shared" si="281"/>
        <v>2.673</v>
      </c>
      <c r="F752" s="85">
        <f t="shared" si="281"/>
        <v>0</v>
      </c>
      <c r="G752" s="85">
        <f t="shared" si="281"/>
        <v>1.954</v>
      </c>
      <c r="H752" s="85">
        <f t="shared" si="281"/>
        <v>0.58599999999999997</v>
      </c>
      <c r="I752" s="85">
        <f t="shared" si="281"/>
        <v>0</v>
      </c>
      <c r="J752" s="85">
        <f t="shared" si="281"/>
        <v>0.13300000000000001</v>
      </c>
      <c r="K752" s="76">
        <v>0</v>
      </c>
      <c r="L752" s="497">
        <f t="shared" si="278"/>
        <v>2.673</v>
      </c>
      <c r="M752" s="320"/>
      <c r="N752" s="565"/>
      <c r="O752" s="399"/>
    </row>
    <row r="753" spans="1:58" s="334" customFormat="1" ht="19.5" customHeight="1">
      <c r="A753" s="921" t="s">
        <v>287</v>
      </c>
      <c r="B753" s="838" t="s">
        <v>1252</v>
      </c>
      <c r="C753" s="915" t="s">
        <v>1253</v>
      </c>
      <c r="D753" s="140" t="s">
        <v>16</v>
      </c>
      <c r="E753" s="141">
        <f>F753+G753+H753+I753+J753</f>
        <v>0.28060000000000007</v>
      </c>
      <c r="F753" s="141">
        <f>J754</f>
        <v>1.34E-2</v>
      </c>
      <c r="G753" s="141">
        <f>G754</f>
        <v>0</v>
      </c>
      <c r="H753" s="141">
        <f>H754</f>
        <v>0.25380000000000003</v>
      </c>
      <c r="I753" s="141">
        <f>I754</f>
        <v>0</v>
      </c>
      <c r="J753" s="141">
        <f>J754</f>
        <v>1.34E-2</v>
      </c>
      <c r="K753" s="76">
        <v>0</v>
      </c>
      <c r="L753" s="497">
        <f t="shared" si="278"/>
        <v>0.28060000000000007</v>
      </c>
      <c r="M753" s="375"/>
      <c r="N753" s="565"/>
      <c r="O753" s="335"/>
      <c r="P753" s="1163" t="s">
        <v>645</v>
      </c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  <c r="AO753" s="49"/>
      <c r="AP753" s="49"/>
      <c r="AQ753" s="49"/>
      <c r="AR753" s="49"/>
      <c r="AS753" s="49"/>
      <c r="AT753" s="49"/>
      <c r="AU753" s="49"/>
      <c r="AV753" s="49"/>
      <c r="AW753" s="49"/>
      <c r="AX753" s="49"/>
      <c r="AY753" s="49"/>
      <c r="AZ753" s="49"/>
      <c r="BA753" s="49"/>
      <c r="BB753" s="49"/>
      <c r="BC753" s="49"/>
      <c r="BD753" s="49"/>
      <c r="BE753" s="49"/>
      <c r="BF753" s="336"/>
    </row>
    <row r="754" spans="1:58" s="334" customFormat="1" ht="28.5" customHeight="1">
      <c r="A754" s="921"/>
      <c r="B754" s="854"/>
      <c r="C754" s="999"/>
      <c r="D754" s="227">
        <v>2021</v>
      </c>
      <c r="E754" s="141">
        <f>F754+G754+H754+I754+J754</f>
        <v>0.26720000000000005</v>
      </c>
      <c r="F754" s="314">
        <v>0</v>
      </c>
      <c r="G754" s="314">
        <v>0</v>
      </c>
      <c r="H754" s="548">
        <v>0.25380000000000003</v>
      </c>
      <c r="I754" s="314">
        <v>0</v>
      </c>
      <c r="J754" s="314">
        <v>1.34E-2</v>
      </c>
      <c r="K754" s="76">
        <v>0</v>
      </c>
      <c r="L754" s="497">
        <f t="shared" si="278"/>
        <v>0.26720000000000005</v>
      </c>
      <c r="M754" s="375"/>
      <c r="N754" s="565"/>
      <c r="O754" s="335"/>
      <c r="P754" s="1165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  <c r="AO754" s="49"/>
      <c r="AP754" s="49"/>
      <c r="AQ754" s="49"/>
      <c r="AR754" s="49"/>
      <c r="AS754" s="49"/>
      <c r="AT754" s="49"/>
      <c r="AU754" s="49"/>
      <c r="AV754" s="49"/>
      <c r="AW754" s="49"/>
      <c r="AX754" s="49"/>
      <c r="AY754" s="49"/>
      <c r="AZ754" s="49"/>
      <c r="BA754" s="49"/>
      <c r="BB754" s="49"/>
      <c r="BC754" s="49"/>
      <c r="BD754" s="49"/>
      <c r="BE754" s="49"/>
      <c r="BF754" s="336"/>
    </row>
    <row r="755" spans="1:58" s="51" customFormat="1" ht="25.5" customHeight="1">
      <c r="A755" s="921" t="s">
        <v>1254</v>
      </c>
      <c r="B755" s="1207" t="s">
        <v>1255</v>
      </c>
      <c r="C755" s="1207" t="s">
        <v>1256</v>
      </c>
      <c r="D755" s="84" t="s">
        <v>16</v>
      </c>
      <c r="E755" s="85">
        <f>E756+E757+E758</f>
        <v>7.5217999999999998</v>
      </c>
      <c r="F755" s="85">
        <f>F756+F757</f>
        <v>0</v>
      </c>
      <c r="G755" s="85">
        <f>G756+G757+G758</f>
        <v>5.4994999999999994</v>
      </c>
      <c r="H755" s="85">
        <f>H756+H757+H758</f>
        <v>1.649</v>
      </c>
      <c r="I755" s="85">
        <f>I756+I757+I758</f>
        <v>0</v>
      </c>
      <c r="J755" s="85">
        <f>J756+J757+J758</f>
        <v>0.37330000000000002</v>
      </c>
      <c r="K755" s="76">
        <v>0</v>
      </c>
      <c r="L755" s="497">
        <f t="shared" si="278"/>
        <v>7.5217999999999998</v>
      </c>
      <c r="M755" s="293"/>
      <c r="N755" s="565"/>
      <c r="O755" s="301"/>
      <c r="P755" s="881" t="s">
        <v>611</v>
      </c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  <c r="AT755" s="49"/>
      <c r="AU755" s="49"/>
      <c r="AV755" s="49"/>
      <c r="AW755" s="49"/>
      <c r="AX755" s="49"/>
      <c r="AY755" s="49"/>
      <c r="AZ755" s="49"/>
      <c r="BA755" s="49"/>
      <c r="BB755" s="49"/>
      <c r="BC755" s="49"/>
      <c r="BD755" s="49"/>
      <c r="BE755" s="49"/>
      <c r="BF755" s="68"/>
    </row>
    <row r="756" spans="1:58" s="51" customFormat="1">
      <c r="A756" s="921"/>
      <c r="B756" s="1208"/>
      <c r="C756" s="1208"/>
      <c r="D756" s="84">
        <v>2021</v>
      </c>
      <c r="E756" s="85">
        <f>F756+G756+H756+I756+J756</f>
        <v>2.1757999999999997</v>
      </c>
      <c r="F756" s="63">
        <v>0</v>
      </c>
      <c r="G756" s="63">
        <v>1.5914999999999999</v>
      </c>
      <c r="H756" s="63">
        <v>0.47699999999999998</v>
      </c>
      <c r="I756" s="63">
        <v>0</v>
      </c>
      <c r="J756" s="63">
        <v>0.10730000000000001</v>
      </c>
      <c r="K756" s="76">
        <v>0</v>
      </c>
      <c r="L756" s="497">
        <f t="shared" si="278"/>
        <v>2.1757999999999997</v>
      </c>
      <c r="M756" s="293"/>
      <c r="N756" s="565"/>
      <c r="O756" s="301"/>
      <c r="P756" s="882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  <c r="AT756" s="49"/>
      <c r="AU756" s="49"/>
      <c r="AV756" s="49"/>
      <c r="AW756" s="49"/>
      <c r="AX756" s="49"/>
      <c r="AY756" s="49"/>
      <c r="AZ756" s="49"/>
      <c r="BA756" s="49"/>
      <c r="BB756" s="49"/>
      <c r="BC756" s="49"/>
      <c r="BD756" s="49"/>
      <c r="BE756" s="49"/>
      <c r="BF756" s="68"/>
    </row>
    <row r="757" spans="1:58" s="51" customFormat="1" ht="12.75" customHeight="1">
      <c r="A757" s="921"/>
      <c r="B757" s="1208"/>
      <c r="C757" s="1208"/>
      <c r="D757" s="84">
        <v>2022</v>
      </c>
      <c r="E757" s="85">
        <f>F757+G757+H757+I757+J757</f>
        <v>2.673</v>
      </c>
      <c r="F757" s="63">
        <v>0</v>
      </c>
      <c r="G757" s="63">
        <v>1.954</v>
      </c>
      <c r="H757" s="63">
        <v>0.58599999999999997</v>
      </c>
      <c r="I757" s="63">
        <v>0</v>
      </c>
      <c r="J757" s="63">
        <v>0.13300000000000001</v>
      </c>
      <c r="K757" s="76">
        <v>0</v>
      </c>
      <c r="L757" s="497">
        <f t="shared" si="278"/>
        <v>2.673</v>
      </c>
      <c r="M757" s="293"/>
      <c r="N757" s="565"/>
      <c r="O757" s="301"/>
      <c r="P757" s="882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  <c r="AR757" s="49"/>
      <c r="AS757" s="49"/>
      <c r="AT757" s="49"/>
      <c r="AU757" s="49"/>
      <c r="AV757" s="49"/>
      <c r="AW757" s="49"/>
      <c r="AX757" s="49"/>
      <c r="AY757" s="49"/>
      <c r="AZ757" s="49"/>
      <c r="BA757" s="49"/>
      <c r="BB757" s="49"/>
      <c r="BC757" s="49"/>
      <c r="BD757" s="49"/>
      <c r="BE757" s="49"/>
      <c r="BF757" s="68"/>
    </row>
    <row r="758" spans="1:58" s="51" customFormat="1" ht="30" customHeight="1">
      <c r="A758" s="921"/>
      <c r="B758" s="1209"/>
      <c r="C758" s="1209"/>
      <c r="D758" s="84">
        <v>2023</v>
      </c>
      <c r="E758" s="85">
        <f>F758+G758+H758+I758+J758</f>
        <v>2.673</v>
      </c>
      <c r="F758" s="63">
        <v>0</v>
      </c>
      <c r="G758" s="63">
        <v>1.954</v>
      </c>
      <c r="H758" s="63">
        <v>0.58599999999999997</v>
      </c>
      <c r="I758" s="63">
        <v>0</v>
      </c>
      <c r="J758" s="63">
        <v>0.13300000000000001</v>
      </c>
      <c r="K758" s="76">
        <v>0</v>
      </c>
      <c r="L758" s="497">
        <f t="shared" si="278"/>
        <v>2.673</v>
      </c>
      <c r="M758" s="293"/>
      <c r="N758" s="568"/>
      <c r="O758" s="301"/>
      <c r="P758" s="964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  <c r="AR758" s="49"/>
      <c r="AS758" s="49"/>
      <c r="AT758" s="49"/>
      <c r="AU758" s="49"/>
      <c r="AV758" s="49"/>
      <c r="AW758" s="49"/>
      <c r="AX758" s="49"/>
      <c r="AY758" s="49"/>
      <c r="AZ758" s="49"/>
      <c r="BA758" s="49"/>
      <c r="BB758" s="49"/>
      <c r="BC758" s="49"/>
      <c r="BD758" s="49"/>
      <c r="BE758" s="49"/>
      <c r="BF758" s="68"/>
    </row>
    <row r="759" spans="1:58" s="51" customFormat="1" ht="17.25" customHeight="1">
      <c r="A759" s="921" t="s">
        <v>855</v>
      </c>
      <c r="B759" s="1212" t="s">
        <v>1257</v>
      </c>
      <c r="C759" s="1212" t="s">
        <v>1258</v>
      </c>
      <c r="D759" s="84" t="s">
        <v>16</v>
      </c>
      <c r="E759" s="85">
        <f t="shared" ref="E759:J759" si="282">E760</f>
        <v>5.5150999999999994</v>
      </c>
      <c r="F759" s="85">
        <f t="shared" si="282"/>
        <v>0</v>
      </c>
      <c r="G759" s="85">
        <f t="shared" si="282"/>
        <v>3.7277</v>
      </c>
      <c r="H759" s="85">
        <f t="shared" si="282"/>
        <v>1.1173</v>
      </c>
      <c r="I759" s="85">
        <f t="shared" si="282"/>
        <v>0</v>
      </c>
      <c r="J759" s="85">
        <f t="shared" si="282"/>
        <v>0.67010000000000003</v>
      </c>
      <c r="K759" s="76">
        <v>0</v>
      </c>
      <c r="L759" s="497">
        <f t="shared" si="278"/>
        <v>5.5150999999999994</v>
      </c>
      <c r="N759" s="568"/>
      <c r="P759" s="881" t="s">
        <v>1259</v>
      </c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49"/>
      <c r="AU759" s="49"/>
      <c r="AV759" s="49"/>
      <c r="AW759" s="49"/>
      <c r="AX759" s="49"/>
      <c r="AY759" s="49"/>
      <c r="AZ759" s="49"/>
      <c r="BA759" s="49"/>
      <c r="BB759" s="49"/>
      <c r="BC759" s="49"/>
      <c r="BD759" s="49"/>
      <c r="BE759" s="49"/>
      <c r="BF759" s="68"/>
    </row>
    <row r="760" spans="1:58" s="51" customFormat="1" ht="37.5" customHeight="1">
      <c r="A760" s="921"/>
      <c r="B760" s="1212"/>
      <c r="C760" s="1212"/>
      <c r="D760" s="84">
        <v>2021</v>
      </c>
      <c r="E760" s="85">
        <f>F760+G760+H760+I760+J760</f>
        <v>5.5150999999999994</v>
      </c>
      <c r="F760" s="63">
        <v>0</v>
      </c>
      <c r="G760" s="63">
        <v>3.7277</v>
      </c>
      <c r="H760" s="63">
        <v>1.1173</v>
      </c>
      <c r="I760" s="63">
        <v>0</v>
      </c>
      <c r="J760" s="63">
        <v>0.67010000000000003</v>
      </c>
      <c r="K760" s="750">
        <v>0</v>
      </c>
      <c r="L760" s="497">
        <f t="shared" si="278"/>
        <v>5.5150999999999994</v>
      </c>
      <c r="M760" s="508"/>
      <c r="N760" s="568"/>
      <c r="P760" s="964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49"/>
      <c r="AT760" s="49"/>
      <c r="AU760" s="49"/>
      <c r="AV760" s="49"/>
      <c r="AW760" s="49"/>
      <c r="AX760" s="49"/>
      <c r="AY760" s="49"/>
      <c r="AZ760" s="49"/>
      <c r="BA760" s="49"/>
      <c r="BB760" s="49"/>
      <c r="BC760" s="49"/>
      <c r="BD760" s="49"/>
      <c r="BE760" s="49"/>
      <c r="BF760" s="68"/>
    </row>
    <row r="761" spans="1:58" s="51" customFormat="1">
      <c r="A761" s="921" t="s">
        <v>858</v>
      </c>
      <c r="B761" s="870" t="s">
        <v>591</v>
      </c>
      <c r="C761" s="1019" t="s">
        <v>1260</v>
      </c>
      <c r="D761" s="84" t="s">
        <v>16</v>
      </c>
      <c r="E761" s="85">
        <f t="shared" ref="E761:J761" si="283">E762</f>
        <v>2.7131000000000003</v>
      </c>
      <c r="F761" s="85">
        <f t="shared" si="283"/>
        <v>0</v>
      </c>
      <c r="G761" s="85">
        <f t="shared" si="283"/>
        <v>1.6689000000000001</v>
      </c>
      <c r="H761" s="85">
        <f t="shared" si="283"/>
        <v>0.50019999999999998</v>
      </c>
      <c r="I761" s="85">
        <f t="shared" si="283"/>
        <v>0</v>
      </c>
      <c r="J761" s="85">
        <f t="shared" si="283"/>
        <v>0.54400000000000004</v>
      </c>
      <c r="K761" s="76">
        <v>0</v>
      </c>
      <c r="L761" s="497">
        <f t="shared" si="278"/>
        <v>2.7131000000000003</v>
      </c>
      <c r="M761" s="292"/>
      <c r="N761" s="568"/>
      <c r="O761" s="301"/>
      <c r="P761" s="190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  <c r="AO761" s="49"/>
      <c r="AP761" s="49"/>
      <c r="AQ761" s="49"/>
      <c r="AR761" s="49"/>
      <c r="AS761" s="49"/>
      <c r="AT761" s="49"/>
      <c r="AU761" s="49"/>
      <c r="AV761" s="49"/>
      <c r="AW761" s="49"/>
      <c r="AX761" s="49"/>
      <c r="AY761" s="49"/>
      <c r="AZ761" s="49"/>
      <c r="BA761" s="49"/>
      <c r="BB761" s="49"/>
      <c r="BC761" s="49"/>
      <c r="BD761" s="49"/>
      <c r="BE761" s="49"/>
      <c r="BF761" s="68"/>
    </row>
    <row r="762" spans="1:58" s="51" customFormat="1" ht="41.25" customHeight="1">
      <c r="A762" s="921"/>
      <c r="B762" s="870"/>
      <c r="C762" s="1019"/>
      <c r="D762" s="84">
        <v>2021</v>
      </c>
      <c r="E762" s="85">
        <f>F762+G762+H762+I762+J762</f>
        <v>2.7131000000000003</v>
      </c>
      <c r="F762" s="63">
        <v>0</v>
      </c>
      <c r="G762" s="63">
        <v>1.6689000000000001</v>
      </c>
      <c r="H762" s="63">
        <v>0.50019999999999998</v>
      </c>
      <c r="I762" s="63">
        <v>0</v>
      </c>
      <c r="J762" s="63">
        <v>0.54400000000000004</v>
      </c>
      <c r="K762" s="76">
        <v>0</v>
      </c>
      <c r="L762" s="497">
        <f t="shared" si="278"/>
        <v>2.7131000000000003</v>
      </c>
      <c r="M762" s="347"/>
      <c r="N762" s="568"/>
      <c r="O762" s="301"/>
      <c r="P762" s="358" t="s">
        <v>1261</v>
      </c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  <c r="AR762" s="49"/>
      <c r="AS762" s="49"/>
      <c r="AT762" s="49"/>
      <c r="AU762" s="49"/>
      <c r="AV762" s="49"/>
      <c r="AW762" s="49"/>
      <c r="AX762" s="49"/>
      <c r="AY762" s="49"/>
      <c r="AZ762" s="49"/>
      <c r="BA762" s="49"/>
      <c r="BB762" s="49"/>
      <c r="BC762" s="49"/>
      <c r="BD762" s="49"/>
      <c r="BE762" s="49"/>
      <c r="BF762" s="68"/>
    </row>
    <row r="763" spans="1:58" s="51" customFormat="1">
      <c r="A763" s="1155" t="s">
        <v>860</v>
      </c>
      <c r="B763" s="1207" t="s">
        <v>1262</v>
      </c>
      <c r="C763" s="1019" t="s">
        <v>1263</v>
      </c>
      <c r="D763" s="84" t="s">
        <v>16</v>
      </c>
      <c r="E763" s="85">
        <f t="shared" ref="E763:J763" si="284">E764</f>
        <v>7.0885999999999996</v>
      </c>
      <c r="F763" s="85">
        <f t="shared" si="284"/>
        <v>0</v>
      </c>
      <c r="G763" s="85">
        <f t="shared" si="284"/>
        <v>5.1531000000000002</v>
      </c>
      <c r="H763" s="85">
        <f t="shared" si="284"/>
        <v>1.2215</v>
      </c>
      <c r="I763" s="85">
        <f t="shared" si="284"/>
        <v>0</v>
      </c>
      <c r="J763" s="85">
        <f t="shared" si="284"/>
        <v>0.71399999999999997</v>
      </c>
      <c r="K763" s="76">
        <v>0</v>
      </c>
      <c r="L763" s="569"/>
      <c r="M763" s="570"/>
      <c r="N763" s="568"/>
      <c r="O763" s="570"/>
      <c r="P763" s="1104" t="s">
        <v>1264</v>
      </c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  <c r="AO763" s="49"/>
      <c r="AP763" s="49"/>
      <c r="AQ763" s="49"/>
      <c r="AR763" s="49"/>
      <c r="AS763" s="49"/>
      <c r="AT763" s="49"/>
      <c r="AU763" s="49"/>
      <c r="AV763" s="49"/>
      <c r="AW763" s="49"/>
      <c r="AX763" s="49"/>
      <c r="AY763" s="49"/>
      <c r="AZ763" s="49"/>
      <c r="BA763" s="49"/>
      <c r="BB763" s="49"/>
      <c r="BC763" s="49"/>
      <c r="BD763" s="49"/>
      <c r="BE763" s="49"/>
      <c r="BF763" s="68"/>
    </row>
    <row r="764" spans="1:58" s="51" customFormat="1">
      <c r="A764" s="1156"/>
      <c r="B764" s="1208"/>
      <c r="C764" s="1019"/>
      <c r="D764" s="84">
        <v>2021</v>
      </c>
      <c r="E764" s="85">
        <f>F764+G764+H764+I764+J764</f>
        <v>7.0885999999999996</v>
      </c>
      <c r="F764" s="63">
        <v>0</v>
      </c>
      <c r="G764" s="63">
        <v>5.1531000000000002</v>
      </c>
      <c r="H764" s="63">
        <v>1.2215</v>
      </c>
      <c r="I764" s="63">
        <v>0</v>
      </c>
      <c r="J764" s="63">
        <v>0.71399999999999997</v>
      </c>
      <c r="K764" s="76">
        <v>0</v>
      </c>
      <c r="L764" s="569"/>
      <c r="M764" s="570"/>
      <c r="N764" s="568"/>
      <c r="O764" s="570"/>
      <c r="P764" s="992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  <c r="AR764" s="49"/>
      <c r="AS764" s="49"/>
      <c r="AT764" s="49"/>
      <c r="AU764" s="49"/>
      <c r="AV764" s="49"/>
      <c r="AW764" s="49"/>
      <c r="AX764" s="49"/>
      <c r="AY764" s="49"/>
      <c r="AZ764" s="49"/>
      <c r="BA764" s="49"/>
      <c r="BB764" s="49"/>
      <c r="BC764" s="49"/>
      <c r="BD764" s="49"/>
      <c r="BE764" s="49"/>
      <c r="BF764" s="68"/>
    </row>
    <row r="765" spans="1:58" s="51" customFormat="1" ht="12.75" customHeight="1">
      <c r="A765" s="975" t="s">
        <v>1265</v>
      </c>
      <c r="B765" s="1207" t="s">
        <v>1266</v>
      </c>
      <c r="C765" s="1019"/>
      <c r="D765" s="84" t="s">
        <v>16</v>
      </c>
      <c r="E765" s="85">
        <f t="shared" ref="E765:J765" si="285">E766</f>
        <v>9.8864000000000001</v>
      </c>
      <c r="F765" s="85">
        <f t="shared" si="285"/>
        <v>0</v>
      </c>
      <c r="G765" s="85">
        <f t="shared" si="285"/>
        <v>7.8441000000000001</v>
      </c>
      <c r="H765" s="85">
        <f t="shared" si="285"/>
        <v>1.8593999999999999</v>
      </c>
      <c r="I765" s="85">
        <f t="shared" si="285"/>
        <v>0</v>
      </c>
      <c r="J765" s="85">
        <f t="shared" si="285"/>
        <v>0.18290000000000001</v>
      </c>
      <c r="K765" s="76">
        <v>0</v>
      </c>
      <c r="L765" s="569"/>
      <c r="M765" s="570"/>
      <c r="N765" s="568"/>
      <c r="O765" s="570"/>
      <c r="P765" s="992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  <c r="AT765" s="49"/>
      <c r="AU765" s="49"/>
      <c r="AV765" s="49"/>
      <c r="AW765" s="49"/>
      <c r="AX765" s="49"/>
      <c r="AY765" s="49"/>
      <c r="AZ765" s="49"/>
      <c r="BA765" s="49"/>
      <c r="BB765" s="49"/>
      <c r="BC765" s="49"/>
      <c r="BD765" s="49"/>
      <c r="BE765" s="49"/>
      <c r="BF765" s="68"/>
    </row>
    <row r="766" spans="1:58" s="51" customFormat="1" ht="30.75" customHeight="1">
      <c r="A766" s="977"/>
      <c r="B766" s="1208"/>
      <c r="C766" s="1019"/>
      <c r="D766" s="84">
        <v>2021</v>
      </c>
      <c r="E766" s="85">
        <f>F766+G766+H766+I766+J766</f>
        <v>9.8864000000000001</v>
      </c>
      <c r="F766" s="63">
        <v>0</v>
      </c>
      <c r="G766" s="63">
        <v>7.8441000000000001</v>
      </c>
      <c r="H766" s="63">
        <v>1.8593999999999999</v>
      </c>
      <c r="I766" s="63">
        <v>0</v>
      </c>
      <c r="J766" s="63">
        <v>0.18290000000000001</v>
      </c>
      <c r="K766" s="76">
        <v>0</v>
      </c>
      <c r="L766" s="569"/>
      <c r="M766" s="570"/>
      <c r="N766" s="568"/>
      <c r="O766" s="570"/>
      <c r="P766" s="993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  <c r="AT766" s="49"/>
      <c r="AU766" s="49"/>
      <c r="AV766" s="49"/>
      <c r="AW766" s="49"/>
      <c r="AX766" s="49"/>
      <c r="AY766" s="49"/>
      <c r="AZ766" s="49"/>
      <c r="BA766" s="49"/>
      <c r="BB766" s="49"/>
      <c r="BC766" s="49"/>
      <c r="BD766" s="49"/>
      <c r="BE766" s="49"/>
      <c r="BF766" s="68"/>
    </row>
    <row r="767" spans="1:58" s="51" customFormat="1" ht="17.25" customHeight="1">
      <c r="A767" s="1211" t="s">
        <v>1267</v>
      </c>
      <c r="B767" s="1207" t="s">
        <v>1268</v>
      </c>
      <c r="C767" s="1207" t="s">
        <v>1269</v>
      </c>
      <c r="D767" s="84" t="s">
        <v>16</v>
      </c>
      <c r="E767" s="85">
        <f t="shared" ref="E767:J767" si="286">E768</f>
        <v>1.5455000000000001</v>
      </c>
      <c r="F767" s="63">
        <f t="shared" si="286"/>
        <v>0</v>
      </c>
      <c r="G767" s="63">
        <f t="shared" si="286"/>
        <v>1.1845000000000001</v>
      </c>
      <c r="H767" s="63">
        <f t="shared" si="286"/>
        <v>0.35499999999999998</v>
      </c>
      <c r="I767" s="63">
        <f t="shared" si="286"/>
        <v>0</v>
      </c>
      <c r="J767" s="63">
        <f t="shared" si="286"/>
        <v>6.0000000000000001E-3</v>
      </c>
      <c r="K767" s="76">
        <v>0</v>
      </c>
      <c r="L767" s="569"/>
      <c r="M767" s="570"/>
      <c r="N767" s="568"/>
      <c r="O767" s="570"/>
      <c r="P767" s="1104" t="s">
        <v>1270</v>
      </c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  <c r="AT767" s="49"/>
      <c r="AU767" s="49"/>
      <c r="AV767" s="49"/>
      <c r="AW767" s="49"/>
      <c r="AX767" s="49"/>
      <c r="AY767" s="49"/>
      <c r="AZ767" s="49"/>
      <c r="BA767" s="49"/>
      <c r="BB767" s="49"/>
      <c r="BC767" s="49"/>
      <c r="BD767" s="49"/>
      <c r="BE767" s="49"/>
      <c r="BF767" s="68"/>
    </row>
    <row r="768" spans="1:58" s="51" customFormat="1" ht="27" customHeight="1">
      <c r="A768" s="1211"/>
      <c r="B768" s="1209"/>
      <c r="C768" s="1209"/>
      <c r="D768" s="84">
        <v>2021</v>
      </c>
      <c r="E768" s="85">
        <f>F768+G768+H768+I768+J768</f>
        <v>1.5455000000000001</v>
      </c>
      <c r="F768" s="63">
        <v>0</v>
      </c>
      <c r="G768" s="63">
        <v>1.1845000000000001</v>
      </c>
      <c r="H768" s="63">
        <v>0.35499999999999998</v>
      </c>
      <c r="I768" s="63">
        <v>0</v>
      </c>
      <c r="J768" s="63">
        <v>6.0000000000000001E-3</v>
      </c>
      <c r="K768" s="76">
        <v>0</v>
      </c>
      <c r="L768" s="569"/>
      <c r="M768" s="570"/>
      <c r="N768" s="568"/>
      <c r="O768" s="570"/>
      <c r="P768" s="993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49"/>
      <c r="AT768" s="49"/>
      <c r="AU768" s="49"/>
      <c r="AV768" s="49"/>
      <c r="AW768" s="49"/>
      <c r="AX768" s="49"/>
      <c r="AY768" s="49"/>
      <c r="AZ768" s="49"/>
      <c r="BA768" s="49"/>
      <c r="BB768" s="49"/>
      <c r="BC768" s="49"/>
      <c r="BD768" s="49"/>
      <c r="BE768" s="49"/>
      <c r="BF768" s="68"/>
    </row>
    <row r="769" spans="1:58" s="51" customFormat="1" ht="12.75" customHeight="1">
      <c r="A769" s="1128" t="s">
        <v>863</v>
      </c>
      <c r="B769" s="1000" t="s">
        <v>845</v>
      </c>
      <c r="C769" s="1161"/>
      <c r="D769" s="84" t="s">
        <v>16</v>
      </c>
      <c r="E769" s="85">
        <f t="shared" ref="E769:J769" si="287">E770+E771+E773+E772</f>
        <v>113.80110000000001</v>
      </c>
      <c r="F769" s="85">
        <f t="shared" si="287"/>
        <v>2.1884000000000001</v>
      </c>
      <c r="G769" s="85">
        <f t="shared" si="287"/>
        <v>0</v>
      </c>
      <c r="H769" s="85">
        <f t="shared" si="287"/>
        <v>111.03689999999999</v>
      </c>
      <c r="I769" s="85">
        <f t="shared" si="287"/>
        <v>0</v>
      </c>
      <c r="J769" s="85">
        <f t="shared" si="287"/>
        <v>0.57579999999999998</v>
      </c>
      <c r="K769" s="76">
        <v>0</v>
      </c>
      <c r="L769" s="497">
        <f t="shared" ref="L769:L785" si="288">F769+G769+H769+I769+J769</f>
        <v>113.80109999999999</v>
      </c>
      <c r="M769" s="185"/>
      <c r="N769" s="568"/>
      <c r="O769" s="301"/>
      <c r="P769" s="477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  <c r="AR769" s="49"/>
      <c r="AS769" s="49"/>
      <c r="AT769" s="49"/>
      <c r="AU769" s="49"/>
      <c r="AV769" s="49"/>
      <c r="AW769" s="49"/>
      <c r="AX769" s="49"/>
      <c r="AY769" s="49"/>
      <c r="AZ769" s="49"/>
      <c r="BA769" s="49"/>
      <c r="BB769" s="49"/>
      <c r="BC769" s="49"/>
      <c r="BD769" s="49"/>
      <c r="BE769" s="49"/>
      <c r="BF769" s="68"/>
    </row>
    <row r="770" spans="1:58" s="51" customFormat="1" ht="12.75" customHeight="1">
      <c r="A770" s="1183"/>
      <c r="B770" s="1001"/>
      <c r="C770" s="1125"/>
      <c r="D770" s="84">
        <v>2019</v>
      </c>
      <c r="E770" s="85">
        <f t="shared" ref="E770:J770" si="289">E776+E784+E789</f>
        <v>6.0781999999999998</v>
      </c>
      <c r="F770" s="85">
        <f t="shared" si="289"/>
        <v>0</v>
      </c>
      <c r="G770" s="85">
        <f t="shared" si="289"/>
        <v>0</v>
      </c>
      <c r="H770" s="85">
        <f t="shared" si="289"/>
        <v>6.0495999999999999</v>
      </c>
      <c r="I770" s="85">
        <f t="shared" si="289"/>
        <v>0</v>
      </c>
      <c r="J770" s="85">
        <f t="shared" si="289"/>
        <v>2.86E-2</v>
      </c>
      <c r="K770" s="76">
        <v>0</v>
      </c>
      <c r="L770" s="497">
        <f t="shared" si="288"/>
        <v>6.0781999999999998</v>
      </c>
      <c r="M770" s="185"/>
      <c r="N770" s="568"/>
      <c r="O770" s="301"/>
      <c r="P770" s="477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  <c r="AT770" s="49"/>
      <c r="AU770" s="49"/>
      <c r="AV770" s="49"/>
      <c r="AW770" s="49"/>
      <c r="AX770" s="49"/>
      <c r="AY770" s="49"/>
      <c r="AZ770" s="49"/>
      <c r="BA770" s="49"/>
      <c r="BB770" s="49"/>
      <c r="BC770" s="49"/>
      <c r="BD770" s="49"/>
      <c r="BE770" s="49"/>
      <c r="BF770" s="68"/>
    </row>
    <row r="771" spans="1:58" s="51" customFormat="1" ht="12.75" customHeight="1">
      <c r="A771" s="1183"/>
      <c r="B771" s="1001"/>
      <c r="C771" s="1125"/>
      <c r="D771" s="84">
        <v>2020</v>
      </c>
      <c r="E771" s="85">
        <f t="shared" ref="E771:J771" si="290">E777+E779+E785+E795</f>
        <v>83.241600000000005</v>
      </c>
      <c r="F771" s="85">
        <f t="shared" si="290"/>
        <v>2.1884000000000001</v>
      </c>
      <c r="G771" s="85">
        <f t="shared" si="290"/>
        <v>0</v>
      </c>
      <c r="H771" s="85">
        <f t="shared" si="290"/>
        <v>80.974599999999995</v>
      </c>
      <c r="I771" s="85">
        <f t="shared" si="290"/>
        <v>0</v>
      </c>
      <c r="J771" s="85">
        <f t="shared" si="290"/>
        <v>7.8600000000000003E-2</v>
      </c>
      <c r="K771" s="76">
        <v>0</v>
      </c>
      <c r="L771" s="497">
        <f t="shared" si="288"/>
        <v>83.241599999999991</v>
      </c>
      <c r="M771" s="185"/>
      <c r="N771" s="568"/>
      <c r="O771" s="301"/>
      <c r="P771" s="477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  <c r="AT771" s="49"/>
      <c r="AU771" s="49"/>
      <c r="AV771" s="49"/>
      <c r="AW771" s="49"/>
      <c r="AX771" s="49"/>
      <c r="AY771" s="49"/>
      <c r="AZ771" s="49"/>
      <c r="BA771" s="49"/>
      <c r="BB771" s="49"/>
      <c r="BC771" s="49"/>
      <c r="BD771" s="49"/>
      <c r="BE771" s="49"/>
      <c r="BF771" s="68"/>
    </row>
    <row r="772" spans="1:58" s="51" customFormat="1" ht="12.75" customHeight="1">
      <c r="A772" s="1183"/>
      <c r="B772" s="1001"/>
      <c r="C772" s="1125"/>
      <c r="D772" s="84">
        <v>2021</v>
      </c>
      <c r="E772" s="85">
        <f t="shared" ref="E772:J772" si="291">E780+E796+E803+E805+E807+E809</f>
        <v>9.4652999999999992</v>
      </c>
      <c r="F772" s="85">
        <f t="shared" si="291"/>
        <v>0</v>
      </c>
      <c r="G772" s="85">
        <f t="shared" si="291"/>
        <v>0</v>
      </c>
      <c r="H772" s="85">
        <f t="shared" si="291"/>
        <v>9.0127000000000006</v>
      </c>
      <c r="I772" s="85">
        <f t="shared" si="291"/>
        <v>0</v>
      </c>
      <c r="J772" s="85">
        <f t="shared" si="291"/>
        <v>0.4526</v>
      </c>
      <c r="K772" s="76">
        <v>0</v>
      </c>
      <c r="L772" s="497">
        <f t="shared" si="288"/>
        <v>9.4653000000000009</v>
      </c>
      <c r="M772" s="185"/>
      <c r="N772" s="568"/>
      <c r="O772" s="301"/>
      <c r="P772" s="477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49"/>
      <c r="AU772" s="49"/>
      <c r="AV772" s="49"/>
      <c r="AW772" s="49"/>
      <c r="AX772" s="49"/>
      <c r="AY772" s="49"/>
      <c r="AZ772" s="49"/>
      <c r="BA772" s="49"/>
      <c r="BB772" s="49"/>
      <c r="BC772" s="49"/>
      <c r="BD772" s="49"/>
      <c r="BE772" s="49"/>
      <c r="BF772" s="68"/>
    </row>
    <row r="773" spans="1:58" s="51" customFormat="1" ht="15.75" customHeight="1">
      <c r="A773" s="1183"/>
      <c r="B773" s="1001"/>
      <c r="C773" s="1125"/>
      <c r="D773" s="84">
        <v>2022</v>
      </c>
      <c r="E773" s="85">
        <f t="shared" ref="E773:J773" si="292">E797+E800</f>
        <v>15.016</v>
      </c>
      <c r="F773" s="85">
        <f t="shared" si="292"/>
        <v>0</v>
      </c>
      <c r="G773" s="85">
        <f t="shared" si="292"/>
        <v>0</v>
      </c>
      <c r="H773" s="85">
        <f t="shared" si="292"/>
        <v>15</v>
      </c>
      <c r="I773" s="85">
        <f t="shared" si="292"/>
        <v>0</v>
      </c>
      <c r="J773" s="85">
        <f t="shared" si="292"/>
        <v>1.6E-2</v>
      </c>
      <c r="K773" s="76">
        <v>0</v>
      </c>
      <c r="L773" s="497">
        <f t="shared" si="288"/>
        <v>15.016</v>
      </c>
      <c r="M773" s="185"/>
      <c r="N773" s="568"/>
      <c r="O773" s="301"/>
      <c r="P773" s="557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  <c r="AR773" s="49"/>
      <c r="AS773" s="49"/>
      <c r="AT773" s="49"/>
      <c r="AU773" s="49"/>
      <c r="AV773" s="49"/>
      <c r="AW773" s="49"/>
      <c r="AX773" s="49"/>
      <c r="AY773" s="49"/>
      <c r="AZ773" s="49"/>
      <c r="BA773" s="49"/>
      <c r="BB773" s="49"/>
      <c r="BC773" s="49"/>
      <c r="BD773" s="49"/>
      <c r="BE773" s="49"/>
      <c r="BF773" s="68"/>
    </row>
    <row r="774" spans="1:58" s="51" customFormat="1" ht="15.75" customHeight="1">
      <c r="A774" s="1184"/>
      <c r="B774" s="1002"/>
      <c r="C774" s="1103"/>
      <c r="D774" s="84">
        <v>2023</v>
      </c>
      <c r="E774" s="85">
        <f t="shared" ref="E774:J774" si="293">E782+E798+E801</f>
        <v>55</v>
      </c>
      <c r="F774" s="85">
        <f t="shared" si="293"/>
        <v>0</v>
      </c>
      <c r="G774" s="85">
        <f t="shared" si="293"/>
        <v>0</v>
      </c>
      <c r="H774" s="85">
        <f t="shared" si="293"/>
        <v>55</v>
      </c>
      <c r="I774" s="85">
        <f t="shared" si="293"/>
        <v>0</v>
      </c>
      <c r="J774" s="85">
        <f t="shared" si="293"/>
        <v>0</v>
      </c>
      <c r="K774" s="76">
        <v>0</v>
      </c>
      <c r="L774" s="497">
        <f t="shared" si="288"/>
        <v>55</v>
      </c>
      <c r="M774" s="185"/>
      <c r="N774" s="568"/>
      <c r="O774" s="301"/>
      <c r="P774" s="557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  <c r="AT774" s="49"/>
      <c r="AU774" s="49"/>
      <c r="AV774" s="49"/>
      <c r="AW774" s="49"/>
      <c r="AX774" s="49"/>
      <c r="AY774" s="49"/>
      <c r="AZ774" s="49"/>
      <c r="BA774" s="49"/>
      <c r="BB774" s="49"/>
      <c r="BC774" s="49"/>
      <c r="BD774" s="49"/>
      <c r="BE774" s="49"/>
      <c r="BF774" s="68"/>
    </row>
    <row r="775" spans="1:58" s="51" customFormat="1" ht="22.5" customHeight="1">
      <c r="A775" s="794" t="s">
        <v>865</v>
      </c>
      <c r="B775" s="867" t="s">
        <v>847</v>
      </c>
      <c r="C775" s="915" t="s">
        <v>848</v>
      </c>
      <c r="D775" s="84" t="s">
        <v>16</v>
      </c>
      <c r="E775" s="85">
        <f t="shared" ref="E775:J775" si="294">E776+E777</f>
        <v>19.005200000000002</v>
      </c>
      <c r="F775" s="85">
        <f t="shared" si="294"/>
        <v>2.1884000000000001</v>
      </c>
      <c r="G775" s="85">
        <f t="shared" si="294"/>
        <v>0</v>
      </c>
      <c r="H775" s="85">
        <f t="shared" si="294"/>
        <v>16.816800000000001</v>
      </c>
      <c r="I775" s="85">
        <f t="shared" si="294"/>
        <v>0</v>
      </c>
      <c r="J775" s="85">
        <f t="shared" si="294"/>
        <v>0</v>
      </c>
      <c r="K775" s="76">
        <v>0</v>
      </c>
      <c r="L775" s="497">
        <f t="shared" si="288"/>
        <v>19.005200000000002</v>
      </c>
      <c r="M775" s="185"/>
      <c r="N775" s="568"/>
      <c r="O775" s="301"/>
      <c r="P775" s="842" t="s">
        <v>360</v>
      </c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49"/>
      <c r="BF775" s="68"/>
    </row>
    <row r="776" spans="1:58" s="51" customFormat="1" ht="15" customHeight="1">
      <c r="A776" s="795"/>
      <c r="B776" s="868"/>
      <c r="C776" s="916"/>
      <c r="D776" s="62">
        <v>2019</v>
      </c>
      <c r="E776" s="63">
        <v>0</v>
      </c>
      <c r="F776" s="63">
        <v>0</v>
      </c>
      <c r="G776" s="63">
        <v>0</v>
      </c>
      <c r="H776" s="63">
        <v>0</v>
      </c>
      <c r="I776" s="63">
        <v>0</v>
      </c>
      <c r="J776" s="63">
        <v>0</v>
      </c>
      <c r="K776" s="76">
        <v>0</v>
      </c>
      <c r="L776" s="497">
        <f t="shared" si="288"/>
        <v>0</v>
      </c>
      <c r="M776" s="185" t="s">
        <v>850</v>
      </c>
      <c r="N776" s="568"/>
      <c r="O776" s="301"/>
      <c r="P776" s="1016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F776" s="68"/>
    </row>
    <row r="777" spans="1:58" s="51" customFormat="1" ht="40.5" customHeight="1">
      <c r="A777" s="795"/>
      <c r="B777" s="868"/>
      <c r="C777" s="916"/>
      <c r="D777" s="62">
        <v>2020</v>
      </c>
      <c r="E777" s="63">
        <f>F777+H777</f>
        <v>19.005200000000002</v>
      </c>
      <c r="F777" s="63">
        <v>2.1884000000000001</v>
      </c>
      <c r="G777" s="63">
        <v>0</v>
      </c>
      <c r="H777" s="63">
        <v>16.816800000000001</v>
      </c>
      <c r="I777" s="63">
        <v>0</v>
      </c>
      <c r="J777" s="63">
        <v>0</v>
      </c>
      <c r="K777" s="76">
        <v>0</v>
      </c>
      <c r="L777" s="497">
        <f t="shared" si="288"/>
        <v>19.005200000000002</v>
      </c>
      <c r="M777" s="185" t="s">
        <v>850</v>
      </c>
      <c r="N777" s="568"/>
      <c r="O777" s="301"/>
      <c r="P777" s="1016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  <c r="AO777" s="49"/>
      <c r="AP777" s="49"/>
      <c r="AQ777" s="49"/>
      <c r="AR777" s="49"/>
      <c r="AS777" s="49"/>
      <c r="AT777" s="49"/>
      <c r="AU777" s="49"/>
      <c r="AV777" s="49"/>
      <c r="AW777" s="49"/>
      <c r="AX777" s="49"/>
      <c r="AY777" s="49"/>
      <c r="AZ777" s="49"/>
      <c r="BA777" s="49"/>
      <c r="BB777" s="49"/>
      <c r="BC777" s="49"/>
      <c r="BD777" s="49"/>
      <c r="BE777" s="49"/>
      <c r="BF777" s="68"/>
    </row>
    <row r="778" spans="1:58" s="51" customFormat="1" ht="12.75" customHeight="1">
      <c r="A778" s="794" t="s">
        <v>869</v>
      </c>
      <c r="B778" s="881" t="s">
        <v>853</v>
      </c>
      <c r="C778" s="881" t="s">
        <v>1271</v>
      </c>
      <c r="D778" s="84" t="s">
        <v>16</v>
      </c>
      <c r="E778" s="63">
        <f t="shared" ref="E778:J778" si="295">E779+E780+E781</f>
        <v>30.61</v>
      </c>
      <c r="F778" s="63">
        <f t="shared" si="295"/>
        <v>0</v>
      </c>
      <c r="G778" s="63">
        <f t="shared" si="295"/>
        <v>0</v>
      </c>
      <c r="H778" s="63">
        <f t="shared" si="295"/>
        <v>30.58</v>
      </c>
      <c r="I778" s="63">
        <f t="shared" si="295"/>
        <v>0</v>
      </c>
      <c r="J778" s="63">
        <f t="shared" si="295"/>
        <v>0.03</v>
      </c>
      <c r="K778" s="76">
        <v>0</v>
      </c>
      <c r="L778" s="497">
        <f t="shared" si="288"/>
        <v>30.61</v>
      </c>
      <c r="M778" s="185"/>
      <c r="N778" s="88"/>
      <c r="O778" s="301"/>
      <c r="P778" s="842" t="s">
        <v>1272</v>
      </c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  <c r="AO778" s="49"/>
      <c r="AP778" s="49"/>
      <c r="AQ778" s="49"/>
      <c r="AR778" s="49"/>
      <c r="AS778" s="49"/>
      <c r="AT778" s="49"/>
      <c r="AU778" s="49"/>
      <c r="AV778" s="49"/>
      <c r="AW778" s="49"/>
      <c r="AX778" s="49"/>
      <c r="AY778" s="49"/>
      <c r="AZ778" s="49"/>
      <c r="BA778" s="49"/>
      <c r="BB778" s="49"/>
      <c r="BC778" s="49"/>
      <c r="BD778" s="49"/>
      <c r="BE778" s="49"/>
      <c r="BF778" s="68"/>
    </row>
    <row r="779" spans="1:58" s="51" customFormat="1">
      <c r="A779" s="795"/>
      <c r="B779" s="882"/>
      <c r="C779" s="882"/>
      <c r="D779" s="62">
        <v>2020</v>
      </c>
      <c r="E779" s="63">
        <f>F779+G779+H779+I779+J779</f>
        <v>30.61</v>
      </c>
      <c r="F779" s="63">
        <v>0</v>
      </c>
      <c r="G779" s="63">
        <v>0</v>
      </c>
      <c r="H779" s="63">
        <v>30.58</v>
      </c>
      <c r="I779" s="63">
        <v>0</v>
      </c>
      <c r="J779" s="63">
        <v>0.03</v>
      </c>
      <c r="K779" s="76">
        <v>0</v>
      </c>
      <c r="L779" s="497">
        <f t="shared" si="288"/>
        <v>30.61</v>
      </c>
      <c r="M779" s="185"/>
      <c r="N779" s="88"/>
      <c r="O779" s="301"/>
      <c r="P779" s="1016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  <c r="AO779" s="49"/>
      <c r="AP779" s="49"/>
      <c r="AQ779" s="49"/>
      <c r="AR779" s="49"/>
      <c r="AS779" s="49"/>
      <c r="AT779" s="49"/>
      <c r="AU779" s="49"/>
      <c r="AV779" s="49"/>
      <c r="AW779" s="49"/>
      <c r="AX779" s="49"/>
      <c r="AY779" s="49"/>
      <c r="AZ779" s="49"/>
      <c r="BA779" s="49"/>
      <c r="BB779" s="49"/>
      <c r="BC779" s="49"/>
      <c r="BD779" s="49"/>
      <c r="BE779" s="49"/>
      <c r="BF779" s="68"/>
    </row>
    <row r="780" spans="1:58" s="51" customFormat="1">
      <c r="A780" s="795"/>
      <c r="B780" s="882"/>
      <c r="C780" s="882"/>
      <c r="D780" s="62">
        <v>2021</v>
      </c>
      <c r="E780" s="63">
        <f>F780+G780+H780+I780+J780</f>
        <v>0</v>
      </c>
      <c r="F780" s="63">
        <v>0</v>
      </c>
      <c r="G780" s="63">
        <v>0</v>
      </c>
      <c r="H780" s="63">
        <v>0</v>
      </c>
      <c r="I780" s="63">
        <v>0</v>
      </c>
      <c r="J780" s="63">
        <v>0</v>
      </c>
      <c r="K780" s="76">
        <v>0</v>
      </c>
      <c r="L780" s="497">
        <f t="shared" si="288"/>
        <v>0</v>
      </c>
      <c r="M780" s="185"/>
      <c r="N780" s="88"/>
      <c r="O780" s="301"/>
      <c r="P780" s="1016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  <c r="AR780" s="49"/>
      <c r="AS780" s="49"/>
      <c r="AT780" s="49"/>
      <c r="AU780" s="49"/>
      <c r="AV780" s="49"/>
      <c r="AW780" s="49"/>
      <c r="AX780" s="49"/>
      <c r="AY780" s="49"/>
      <c r="AZ780" s="49"/>
      <c r="BA780" s="49"/>
      <c r="BB780" s="49"/>
      <c r="BC780" s="49"/>
      <c r="BD780" s="49"/>
      <c r="BE780" s="49"/>
      <c r="BF780" s="68"/>
    </row>
    <row r="781" spans="1:58" s="51" customFormat="1">
      <c r="A781" s="795"/>
      <c r="B781" s="882"/>
      <c r="C781" s="882"/>
      <c r="D781" s="62">
        <v>2022</v>
      </c>
      <c r="E781" s="63">
        <f>F781+G781+H781+I781+J781</f>
        <v>0</v>
      </c>
      <c r="F781" s="63">
        <v>0</v>
      </c>
      <c r="G781" s="63">
        <v>0</v>
      </c>
      <c r="H781" s="63">
        <v>0</v>
      </c>
      <c r="I781" s="63">
        <v>0</v>
      </c>
      <c r="J781" s="63">
        <v>0</v>
      </c>
      <c r="K781" s="76">
        <v>0</v>
      </c>
      <c r="L781" s="497">
        <f t="shared" si="288"/>
        <v>0</v>
      </c>
      <c r="M781" s="185"/>
      <c r="N781" s="88"/>
      <c r="O781" s="301"/>
      <c r="P781" s="1016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  <c r="AR781" s="49"/>
      <c r="AS781" s="49"/>
      <c r="AT781" s="49"/>
      <c r="AU781" s="49"/>
      <c r="AV781" s="49"/>
      <c r="AW781" s="49"/>
      <c r="AX781" s="49"/>
      <c r="AY781" s="49"/>
      <c r="AZ781" s="49"/>
      <c r="BA781" s="49"/>
      <c r="BB781" s="49"/>
      <c r="BC781" s="49"/>
      <c r="BD781" s="49"/>
      <c r="BE781" s="49"/>
      <c r="BF781" s="68"/>
    </row>
    <row r="782" spans="1:58" s="51" customFormat="1">
      <c r="A782" s="796"/>
      <c r="B782" s="964"/>
      <c r="C782" s="882"/>
      <c r="D782" s="62">
        <v>2023</v>
      </c>
      <c r="E782" s="63">
        <v>0</v>
      </c>
      <c r="F782" s="63">
        <v>0</v>
      </c>
      <c r="G782" s="63">
        <v>0</v>
      </c>
      <c r="H782" s="63">
        <v>0</v>
      </c>
      <c r="I782" s="63">
        <v>0</v>
      </c>
      <c r="J782" s="63">
        <v>0</v>
      </c>
      <c r="K782" s="76">
        <v>0</v>
      </c>
      <c r="L782" s="497">
        <f t="shared" si="288"/>
        <v>0</v>
      </c>
      <c r="M782" s="185"/>
      <c r="N782" s="88"/>
      <c r="O782" s="301"/>
      <c r="P782" s="843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  <c r="AO782" s="49"/>
      <c r="AP782" s="49"/>
      <c r="AQ782" s="49"/>
      <c r="AR782" s="49"/>
      <c r="AS782" s="49"/>
      <c r="AT782" s="49"/>
      <c r="AU782" s="49"/>
      <c r="AV782" s="49"/>
      <c r="AW782" s="49"/>
      <c r="AX782" s="49"/>
      <c r="AY782" s="49"/>
      <c r="AZ782" s="49"/>
      <c r="BA782" s="49"/>
      <c r="BB782" s="49"/>
      <c r="BC782" s="49"/>
      <c r="BD782" s="49"/>
      <c r="BE782" s="49"/>
      <c r="BF782" s="68"/>
    </row>
    <row r="783" spans="1:58" s="51" customFormat="1" ht="12.75" customHeight="1">
      <c r="A783" s="921" t="s">
        <v>1273</v>
      </c>
      <c r="B783" s="1019" t="s">
        <v>856</v>
      </c>
      <c r="C783" s="882"/>
      <c r="D783" s="84" t="s">
        <v>16</v>
      </c>
      <c r="E783" s="63">
        <f t="shared" ref="E783:J783" si="296">E784+E785</f>
        <v>4.1509999999999998</v>
      </c>
      <c r="F783" s="63">
        <f t="shared" si="296"/>
        <v>0</v>
      </c>
      <c r="G783" s="63">
        <f t="shared" si="296"/>
        <v>0</v>
      </c>
      <c r="H783" s="63">
        <f t="shared" si="296"/>
        <v>4.1093999999999999</v>
      </c>
      <c r="I783" s="63">
        <f t="shared" si="296"/>
        <v>0</v>
      </c>
      <c r="J783" s="63">
        <f t="shared" si="296"/>
        <v>4.1599999999999998E-2</v>
      </c>
      <c r="K783" s="76">
        <v>0</v>
      </c>
      <c r="L783" s="497">
        <f t="shared" si="288"/>
        <v>4.1509999999999998</v>
      </c>
      <c r="M783" s="185"/>
      <c r="N783" s="88"/>
      <c r="O783" s="301"/>
      <c r="P783" s="842" t="s">
        <v>1274</v>
      </c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  <c r="AO783" s="49"/>
      <c r="AP783" s="49"/>
      <c r="AQ783" s="49"/>
      <c r="AR783" s="49"/>
      <c r="AS783" s="49"/>
      <c r="AT783" s="49"/>
      <c r="AU783" s="49"/>
      <c r="AV783" s="49"/>
      <c r="AW783" s="49"/>
      <c r="AX783" s="49"/>
      <c r="AY783" s="49"/>
      <c r="AZ783" s="49"/>
      <c r="BA783" s="49"/>
      <c r="BB783" s="49"/>
      <c r="BC783" s="49"/>
      <c r="BD783" s="49"/>
      <c r="BE783" s="49"/>
      <c r="BF783" s="68"/>
    </row>
    <row r="784" spans="1:58" s="51" customFormat="1" ht="12.75" customHeight="1">
      <c r="A784" s="921"/>
      <c r="B784" s="1019"/>
      <c r="C784" s="882"/>
      <c r="D784" s="62">
        <v>2019</v>
      </c>
      <c r="E784" s="63">
        <f>F784+G784+H784+I784+J784</f>
        <v>2.4905999999999997</v>
      </c>
      <c r="F784" s="63">
        <v>0</v>
      </c>
      <c r="G784" s="63">
        <v>0</v>
      </c>
      <c r="H784" s="63">
        <v>2.4655999999999998</v>
      </c>
      <c r="I784" s="63">
        <v>0</v>
      </c>
      <c r="J784" s="63">
        <v>2.5000000000000001E-2</v>
      </c>
      <c r="K784" s="76">
        <v>0</v>
      </c>
      <c r="L784" s="497">
        <f t="shared" si="288"/>
        <v>2.4905999999999997</v>
      </c>
      <c r="M784" s="185"/>
      <c r="N784" s="88"/>
      <c r="O784" s="301"/>
      <c r="P784" s="1016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  <c r="AO784" s="49"/>
      <c r="AP784" s="49"/>
      <c r="AQ784" s="49"/>
      <c r="AR784" s="49"/>
      <c r="AS784" s="49"/>
      <c r="AT784" s="49"/>
      <c r="AU784" s="49"/>
      <c r="AV784" s="49"/>
      <c r="AW784" s="49"/>
      <c r="AX784" s="49"/>
      <c r="AY784" s="49"/>
      <c r="AZ784" s="49"/>
      <c r="BA784" s="49"/>
      <c r="BB784" s="49"/>
      <c r="BC784" s="49"/>
      <c r="BD784" s="49"/>
      <c r="BE784" s="49"/>
      <c r="BF784" s="68"/>
    </row>
    <row r="785" spans="1:58" s="51" customFormat="1">
      <c r="A785" s="921"/>
      <c r="B785" s="1019"/>
      <c r="C785" s="882"/>
      <c r="D785" s="62">
        <v>2020</v>
      </c>
      <c r="E785" s="63">
        <f>F785+G785+H785+I785+J785</f>
        <v>1.6603999999999999</v>
      </c>
      <c r="F785" s="63">
        <v>0</v>
      </c>
      <c r="G785" s="63">
        <v>0</v>
      </c>
      <c r="H785" s="63">
        <v>1.6437999999999999</v>
      </c>
      <c r="I785" s="63">
        <v>0</v>
      </c>
      <c r="J785" s="327">
        <v>1.66E-2</v>
      </c>
      <c r="K785" s="76">
        <v>0</v>
      </c>
      <c r="L785" s="497">
        <f t="shared" si="288"/>
        <v>1.6603999999999999</v>
      </c>
      <c r="M785" s="185"/>
      <c r="N785" s="88"/>
      <c r="O785" s="301"/>
      <c r="P785" s="843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49"/>
      <c r="AU785" s="49"/>
      <c r="AV785" s="49"/>
      <c r="AW785" s="49"/>
      <c r="AX785" s="49"/>
      <c r="AY785" s="49"/>
      <c r="AZ785" s="49"/>
      <c r="BA785" s="49"/>
      <c r="BB785" s="49"/>
      <c r="BC785" s="49"/>
      <c r="BD785" s="49"/>
      <c r="BE785" s="49"/>
      <c r="BF785" s="68"/>
    </row>
    <row r="786" spans="1:58" s="51" customFormat="1">
      <c r="A786" s="794" t="s">
        <v>873</v>
      </c>
      <c r="B786" s="881" t="s">
        <v>1275</v>
      </c>
      <c r="C786" s="882"/>
      <c r="D786" s="84" t="s">
        <v>16</v>
      </c>
      <c r="E786" s="63">
        <v>0</v>
      </c>
      <c r="F786" s="63">
        <f>F787+F788</f>
        <v>0</v>
      </c>
      <c r="G786" s="63">
        <f>G787+G788</f>
        <v>0</v>
      </c>
      <c r="H786" s="63">
        <v>0</v>
      </c>
      <c r="I786" s="63">
        <f>I787+I788</f>
        <v>0</v>
      </c>
      <c r="J786" s="63">
        <v>0</v>
      </c>
      <c r="K786" s="76">
        <v>0</v>
      </c>
      <c r="L786" s="497"/>
      <c r="M786" s="185"/>
      <c r="N786" s="88"/>
      <c r="O786" s="301"/>
      <c r="P786" s="1158" t="s">
        <v>1276</v>
      </c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  <c r="AR786" s="49"/>
      <c r="AS786" s="49"/>
      <c r="AT786" s="49"/>
      <c r="AU786" s="49"/>
      <c r="AV786" s="49"/>
      <c r="AW786" s="49"/>
      <c r="AX786" s="49"/>
      <c r="AY786" s="49"/>
      <c r="AZ786" s="49"/>
      <c r="BA786" s="49"/>
      <c r="BB786" s="49"/>
      <c r="BC786" s="49"/>
      <c r="BD786" s="49"/>
      <c r="BE786" s="49"/>
      <c r="BF786" s="68"/>
    </row>
    <row r="787" spans="1:58" s="51" customFormat="1" ht="27.75" customHeight="1">
      <c r="A787" s="796"/>
      <c r="B787" s="964"/>
      <c r="C787" s="882"/>
      <c r="D787" s="62">
        <v>2021</v>
      </c>
      <c r="E787" s="63">
        <v>0</v>
      </c>
      <c r="F787" s="63">
        <v>0</v>
      </c>
      <c r="G787" s="63">
        <v>0</v>
      </c>
      <c r="H787" s="63">
        <v>0</v>
      </c>
      <c r="I787" s="63">
        <v>0</v>
      </c>
      <c r="J787" s="63">
        <v>0</v>
      </c>
      <c r="K787" s="76">
        <v>0</v>
      </c>
      <c r="L787" s="497"/>
      <c r="M787" s="185"/>
      <c r="N787" s="88"/>
      <c r="O787" s="301"/>
      <c r="P787" s="1158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  <c r="AO787" s="49"/>
      <c r="AP787" s="49"/>
      <c r="AQ787" s="49"/>
      <c r="AR787" s="49"/>
      <c r="AS787" s="49"/>
      <c r="AT787" s="49"/>
      <c r="AU787" s="49"/>
      <c r="AV787" s="49"/>
      <c r="AW787" s="49"/>
      <c r="AX787" s="49"/>
      <c r="AY787" s="49"/>
      <c r="AZ787" s="49"/>
      <c r="BA787" s="49"/>
      <c r="BB787" s="49"/>
      <c r="BC787" s="49"/>
      <c r="BD787" s="49"/>
      <c r="BE787" s="49"/>
      <c r="BF787" s="68"/>
    </row>
    <row r="788" spans="1:58" s="51" customFormat="1" ht="18.75" customHeight="1">
      <c r="A788" s="921" t="s">
        <v>1277</v>
      </c>
      <c r="B788" s="881" t="s">
        <v>859</v>
      </c>
      <c r="C788" s="882"/>
      <c r="D788" s="84" t="s">
        <v>16</v>
      </c>
      <c r="E788" s="63">
        <f t="shared" ref="E788:J788" si="297">E789</f>
        <v>3.5876000000000001</v>
      </c>
      <c r="F788" s="63">
        <f t="shared" si="297"/>
        <v>0</v>
      </c>
      <c r="G788" s="63">
        <f t="shared" si="297"/>
        <v>0</v>
      </c>
      <c r="H788" s="63">
        <f t="shared" si="297"/>
        <v>3.5840000000000001</v>
      </c>
      <c r="I788" s="63">
        <f t="shared" si="297"/>
        <v>0</v>
      </c>
      <c r="J788" s="63">
        <f t="shared" si="297"/>
        <v>3.5999999999999999E-3</v>
      </c>
      <c r="K788" s="76">
        <v>0</v>
      </c>
      <c r="L788" s="497">
        <f>F788+G788+H788+I788+J788</f>
        <v>3.5876000000000001</v>
      </c>
      <c r="M788" s="185"/>
      <c r="N788" s="88"/>
      <c r="O788" s="301"/>
      <c r="P788" s="842" t="s">
        <v>1278</v>
      </c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  <c r="AO788" s="49"/>
      <c r="AP788" s="49"/>
      <c r="AQ788" s="49"/>
      <c r="AR788" s="49"/>
      <c r="AS788" s="49"/>
      <c r="AT788" s="49"/>
      <c r="AU788" s="49"/>
      <c r="AV788" s="49"/>
      <c r="AW788" s="49"/>
      <c r="AX788" s="49"/>
      <c r="AY788" s="49"/>
      <c r="AZ788" s="49"/>
      <c r="BA788" s="49"/>
      <c r="BB788" s="49"/>
      <c r="BC788" s="49"/>
      <c r="BD788" s="49"/>
      <c r="BE788" s="49"/>
      <c r="BF788" s="68"/>
    </row>
    <row r="789" spans="1:58" s="51" customFormat="1" ht="32.25" customHeight="1">
      <c r="A789" s="921"/>
      <c r="B789" s="964"/>
      <c r="C789" s="882"/>
      <c r="D789" s="62">
        <v>2019</v>
      </c>
      <c r="E789" s="63">
        <f>F789+G789+H789+I789+J789</f>
        <v>3.5876000000000001</v>
      </c>
      <c r="F789" s="63">
        <v>0</v>
      </c>
      <c r="G789" s="63">
        <v>0</v>
      </c>
      <c r="H789" s="63">
        <v>3.5840000000000001</v>
      </c>
      <c r="I789" s="63">
        <v>0</v>
      </c>
      <c r="J789" s="63">
        <v>3.5999999999999999E-3</v>
      </c>
      <c r="K789" s="76">
        <v>0</v>
      </c>
      <c r="L789" s="497">
        <f>F789+G789+H789+I789+J789</f>
        <v>3.5876000000000001</v>
      </c>
      <c r="M789" s="185"/>
      <c r="N789" s="88"/>
      <c r="O789" s="301"/>
      <c r="P789" s="1016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  <c r="AR789" s="49"/>
      <c r="AS789" s="49"/>
      <c r="AT789" s="49"/>
      <c r="AU789" s="49"/>
      <c r="AV789" s="49"/>
      <c r="AW789" s="49"/>
      <c r="AX789" s="49"/>
      <c r="AY789" s="49"/>
      <c r="AZ789" s="49"/>
      <c r="BA789" s="49"/>
      <c r="BB789" s="49"/>
      <c r="BC789" s="49"/>
      <c r="BD789" s="49"/>
      <c r="BE789" s="49"/>
      <c r="BF789" s="68"/>
    </row>
    <row r="790" spans="1:58" s="51" customFormat="1" ht="12.75" customHeight="1">
      <c r="A790" s="794" t="s">
        <v>1279</v>
      </c>
      <c r="B790" s="881" t="s">
        <v>1280</v>
      </c>
      <c r="C790" s="882"/>
      <c r="D790" s="62" t="s">
        <v>16</v>
      </c>
      <c r="E790" s="63">
        <v>0</v>
      </c>
      <c r="F790" s="63">
        <v>0</v>
      </c>
      <c r="G790" s="63">
        <v>0</v>
      </c>
      <c r="H790" s="63">
        <v>0</v>
      </c>
      <c r="I790" s="63">
        <v>0</v>
      </c>
      <c r="J790" s="63">
        <v>3.5999999999999999E-3</v>
      </c>
      <c r="K790" s="76">
        <v>0</v>
      </c>
      <c r="L790" s="497"/>
      <c r="M790" s="185"/>
      <c r="N790" s="88"/>
      <c r="O790" s="301"/>
      <c r="P790" s="1016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  <c r="AR790" s="49"/>
      <c r="AS790" s="49"/>
      <c r="AT790" s="49"/>
      <c r="AU790" s="49"/>
      <c r="AV790" s="49"/>
      <c r="AW790" s="49"/>
      <c r="AX790" s="49"/>
      <c r="AY790" s="49"/>
      <c r="AZ790" s="49"/>
      <c r="BA790" s="49"/>
      <c r="BB790" s="49"/>
      <c r="BC790" s="49"/>
      <c r="BD790" s="49"/>
      <c r="BE790" s="49"/>
      <c r="BF790" s="68"/>
    </row>
    <row r="791" spans="1:58" s="51" customFormat="1" ht="36.75" customHeight="1">
      <c r="A791" s="795"/>
      <c r="B791" s="882"/>
      <c r="C791" s="882"/>
      <c r="D791" s="62">
        <v>2021</v>
      </c>
      <c r="E791" s="63">
        <v>0</v>
      </c>
      <c r="F791" s="63">
        <v>0</v>
      </c>
      <c r="G791" s="63">
        <v>0</v>
      </c>
      <c r="H791" s="63">
        <v>0</v>
      </c>
      <c r="I791" s="63">
        <v>0</v>
      </c>
      <c r="J791" s="63">
        <v>0</v>
      </c>
      <c r="K791" s="76">
        <v>0</v>
      </c>
      <c r="L791" s="497"/>
      <c r="M791" s="185"/>
      <c r="N791" s="88"/>
      <c r="O791" s="301"/>
      <c r="P791" s="1016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  <c r="AR791" s="49"/>
      <c r="AS791" s="49"/>
      <c r="AT791" s="49"/>
      <c r="AU791" s="49"/>
      <c r="AV791" s="49"/>
      <c r="AW791" s="49"/>
      <c r="AX791" s="49"/>
      <c r="AY791" s="49"/>
      <c r="AZ791" s="49"/>
      <c r="BA791" s="49"/>
      <c r="BB791" s="49"/>
      <c r="BC791" s="49"/>
      <c r="BD791" s="49"/>
      <c r="BE791" s="49"/>
      <c r="BF791" s="68"/>
    </row>
    <row r="792" spans="1:58" s="51" customFormat="1">
      <c r="A792" s="795"/>
      <c r="B792" s="882"/>
      <c r="C792" s="882"/>
      <c r="D792" s="62">
        <v>2022</v>
      </c>
      <c r="E792" s="63">
        <v>0</v>
      </c>
      <c r="F792" s="63">
        <v>0</v>
      </c>
      <c r="G792" s="63">
        <v>0</v>
      </c>
      <c r="H792" s="63">
        <v>0</v>
      </c>
      <c r="I792" s="63">
        <v>0</v>
      </c>
      <c r="J792" s="63">
        <v>0</v>
      </c>
      <c r="K792" s="76">
        <v>0</v>
      </c>
      <c r="L792" s="497"/>
      <c r="M792" s="185"/>
      <c r="N792" s="88"/>
      <c r="O792" s="301"/>
      <c r="P792" s="1016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  <c r="AO792" s="49"/>
      <c r="AP792" s="49"/>
      <c r="AQ792" s="49"/>
      <c r="AR792" s="49"/>
      <c r="AS792" s="49"/>
      <c r="AT792" s="49"/>
      <c r="AU792" s="49"/>
      <c r="AV792" s="49"/>
      <c r="AW792" s="49"/>
      <c r="AX792" s="49"/>
      <c r="AY792" s="49"/>
      <c r="AZ792" s="49"/>
      <c r="BA792" s="49"/>
      <c r="BB792" s="49"/>
      <c r="BC792" s="49"/>
      <c r="BD792" s="49"/>
      <c r="BE792" s="49"/>
      <c r="BF792" s="68"/>
    </row>
    <row r="793" spans="1:58" s="51" customFormat="1">
      <c r="A793" s="796"/>
      <c r="B793" s="964"/>
      <c r="C793" s="882"/>
      <c r="D793" s="62">
        <v>2023</v>
      </c>
      <c r="E793" s="63">
        <v>0</v>
      </c>
      <c r="F793" s="63">
        <v>0</v>
      </c>
      <c r="G793" s="63">
        <v>0</v>
      </c>
      <c r="H793" s="63">
        <v>0</v>
      </c>
      <c r="I793" s="63">
        <v>0</v>
      </c>
      <c r="J793" s="63">
        <v>0</v>
      </c>
      <c r="K793" s="76">
        <v>0</v>
      </c>
      <c r="L793" s="497"/>
      <c r="M793" s="185"/>
      <c r="N793" s="88"/>
      <c r="O793" s="301"/>
      <c r="P793" s="843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  <c r="AO793" s="49"/>
      <c r="AP793" s="49"/>
      <c r="AQ793" s="49"/>
      <c r="AR793" s="49"/>
      <c r="AS793" s="49"/>
      <c r="AT793" s="49"/>
      <c r="AU793" s="49"/>
      <c r="AV793" s="49"/>
      <c r="AW793" s="49"/>
      <c r="AX793" s="49"/>
      <c r="AY793" s="49"/>
      <c r="AZ793" s="49"/>
      <c r="BA793" s="49"/>
      <c r="BB793" s="49"/>
      <c r="BC793" s="49"/>
      <c r="BD793" s="49"/>
      <c r="BE793" s="49"/>
      <c r="BF793" s="68"/>
    </row>
    <row r="794" spans="1:58" s="51" customFormat="1" ht="23.25" customHeight="1">
      <c r="A794" s="794" t="s">
        <v>1281</v>
      </c>
      <c r="B794" s="881" t="s">
        <v>861</v>
      </c>
      <c r="C794" s="882"/>
      <c r="D794" s="84" t="s">
        <v>16</v>
      </c>
      <c r="E794" s="63">
        <f t="shared" ref="E794:J794" si="298">E795+E796+E797</f>
        <v>31.995000000000001</v>
      </c>
      <c r="F794" s="63">
        <f t="shared" si="298"/>
        <v>0</v>
      </c>
      <c r="G794" s="63">
        <f t="shared" si="298"/>
        <v>0</v>
      </c>
      <c r="H794" s="63">
        <f t="shared" si="298"/>
        <v>31.934000000000001</v>
      </c>
      <c r="I794" s="63">
        <f t="shared" si="298"/>
        <v>0</v>
      </c>
      <c r="J794" s="63">
        <f t="shared" si="298"/>
        <v>6.0999999999999999E-2</v>
      </c>
      <c r="K794" s="76">
        <v>0</v>
      </c>
      <c r="L794" s="497">
        <f t="shared" ref="L794:L808" si="299">F794+G794+H794+I794+J794</f>
        <v>31.995000000000001</v>
      </c>
      <c r="M794" s="185"/>
      <c r="N794" s="88"/>
      <c r="O794" s="301"/>
      <c r="P794" s="842" t="s">
        <v>1282</v>
      </c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  <c r="AO794" s="49"/>
      <c r="AP794" s="49"/>
      <c r="AQ794" s="49"/>
      <c r="AR794" s="49"/>
      <c r="AS794" s="49"/>
      <c r="AT794" s="49"/>
      <c r="AU794" s="49"/>
      <c r="AV794" s="49"/>
      <c r="AW794" s="49"/>
      <c r="AX794" s="49"/>
      <c r="AY794" s="49"/>
      <c r="AZ794" s="49"/>
      <c r="BA794" s="49"/>
      <c r="BB794" s="49"/>
      <c r="BC794" s="49"/>
      <c r="BD794" s="49"/>
      <c r="BE794" s="49"/>
      <c r="BF794" s="68"/>
    </row>
    <row r="795" spans="1:58" s="51" customFormat="1">
      <c r="A795" s="795"/>
      <c r="B795" s="882"/>
      <c r="C795" s="882"/>
      <c r="D795" s="62">
        <v>2020</v>
      </c>
      <c r="E795" s="63">
        <f>F795+G795+H795+I795+J795</f>
        <v>31.966000000000001</v>
      </c>
      <c r="F795" s="63">
        <v>0</v>
      </c>
      <c r="G795" s="63">
        <v>0</v>
      </c>
      <c r="H795" s="63">
        <v>31.934000000000001</v>
      </c>
      <c r="I795" s="63">
        <v>0</v>
      </c>
      <c r="J795" s="63">
        <v>3.2000000000000001E-2</v>
      </c>
      <c r="K795" s="76">
        <v>0</v>
      </c>
      <c r="L795" s="497">
        <f t="shared" si="299"/>
        <v>31.966000000000001</v>
      </c>
      <c r="M795" s="185"/>
      <c r="N795" s="88"/>
      <c r="O795" s="301"/>
      <c r="P795" s="1016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  <c r="AO795" s="49"/>
      <c r="AP795" s="49"/>
      <c r="AQ795" s="49"/>
      <c r="AR795" s="49"/>
      <c r="AS795" s="49"/>
      <c r="AT795" s="49"/>
      <c r="AU795" s="49"/>
      <c r="AV795" s="49"/>
      <c r="AW795" s="49"/>
      <c r="AX795" s="49"/>
      <c r="AY795" s="49"/>
      <c r="AZ795" s="49"/>
      <c r="BA795" s="49"/>
      <c r="BB795" s="49"/>
      <c r="BC795" s="49"/>
      <c r="BD795" s="49"/>
      <c r="BE795" s="49"/>
      <c r="BF795" s="68"/>
    </row>
    <row r="796" spans="1:58" s="51" customFormat="1">
      <c r="A796" s="795"/>
      <c r="B796" s="882"/>
      <c r="C796" s="882"/>
      <c r="D796" s="62">
        <v>2021</v>
      </c>
      <c r="E796" s="63">
        <f>F796+G796+H796+I796+J796</f>
        <v>1.2999999999999999E-2</v>
      </c>
      <c r="F796" s="63">
        <v>0</v>
      </c>
      <c r="G796" s="63">
        <v>0</v>
      </c>
      <c r="H796" s="63">
        <v>0</v>
      </c>
      <c r="I796" s="63">
        <v>0</v>
      </c>
      <c r="J796" s="63">
        <v>1.2999999999999999E-2</v>
      </c>
      <c r="K796" s="76">
        <v>0</v>
      </c>
      <c r="L796" s="497">
        <f t="shared" si="299"/>
        <v>1.2999999999999999E-2</v>
      </c>
      <c r="M796" s="185"/>
      <c r="N796" s="88"/>
      <c r="O796" s="301"/>
      <c r="P796" s="843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  <c r="AO796" s="49"/>
      <c r="AP796" s="49"/>
      <c r="AQ796" s="49"/>
      <c r="AR796" s="49"/>
      <c r="AS796" s="49"/>
      <c r="AT796" s="49"/>
      <c r="AU796" s="49"/>
      <c r="AV796" s="49"/>
      <c r="AW796" s="49"/>
      <c r="AX796" s="49"/>
      <c r="AY796" s="49"/>
      <c r="AZ796" s="49"/>
      <c r="BA796" s="49"/>
      <c r="BB796" s="49"/>
      <c r="BC796" s="49"/>
      <c r="BD796" s="49"/>
      <c r="BE796" s="49"/>
      <c r="BF796" s="68"/>
    </row>
    <row r="797" spans="1:58" s="51" customFormat="1">
      <c r="A797" s="795"/>
      <c r="B797" s="882"/>
      <c r="C797" s="882"/>
      <c r="D797" s="62">
        <v>2022</v>
      </c>
      <c r="E797" s="63">
        <f>F797+G797+H797+I797+J797</f>
        <v>1.6E-2</v>
      </c>
      <c r="F797" s="63">
        <v>0</v>
      </c>
      <c r="G797" s="63">
        <v>0</v>
      </c>
      <c r="H797" s="63">
        <v>0</v>
      </c>
      <c r="I797" s="63">
        <v>0</v>
      </c>
      <c r="J797" s="63">
        <v>1.6E-2</v>
      </c>
      <c r="K797" s="76">
        <v>0</v>
      </c>
      <c r="L797" s="497">
        <f t="shared" si="299"/>
        <v>1.6E-2</v>
      </c>
      <c r="M797" s="185"/>
      <c r="N797" s="88"/>
      <c r="O797" s="301"/>
      <c r="P797" s="332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  <c r="AO797" s="49"/>
      <c r="AP797" s="49"/>
      <c r="AQ797" s="49"/>
      <c r="AR797" s="49"/>
      <c r="AS797" s="49"/>
      <c r="AT797" s="49"/>
      <c r="AU797" s="49"/>
      <c r="AV797" s="49"/>
      <c r="AW797" s="49"/>
      <c r="AX797" s="49"/>
      <c r="AY797" s="49"/>
      <c r="AZ797" s="49"/>
      <c r="BA797" s="49"/>
      <c r="BB797" s="49"/>
      <c r="BC797" s="49"/>
      <c r="BD797" s="49"/>
      <c r="BE797" s="49"/>
      <c r="BF797" s="68"/>
    </row>
    <row r="798" spans="1:58" s="51" customFormat="1">
      <c r="A798" s="796"/>
      <c r="B798" s="964"/>
      <c r="C798" s="964"/>
      <c r="D798" s="62">
        <v>2023</v>
      </c>
      <c r="E798" s="63">
        <f>F798+G798+H798+I798+J798</f>
        <v>0</v>
      </c>
      <c r="F798" s="63">
        <v>0</v>
      </c>
      <c r="G798" s="63">
        <v>0</v>
      </c>
      <c r="H798" s="63">
        <v>0</v>
      </c>
      <c r="I798" s="63">
        <v>0</v>
      </c>
      <c r="J798" s="63">
        <v>0</v>
      </c>
      <c r="K798" s="76">
        <v>0</v>
      </c>
      <c r="L798" s="497">
        <f t="shared" si="299"/>
        <v>0</v>
      </c>
      <c r="M798" s="185"/>
      <c r="N798" s="88"/>
      <c r="O798" s="301"/>
      <c r="P798" s="332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49"/>
      <c r="AU798" s="49"/>
      <c r="AV798" s="49"/>
      <c r="AW798" s="49"/>
      <c r="AX798" s="49"/>
      <c r="AY798" s="49"/>
      <c r="AZ798" s="49"/>
      <c r="BA798" s="49"/>
      <c r="BB798" s="49"/>
      <c r="BC798" s="49"/>
      <c r="BD798" s="49"/>
      <c r="BE798" s="49"/>
      <c r="BF798" s="68"/>
    </row>
    <row r="799" spans="1:58" s="51" customFormat="1" ht="12.75" customHeight="1">
      <c r="A799" s="151"/>
      <c r="B799" s="881" t="s">
        <v>1283</v>
      </c>
      <c r="C799" s="881" t="s">
        <v>1284</v>
      </c>
      <c r="D799" s="114" t="s">
        <v>16</v>
      </c>
      <c r="E799" s="85">
        <f t="shared" ref="E799:J799" si="300">E800+E801</f>
        <v>70</v>
      </c>
      <c r="F799" s="85">
        <f t="shared" si="300"/>
        <v>0</v>
      </c>
      <c r="G799" s="85">
        <f t="shared" si="300"/>
        <v>0</v>
      </c>
      <c r="H799" s="85">
        <f t="shared" si="300"/>
        <v>70</v>
      </c>
      <c r="I799" s="85">
        <f t="shared" si="300"/>
        <v>0</v>
      </c>
      <c r="J799" s="85">
        <f t="shared" si="300"/>
        <v>0</v>
      </c>
      <c r="K799" s="76">
        <v>0</v>
      </c>
      <c r="L799" s="497">
        <f t="shared" si="299"/>
        <v>70</v>
      </c>
      <c r="M799" s="185"/>
      <c r="N799" s="88"/>
      <c r="O799" s="301"/>
      <c r="P799" s="842" t="s">
        <v>830</v>
      </c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  <c r="AO799" s="49"/>
      <c r="AP799" s="49"/>
      <c r="AQ799" s="49"/>
      <c r="AR799" s="49"/>
      <c r="AS799" s="49"/>
      <c r="AT799" s="49"/>
      <c r="AU799" s="49"/>
      <c r="AV799" s="49"/>
      <c r="AW799" s="49"/>
      <c r="AX799" s="49"/>
      <c r="AY799" s="49"/>
      <c r="AZ799" s="49"/>
      <c r="BA799" s="49"/>
      <c r="BB799" s="49"/>
      <c r="BC799" s="49"/>
      <c r="BD799" s="49"/>
      <c r="BE799" s="49"/>
      <c r="BF799" s="68"/>
    </row>
    <row r="800" spans="1:58" s="51" customFormat="1" ht="26.25" customHeight="1">
      <c r="A800" s="151" t="s">
        <v>1285</v>
      </c>
      <c r="B800" s="882"/>
      <c r="C800" s="882"/>
      <c r="D800" s="103">
        <v>2022</v>
      </c>
      <c r="E800" s="63">
        <f>H800</f>
        <v>15</v>
      </c>
      <c r="F800" s="63">
        <v>0</v>
      </c>
      <c r="G800" s="63">
        <v>0</v>
      </c>
      <c r="H800" s="63">
        <v>15</v>
      </c>
      <c r="I800" s="63">
        <v>0</v>
      </c>
      <c r="J800" s="63">
        <v>0</v>
      </c>
      <c r="K800" s="76">
        <v>0</v>
      </c>
      <c r="L800" s="497">
        <f t="shared" si="299"/>
        <v>15</v>
      </c>
      <c r="M800" s="185"/>
      <c r="N800" s="88"/>
      <c r="O800" s="301"/>
      <c r="P800" s="1016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49"/>
      <c r="BF800" s="68"/>
    </row>
    <row r="801" spans="1:139" s="51" customFormat="1" ht="27.75" customHeight="1">
      <c r="A801" s="151"/>
      <c r="B801" s="964"/>
      <c r="C801" s="964"/>
      <c r="D801" s="103">
        <v>2023</v>
      </c>
      <c r="E801" s="63">
        <f>H801</f>
        <v>55</v>
      </c>
      <c r="F801" s="63">
        <v>0</v>
      </c>
      <c r="G801" s="63">
        <v>0</v>
      </c>
      <c r="H801" s="63">
        <v>55</v>
      </c>
      <c r="I801" s="63">
        <v>0</v>
      </c>
      <c r="J801" s="63">
        <v>0</v>
      </c>
      <c r="K801" s="76">
        <v>0</v>
      </c>
      <c r="L801" s="497">
        <f t="shared" si="299"/>
        <v>55</v>
      </c>
      <c r="M801" s="185"/>
      <c r="N801" s="88"/>
      <c r="O801" s="301"/>
      <c r="P801" s="843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49"/>
      <c r="BD801" s="49"/>
      <c r="BE801" s="49"/>
      <c r="BF801" s="68"/>
    </row>
    <row r="802" spans="1:139" s="51" customFormat="1" ht="25.5" customHeight="1">
      <c r="A802" s="794" t="s">
        <v>1286</v>
      </c>
      <c r="B802" s="881" t="s">
        <v>1287</v>
      </c>
      <c r="C802" s="881" t="s">
        <v>1288</v>
      </c>
      <c r="D802" s="114" t="s">
        <v>16</v>
      </c>
      <c r="E802" s="85">
        <f>E803</f>
        <v>3.3479000000000001</v>
      </c>
      <c r="F802" s="85">
        <v>0</v>
      </c>
      <c r="G802" s="85">
        <v>0</v>
      </c>
      <c r="H802" s="85">
        <f>H803</f>
        <v>3.2816000000000001</v>
      </c>
      <c r="I802" s="85">
        <f>I803</f>
        <v>0</v>
      </c>
      <c r="J802" s="85">
        <f>J803</f>
        <v>6.6299999999999998E-2</v>
      </c>
      <c r="K802" s="76">
        <v>0</v>
      </c>
      <c r="L802" s="497">
        <f t="shared" si="299"/>
        <v>3.3479000000000001</v>
      </c>
      <c r="M802" s="185"/>
      <c r="N802" s="88"/>
      <c r="O802" s="301"/>
      <c r="P802" s="842" t="s">
        <v>640</v>
      </c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  <c r="AO802" s="49"/>
      <c r="AP802" s="49"/>
      <c r="AQ802" s="49"/>
      <c r="AR802" s="49"/>
      <c r="AS802" s="49"/>
      <c r="AT802" s="49"/>
      <c r="AU802" s="49"/>
      <c r="AV802" s="49"/>
      <c r="AW802" s="49"/>
      <c r="AX802" s="49"/>
      <c r="AY802" s="49"/>
      <c r="AZ802" s="49"/>
      <c r="BA802" s="49"/>
      <c r="BB802" s="49"/>
      <c r="BC802" s="49"/>
      <c r="BD802" s="49"/>
      <c r="BE802" s="49"/>
      <c r="BF802" s="68"/>
    </row>
    <row r="803" spans="1:139" s="51" customFormat="1" ht="84.75" customHeight="1">
      <c r="A803" s="796"/>
      <c r="B803" s="882"/>
      <c r="C803" s="964"/>
      <c r="D803" s="103">
        <v>2021</v>
      </c>
      <c r="E803" s="63">
        <f>F803+G803+H803+I803+J803</f>
        <v>3.3479000000000001</v>
      </c>
      <c r="F803" s="63">
        <v>0</v>
      </c>
      <c r="G803" s="63">
        <v>0</v>
      </c>
      <c r="H803" s="63">
        <v>3.2816000000000001</v>
      </c>
      <c r="I803" s="63">
        <v>0</v>
      </c>
      <c r="J803" s="63">
        <v>6.6299999999999998E-2</v>
      </c>
      <c r="K803" s="76">
        <v>0</v>
      </c>
      <c r="L803" s="497">
        <f t="shared" si="299"/>
        <v>3.3479000000000001</v>
      </c>
      <c r="M803" s="185"/>
      <c r="N803" s="88"/>
      <c r="O803" s="301"/>
      <c r="P803" s="843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  <c r="AO803" s="49"/>
      <c r="AP803" s="49"/>
      <c r="AQ803" s="49"/>
      <c r="AR803" s="49"/>
      <c r="AS803" s="49"/>
      <c r="AT803" s="49"/>
      <c r="AU803" s="49"/>
      <c r="AV803" s="49"/>
      <c r="AW803" s="49"/>
      <c r="AX803" s="49"/>
      <c r="AY803" s="49"/>
      <c r="AZ803" s="49"/>
      <c r="BA803" s="49"/>
      <c r="BB803" s="49"/>
      <c r="BC803" s="49"/>
      <c r="BD803" s="49"/>
      <c r="BE803" s="49"/>
      <c r="BF803" s="68"/>
    </row>
    <row r="804" spans="1:139" s="51" customFormat="1" ht="25.5" customHeight="1">
      <c r="A804" s="794" t="s">
        <v>1289</v>
      </c>
      <c r="B804" s="881" t="s">
        <v>1287</v>
      </c>
      <c r="C804" s="1019" t="s">
        <v>1290</v>
      </c>
      <c r="D804" s="84" t="s">
        <v>16</v>
      </c>
      <c r="E804" s="85">
        <f t="shared" ref="E804:E809" si="301">H804+J804</f>
        <v>3.4807000000000001</v>
      </c>
      <c r="F804" s="85">
        <v>0</v>
      </c>
      <c r="G804" s="85">
        <v>0</v>
      </c>
      <c r="H804" s="85">
        <f>H805</f>
        <v>3.1673</v>
      </c>
      <c r="I804" s="85">
        <v>0</v>
      </c>
      <c r="J804" s="85">
        <f>J805</f>
        <v>0.31340000000000001</v>
      </c>
      <c r="K804" s="76">
        <v>0</v>
      </c>
      <c r="L804" s="497">
        <f t="shared" si="299"/>
        <v>3.4807000000000001</v>
      </c>
      <c r="M804" s="185"/>
      <c r="N804" s="88"/>
      <c r="O804" s="301"/>
      <c r="P804" s="842" t="s">
        <v>830</v>
      </c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  <c r="AO804" s="49"/>
      <c r="AP804" s="49"/>
      <c r="AQ804" s="49"/>
      <c r="AR804" s="49"/>
      <c r="AS804" s="49"/>
      <c r="AT804" s="49"/>
      <c r="AU804" s="49"/>
      <c r="AV804" s="49"/>
      <c r="AW804" s="49"/>
      <c r="AX804" s="49"/>
      <c r="AY804" s="49"/>
      <c r="AZ804" s="49"/>
      <c r="BA804" s="49"/>
      <c r="BB804" s="49"/>
      <c r="BC804" s="49"/>
      <c r="BD804" s="49"/>
      <c r="BE804" s="49"/>
      <c r="BF804" s="68"/>
    </row>
    <row r="805" spans="1:139" s="51" customFormat="1" ht="60.75" customHeight="1">
      <c r="A805" s="796"/>
      <c r="B805" s="964"/>
      <c r="C805" s="1019"/>
      <c r="D805" s="62">
        <v>2021</v>
      </c>
      <c r="E805" s="63">
        <f t="shared" si="301"/>
        <v>3.4807000000000001</v>
      </c>
      <c r="F805" s="63">
        <v>0</v>
      </c>
      <c r="G805" s="63">
        <v>0</v>
      </c>
      <c r="H805" s="63">
        <v>3.1673</v>
      </c>
      <c r="I805" s="63">
        <v>0</v>
      </c>
      <c r="J805" s="63">
        <v>0.31340000000000001</v>
      </c>
      <c r="K805" s="76">
        <v>0</v>
      </c>
      <c r="L805" s="497">
        <f t="shared" si="299"/>
        <v>3.4807000000000001</v>
      </c>
      <c r="M805" s="185"/>
      <c r="N805" s="88"/>
      <c r="O805" s="301"/>
      <c r="P805" s="843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  <c r="AT805" s="49"/>
      <c r="AU805" s="49"/>
      <c r="AV805" s="49"/>
      <c r="AW805" s="49"/>
      <c r="AX805" s="49"/>
      <c r="AY805" s="49"/>
      <c r="AZ805" s="49"/>
      <c r="BA805" s="49"/>
      <c r="BB805" s="49"/>
      <c r="BC805" s="49"/>
      <c r="BD805" s="49"/>
      <c r="BE805" s="49"/>
      <c r="BF805" s="68"/>
    </row>
    <row r="806" spans="1:139" s="51" customFormat="1" ht="24" customHeight="1">
      <c r="A806" s="794" t="s">
        <v>1291</v>
      </c>
      <c r="B806" s="881" t="s">
        <v>1287</v>
      </c>
      <c r="C806" s="842" t="s">
        <v>1292</v>
      </c>
      <c r="D806" s="84" t="s">
        <v>16</v>
      </c>
      <c r="E806" s="85">
        <f t="shared" si="301"/>
        <v>0.37240000000000001</v>
      </c>
      <c r="F806" s="85">
        <v>0</v>
      </c>
      <c r="G806" s="85">
        <v>0</v>
      </c>
      <c r="H806" s="85">
        <f>H807</f>
        <v>0.35749999999999998</v>
      </c>
      <c r="I806" s="85">
        <v>0</v>
      </c>
      <c r="J806" s="85">
        <f>J807</f>
        <v>1.49E-2</v>
      </c>
      <c r="K806" s="76">
        <v>0</v>
      </c>
      <c r="L806" s="497">
        <f t="shared" si="299"/>
        <v>0.37240000000000001</v>
      </c>
      <c r="M806" s="62"/>
      <c r="N806" s="136"/>
      <c r="O806" s="399"/>
      <c r="P806" s="1158" t="s">
        <v>617</v>
      </c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49"/>
      <c r="BF806" s="68"/>
      <c r="EI806" s="51" t="s">
        <v>1293</v>
      </c>
    </row>
    <row r="807" spans="1:139" s="51" customFormat="1" ht="46.5" customHeight="1">
      <c r="A807" s="796"/>
      <c r="B807" s="964"/>
      <c r="C807" s="1016"/>
      <c r="D807" s="62">
        <v>2021</v>
      </c>
      <c r="E807" s="63">
        <f t="shared" si="301"/>
        <v>0.37240000000000001</v>
      </c>
      <c r="F807" s="63">
        <v>0</v>
      </c>
      <c r="G807" s="63">
        <v>0</v>
      </c>
      <c r="H807" s="63">
        <v>0.35749999999999998</v>
      </c>
      <c r="I807" s="63">
        <v>0</v>
      </c>
      <c r="J807" s="63">
        <v>1.49E-2</v>
      </c>
      <c r="K807" s="76">
        <v>0</v>
      </c>
      <c r="L807" s="497">
        <f t="shared" si="299"/>
        <v>0.37240000000000001</v>
      </c>
      <c r="M807" s="62"/>
      <c r="N807" s="136"/>
      <c r="O807" s="399"/>
      <c r="P807" s="1158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  <c r="AT807" s="49"/>
      <c r="AU807" s="49"/>
      <c r="AV807" s="49"/>
      <c r="AW807" s="49"/>
      <c r="AX807" s="49"/>
      <c r="AY807" s="49"/>
      <c r="AZ807" s="49"/>
      <c r="BA807" s="49"/>
      <c r="BB807" s="49"/>
      <c r="BC807" s="49"/>
      <c r="BD807" s="49"/>
      <c r="BE807" s="49"/>
      <c r="BF807" s="68"/>
    </row>
    <row r="808" spans="1:139" s="51" customFormat="1" ht="17.25" customHeight="1">
      <c r="A808" s="794" t="s">
        <v>1294</v>
      </c>
      <c r="B808" s="881" t="s">
        <v>1287</v>
      </c>
      <c r="C808" s="1019" t="s">
        <v>1295</v>
      </c>
      <c r="D808" s="84" t="s">
        <v>16</v>
      </c>
      <c r="E808" s="85">
        <f t="shared" si="301"/>
        <v>2.2513000000000001</v>
      </c>
      <c r="F808" s="85">
        <v>0</v>
      </c>
      <c r="G808" s="85">
        <v>0</v>
      </c>
      <c r="H808" s="85">
        <f>H809</f>
        <v>2.2063000000000001</v>
      </c>
      <c r="I808" s="85">
        <v>0</v>
      </c>
      <c r="J808" s="141">
        <f>J809</f>
        <v>4.4999999999999998E-2</v>
      </c>
      <c r="K808" s="76">
        <v>0</v>
      </c>
      <c r="L808" s="497">
        <f t="shared" si="299"/>
        <v>2.2513000000000001</v>
      </c>
      <c r="M808" s="402"/>
      <c r="N808" s="374"/>
      <c r="O808" s="296"/>
      <c r="P808" s="882" t="s">
        <v>604</v>
      </c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  <c r="AR808" s="49"/>
      <c r="AS808" s="49"/>
      <c r="AT808" s="49"/>
      <c r="AU808" s="49"/>
      <c r="AV808" s="49"/>
      <c r="AW808" s="49"/>
      <c r="AX808" s="49"/>
      <c r="AY808" s="49"/>
      <c r="AZ808" s="49"/>
      <c r="BA808" s="49"/>
      <c r="BB808" s="49"/>
      <c r="BC808" s="49"/>
      <c r="BD808" s="49"/>
      <c r="BE808" s="49"/>
      <c r="BF808" s="68"/>
    </row>
    <row r="809" spans="1:139" s="51" customFormat="1" ht="82.5" customHeight="1">
      <c r="A809" s="796"/>
      <c r="B809" s="964"/>
      <c r="C809" s="1019"/>
      <c r="D809" s="62">
        <v>2021</v>
      </c>
      <c r="E809" s="63">
        <f t="shared" si="301"/>
        <v>2.2513000000000001</v>
      </c>
      <c r="F809" s="63">
        <v>0</v>
      </c>
      <c r="G809" s="63">
        <v>0</v>
      </c>
      <c r="H809" s="63">
        <v>2.2063000000000001</v>
      </c>
      <c r="I809" s="63">
        <v>0</v>
      </c>
      <c r="J809" s="63">
        <v>4.4999999999999998E-2</v>
      </c>
      <c r="K809" s="76">
        <v>0</v>
      </c>
      <c r="L809" s="497"/>
      <c r="M809" s="402"/>
      <c r="N809" s="374"/>
      <c r="O809" s="296"/>
      <c r="P809" s="964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  <c r="AO809" s="49"/>
      <c r="AP809" s="49"/>
      <c r="AQ809" s="49"/>
      <c r="AR809" s="49"/>
      <c r="AS809" s="49"/>
      <c r="AT809" s="49"/>
      <c r="AU809" s="49"/>
      <c r="AV809" s="49"/>
      <c r="AW809" s="49"/>
      <c r="AX809" s="49"/>
      <c r="AY809" s="49"/>
      <c r="AZ809" s="49"/>
      <c r="BA809" s="49"/>
      <c r="BB809" s="49"/>
      <c r="BC809" s="49"/>
      <c r="BD809" s="49"/>
      <c r="BE809" s="49"/>
      <c r="BF809" s="68"/>
    </row>
    <row r="810" spans="1:139" s="51" customFormat="1" ht="15" customHeight="1">
      <c r="A810" s="1128" t="s">
        <v>1296</v>
      </c>
      <c r="B810" s="1200" t="s">
        <v>864</v>
      </c>
      <c r="C810" s="501"/>
      <c r="D810" s="84" t="s">
        <v>16</v>
      </c>
      <c r="E810" s="85">
        <f t="shared" ref="E810:J810" si="302">SUM(E811:E822)</f>
        <v>0.96035130231500809</v>
      </c>
      <c r="F810" s="85">
        <f t="shared" si="302"/>
        <v>0.96035130231500809</v>
      </c>
      <c r="G810" s="85">
        <f t="shared" si="302"/>
        <v>0</v>
      </c>
      <c r="H810" s="85">
        <f t="shared" si="302"/>
        <v>0</v>
      </c>
      <c r="I810" s="85">
        <f t="shared" si="302"/>
        <v>0</v>
      </c>
      <c r="J810" s="85">
        <f t="shared" si="302"/>
        <v>0</v>
      </c>
      <c r="K810" s="76">
        <v>0</v>
      </c>
      <c r="L810" s="497">
        <f t="shared" ref="L810:L841" si="303">F810+G810+H810+I810+J810</f>
        <v>0.96035130231500809</v>
      </c>
      <c r="M810" s="185"/>
      <c r="N810" s="88"/>
      <c r="O810" s="301"/>
      <c r="P810" s="332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  <c r="AO810" s="49"/>
      <c r="AP810" s="49"/>
      <c r="AQ810" s="49"/>
      <c r="AR810" s="49"/>
      <c r="AS810" s="49"/>
      <c r="AT810" s="49"/>
      <c r="AU810" s="49"/>
      <c r="AV810" s="49"/>
      <c r="AW810" s="49"/>
      <c r="AX810" s="49"/>
      <c r="AY810" s="49"/>
      <c r="AZ810" s="49"/>
      <c r="BA810" s="49"/>
      <c r="BB810" s="49"/>
      <c r="BC810" s="49"/>
      <c r="BD810" s="49"/>
      <c r="BE810" s="49"/>
      <c r="BF810" s="68"/>
    </row>
    <row r="811" spans="1:139" s="51" customFormat="1" ht="15" customHeight="1">
      <c r="A811" s="1129"/>
      <c r="B811" s="1200"/>
      <c r="C811" s="479"/>
      <c r="D811" s="84">
        <v>2019</v>
      </c>
      <c r="E811" s="85">
        <f t="shared" ref="E811:J811" si="304">E824+E837+E838</f>
        <v>2.0999999999999998E-2</v>
      </c>
      <c r="F811" s="85">
        <f t="shared" si="304"/>
        <v>2.0999999999999998E-2</v>
      </c>
      <c r="G811" s="85">
        <f t="shared" si="304"/>
        <v>0</v>
      </c>
      <c r="H811" s="85">
        <f t="shared" si="304"/>
        <v>0</v>
      </c>
      <c r="I811" s="85">
        <f t="shared" si="304"/>
        <v>0</v>
      </c>
      <c r="J811" s="85">
        <f t="shared" si="304"/>
        <v>0</v>
      </c>
      <c r="K811" s="76">
        <v>0</v>
      </c>
      <c r="L811" s="497">
        <f t="shared" si="303"/>
        <v>2.0999999999999998E-2</v>
      </c>
      <c r="M811" s="185"/>
      <c r="N811" s="88"/>
      <c r="O811" s="301"/>
      <c r="P811" s="332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49"/>
      <c r="AU811" s="49"/>
      <c r="AV811" s="49"/>
      <c r="AW811" s="49"/>
      <c r="AX811" s="49"/>
      <c r="AY811" s="49"/>
      <c r="AZ811" s="49"/>
      <c r="BA811" s="49"/>
      <c r="BB811" s="49"/>
      <c r="BC811" s="49"/>
      <c r="BD811" s="49"/>
      <c r="BE811" s="49"/>
      <c r="BF811" s="68"/>
    </row>
    <row r="812" spans="1:139" s="51" customFormat="1" ht="15" customHeight="1">
      <c r="A812" s="1129"/>
      <c r="B812" s="1200"/>
      <c r="C812" s="571"/>
      <c r="D812" s="84">
        <v>2020</v>
      </c>
      <c r="E812" s="85">
        <f t="shared" ref="E812:E822" si="305">F812</f>
        <v>5.5E-2</v>
      </c>
      <c r="F812" s="85">
        <f>F825+F840</f>
        <v>5.5E-2</v>
      </c>
      <c r="G812" s="85">
        <v>0</v>
      </c>
      <c r="H812" s="85">
        <v>0</v>
      </c>
      <c r="I812" s="85">
        <v>0</v>
      </c>
      <c r="J812" s="85">
        <v>0</v>
      </c>
      <c r="K812" s="76">
        <v>0</v>
      </c>
      <c r="L812" s="497">
        <f t="shared" si="303"/>
        <v>5.5E-2</v>
      </c>
      <c r="M812" s="185"/>
      <c r="N812" s="88"/>
      <c r="O812" s="301"/>
      <c r="P812" s="332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  <c r="AO812" s="49"/>
      <c r="AP812" s="49"/>
      <c r="AQ812" s="49"/>
      <c r="AR812" s="49"/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49"/>
      <c r="BF812" s="68"/>
    </row>
    <row r="813" spans="1:139" s="51" customFormat="1" ht="15" customHeight="1">
      <c r="A813" s="1129"/>
      <c r="B813" s="1200"/>
      <c r="C813" s="479"/>
      <c r="D813" s="84">
        <v>2021</v>
      </c>
      <c r="E813" s="85">
        <f t="shared" si="305"/>
        <v>6.5000000000000002E-2</v>
      </c>
      <c r="F813" s="85">
        <f>F826+F841+F852</f>
        <v>6.5000000000000002E-2</v>
      </c>
      <c r="G813" s="85">
        <v>0</v>
      </c>
      <c r="H813" s="85">
        <v>0</v>
      </c>
      <c r="I813" s="85">
        <v>0</v>
      </c>
      <c r="J813" s="85">
        <v>0</v>
      </c>
      <c r="K813" s="76">
        <v>0</v>
      </c>
      <c r="L813" s="497">
        <f t="shared" si="303"/>
        <v>6.5000000000000002E-2</v>
      </c>
      <c r="M813" s="185"/>
      <c r="N813" s="88"/>
      <c r="O813" s="301"/>
      <c r="P813" s="332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  <c r="AO813" s="49"/>
      <c r="AP813" s="49"/>
      <c r="AQ813" s="49"/>
      <c r="AR813" s="49"/>
      <c r="AS813" s="49"/>
      <c r="AT813" s="49"/>
      <c r="AU813" s="49"/>
      <c r="AV813" s="49"/>
      <c r="AW813" s="49"/>
      <c r="AX813" s="49"/>
      <c r="AY813" s="49"/>
      <c r="AZ813" s="49"/>
      <c r="BA813" s="49"/>
      <c r="BB813" s="49"/>
      <c r="BC813" s="49"/>
      <c r="BD813" s="49"/>
      <c r="BE813" s="49"/>
      <c r="BF813" s="68"/>
    </row>
    <row r="814" spans="1:139" s="51" customFormat="1" ht="15" customHeight="1">
      <c r="A814" s="1129"/>
      <c r="B814" s="1200"/>
      <c r="C814" s="479"/>
      <c r="D814" s="84">
        <v>2022</v>
      </c>
      <c r="E814" s="85">
        <f t="shared" si="305"/>
        <v>6.5000000000000002E-2</v>
      </c>
      <c r="F814" s="85">
        <f>F827+F842+F853</f>
        <v>6.5000000000000002E-2</v>
      </c>
      <c r="G814" s="85">
        <v>0</v>
      </c>
      <c r="H814" s="85">
        <v>0</v>
      </c>
      <c r="I814" s="85">
        <v>0</v>
      </c>
      <c r="J814" s="85">
        <v>0</v>
      </c>
      <c r="K814" s="76">
        <v>0</v>
      </c>
      <c r="L814" s="497">
        <f t="shared" si="303"/>
        <v>6.5000000000000002E-2</v>
      </c>
      <c r="M814" s="185"/>
      <c r="N814" s="88"/>
      <c r="O814" s="301"/>
      <c r="P814" s="332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  <c r="AO814" s="49"/>
      <c r="AP814" s="49"/>
      <c r="AQ814" s="49"/>
      <c r="AR814" s="49"/>
      <c r="AS814" s="49"/>
      <c r="AT814" s="49"/>
      <c r="AU814" s="49"/>
      <c r="AV814" s="49"/>
      <c r="AW814" s="49"/>
      <c r="AX814" s="49"/>
      <c r="AY814" s="49"/>
      <c r="AZ814" s="49"/>
      <c r="BA814" s="49"/>
      <c r="BB814" s="49"/>
      <c r="BC814" s="49"/>
      <c r="BD814" s="49"/>
      <c r="BE814" s="49"/>
      <c r="BF814" s="68"/>
    </row>
    <row r="815" spans="1:139" s="51" customFormat="1" ht="15" customHeight="1">
      <c r="A815" s="1129"/>
      <c r="B815" s="1200"/>
      <c r="C815" s="479"/>
      <c r="D815" s="84">
        <v>2023</v>
      </c>
      <c r="E815" s="85">
        <f t="shared" si="305"/>
        <v>6.5000000000000002E-2</v>
      </c>
      <c r="F815" s="85">
        <f>F828+F843+F854</f>
        <v>6.5000000000000002E-2</v>
      </c>
      <c r="G815" s="85">
        <v>0</v>
      </c>
      <c r="H815" s="85">
        <v>0</v>
      </c>
      <c r="I815" s="85">
        <v>0</v>
      </c>
      <c r="J815" s="85">
        <v>0</v>
      </c>
      <c r="K815" s="76">
        <v>0</v>
      </c>
      <c r="L815" s="497">
        <f t="shared" si="303"/>
        <v>6.5000000000000002E-2</v>
      </c>
      <c r="M815" s="185"/>
      <c r="N815" s="88"/>
      <c r="O815" s="301"/>
      <c r="P815" s="332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  <c r="AO815" s="49"/>
      <c r="AP815" s="49"/>
      <c r="AQ815" s="49"/>
      <c r="AR815" s="49"/>
      <c r="AS815" s="49"/>
      <c r="AT815" s="49"/>
      <c r="AU815" s="49"/>
      <c r="AV815" s="49"/>
      <c r="AW815" s="49"/>
      <c r="AX815" s="49"/>
      <c r="AY815" s="49"/>
      <c r="AZ815" s="49"/>
      <c r="BA815" s="49"/>
      <c r="BB815" s="49"/>
      <c r="BC815" s="49"/>
      <c r="BD815" s="49"/>
      <c r="BE815" s="49"/>
      <c r="BF815" s="68"/>
    </row>
    <row r="816" spans="1:139" s="51" customFormat="1" ht="15" customHeight="1">
      <c r="A816" s="1129"/>
      <c r="B816" s="1200"/>
      <c r="C816" s="479"/>
      <c r="D816" s="84">
        <v>2024</v>
      </c>
      <c r="E816" s="85">
        <f t="shared" si="305"/>
        <v>9.8500000000000004E-2</v>
      </c>
      <c r="F816" s="85">
        <f>F829+F844+F855</f>
        <v>9.8500000000000004E-2</v>
      </c>
      <c r="G816" s="85">
        <v>0</v>
      </c>
      <c r="H816" s="85">
        <v>0</v>
      </c>
      <c r="I816" s="85">
        <v>0</v>
      </c>
      <c r="J816" s="85">
        <v>0</v>
      </c>
      <c r="K816" s="76">
        <v>0</v>
      </c>
      <c r="L816" s="497">
        <f t="shared" si="303"/>
        <v>9.8500000000000004E-2</v>
      </c>
      <c r="M816" s="185"/>
      <c r="N816" s="88"/>
      <c r="O816" s="301"/>
      <c r="P816" s="332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  <c r="AO816" s="49"/>
      <c r="AP816" s="49"/>
      <c r="AQ816" s="49"/>
      <c r="AR816" s="49"/>
      <c r="AS816" s="49"/>
      <c r="AT816" s="49"/>
      <c r="AU816" s="49"/>
      <c r="AV816" s="49"/>
      <c r="AW816" s="49"/>
      <c r="AX816" s="49"/>
      <c r="AY816" s="49"/>
      <c r="AZ816" s="49"/>
      <c r="BA816" s="49"/>
      <c r="BB816" s="49"/>
      <c r="BC816" s="49"/>
      <c r="BD816" s="49"/>
      <c r="BE816" s="49"/>
      <c r="BF816" s="68"/>
    </row>
    <row r="817" spans="1:58" s="51" customFormat="1" ht="15" customHeight="1">
      <c r="A817" s="1129"/>
      <c r="B817" s="1200"/>
      <c r="C817" s="479"/>
      <c r="D817" s="84">
        <v>2025</v>
      </c>
      <c r="E817" s="85">
        <f t="shared" si="305"/>
        <v>0.10087</v>
      </c>
      <c r="F817" s="85">
        <f>F830+F845+F856</f>
        <v>0.10087</v>
      </c>
      <c r="G817" s="85">
        <v>0</v>
      </c>
      <c r="H817" s="85">
        <v>0</v>
      </c>
      <c r="I817" s="85">
        <v>0</v>
      </c>
      <c r="J817" s="85">
        <v>0</v>
      </c>
      <c r="K817" s="76">
        <v>0</v>
      </c>
      <c r="L817" s="497">
        <f t="shared" si="303"/>
        <v>0.10087</v>
      </c>
      <c r="M817" s="185"/>
      <c r="N817" s="88"/>
      <c r="O817" s="301"/>
      <c r="P817" s="332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  <c r="AO817" s="49"/>
      <c r="AP817" s="49"/>
      <c r="AQ817" s="49"/>
      <c r="AR817" s="49"/>
      <c r="AS817" s="49"/>
      <c r="AT817" s="49"/>
      <c r="AU817" s="49"/>
      <c r="AV817" s="49"/>
      <c r="AW817" s="49"/>
      <c r="AX817" s="49"/>
      <c r="AY817" s="49"/>
      <c r="AZ817" s="49"/>
      <c r="BA817" s="49"/>
      <c r="BB817" s="49"/>
      <c r="BC817" s="49"/>
      <c r="BD817" s="49"/>
      <c r="BE817" s="49"/>
      <c r="BF817" s="68"/>
    </row>
    <row r="818" spans="1:58" s="51" customFormat="1" ht="15" customHeight="1">
      <c r="A818" s="1129"/>
      <c r="B818" s="1200"/>
      <c r="C818" s="479"/>
      <c r="D818" s="84">
        <v>2026</v>
      </c>
      <c r="E818" s="85">
        <f t="shared" si="305"/>
        <v>9.1616799999999998E-2</v>
      </c>
      <c r="F818" s="85">
        <f>F831+F846</f>
        <v>9.1616799999999998E-2</v>
      </c>
      <c r="G818" s="85">
        <v>0</v>
      </c>
      <c r="H818" s="85">
        <v>0</v>
      </c>
      <c r="I818" s="85">
        <v>0</v>
      </c>
      <c r="J818" s="85">
        <v>0</v>
      </c>
      <c r="K818" s="76">
        <v>0</v>
      </c>
      <c r="L818" s="497">
        <f t="shared" si="303"/>
        <v>9.1616799999999998E-2</v>
      </c>
      <c r="M818" s="185"/>
      <c r="N818" s="88"/>
      <c r="O818" s="301"/>
      <c r="P818" s="332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  <c r="AO818" s="49"/>
      <c r="AP818" s="49"/>
      <c r="AQ818" s="49"/>
      <c r="AR818" s="49"/>
      <c r="AS818" s="49"/>
      <c r="AT818" s="49"/>
      <c r="AU818" s="49"/>
      <c r="AV818" s="49"/>
      <c r="AW818" s="49"/>
      <c r="AX818" s="49"/>
      <c r="AY818" s="49"/>
      <c r="AZ818" s="49"/>
      <c r="BA818" s="49"/>
      <c r="BB818" s="49"/>
      <c r="BC818" s="49"/>
      <c r="BD818" s="49"/>
      <c r="BE818" s="49"/>
      <c r="BF818" s="68"/>
    </row>
    <row r="819" spans="1:58" s="51" customFormat="1" ht="15" customHeight="1">
      <c r="A819" s="1129"/>
      <c r="B819" s="1200"/>
      <c r="C819" s="479"/>
      <c r="D819" s="84">
        <v>2027</v>
      </c>
      <c r="E819" s="85">
        <f t="shared" si="305"/>
        <v>9.4681472000000003E-2</v>
      </c>
      <c r="F819" s="85">
        <f>F832+F847</f>
        <v>9.4681472000000003E-2</v>
      </c>
      <c r="G819" s="85">
        <v>0</v>
      </c>
      <c r="H819" s="85">
        <v>0</v>
      </c>
      <c r="I819" s="85">
        <v>0</v>
      </c>
      <c r="J819" s="85">
        <v>0</v>
      </c>
      <c r="K819" s="76">
        <v>0</v>
      </c>
      <c r="L819" s="497">
        <f t="shared" si="303"/>
        <v>9.4681472000000003E-2</v>
      </c>
      <c r="M819" s="185"/>
      <c r="N819" s="88"/>
      <c r="O819" s="301"/>
      <c r="P819" s="332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  <c r="AO819" s="49"/>
      <c r="AP819" s="49"/>
      <c r="AQ819" s="49"/>
      <c r="AR819" s="49"/>
      <c r="AS819" s="49"/>
      <c r="AT819" s="49"/>
      <c r="AU819" s="49"/>
      <c r="AV819" s="49"/>
      <c r="AW819" s="49"/>
      <c r="AX819" s="49"/>
      <c r="AY819" s="49"/>
      <c r="AZ819" s="49"/>
      <c r="BA819" s="49"/>
      <c r="BB819" s="49"/>
      <c r="BC819" s="49"/>
      <c r="BD819" s="49"/>
      <c r="BE819" s="49"/>
      <c r="BF819" s="68"/>
    </row>
    <row r="820" spans="1:58" s="51" customFormat="1" ht="15" customHeight="1">
      <c r="A820" s="1129"/>
      <c r="B820" s="1200"/>
      <c r="C820" s="479"/>
      <c r="D820" s="84">
        <v>2028</v>
      </c>
      <c r="E820" s="85">
        <f t="shared" si="305"/>
        <v>9.7868730880000004E-2</v>
      </c>
      <c r="F820" s="85">
        <f>F833+F848</f>
        <v>9.7868730880000004E-2</v>
      </c>
      <c r="G820" s="85">
        <v>0</v>
      </c>
      <c r="H820" s="85">
        <v>0</v>
      </c>
      <c r="I820" s="85">
        <v>0</v>
      </c>
      <c r="J820" s="85">
        <v>0</v>
      </c>
      <c r="K820" s="76">
        <v>0</v>
      </c>
      <c r="L820" s="497">
        <f t="shared" si="303"/>
        <v>9.7868730880000004E-2</v>
      </c>
      <c r="M820" s="185"/>
      <c r="N820" s="88"/>
      <c r="O820" s="301"/>
      <c r="P820" s="332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  <c r="AR820" s="49"/>
      <c r="AS820" s="49"/>
      <c r="AT820" s="49"/>
      <c r="AU820" s="49"/>
      <c r="AV820" s="49"/>
      <c r="AW820" s="49"/>
      <c r="AX820" s="49"/>
      <c r="AY820" s="49"/>
      <c r="AZ820" s="49"/>
      <c r="BA820" s="49"/>
      <c r="BB820" s="49"/>
      <c r="BC820" s="49"/>
      <c r="BD820" s="49"/>
      <c r="BE820" s="49"/>
      <c r="BF820" s="68"/>
    </row>
    <row r="821" spans="1:58" s="51" customFormat="1" ht="15" customHeight="1">
      <c r="A821" s="1129"/>
      <c r="B821" s="1200"/>
      <c r="C821" s="479"/>
      <c r="D821" s="84">
        <v>2029</v>
      </c>
      <c r="E821" s="85">
        <f t="shared" si="305"/>
        <v>0.10118348011520001</v>
      </c>
      <c r="F821" s="85">
        <f>F834+F849</f>
        <v>0.10118348011520001</v>
      </c>
      <c r="G821" s="85">
        <v>0</v>
      </c>
      <c r="H821" s="85">
        <v>0</v>
      </c>
      <c r="I821" s="85">
        <v>0</v>
      </c>
      <c r="J821" s="85">
        <v>0</v>
      </c>
      <c r="K821" s="76">
        <v>0</v>
      </c>
      <c r="L821" s="497">
        <f t="shared" si="303"/>
        <v>0.10118348011520001</v>
      </c>
      <c r="M821" s="185"/>
      <c r="N821" s="88"/>
      <c r="O821" s="301"/>
      <c r="P821" s="332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  <c r="AR821" s="49"/>
      <c r="AS821" s="49"/>
      <c r="AT821" s="49"/>
      <c r="AU821" s="49"/>
      <c r="AV821" s="49"/>
      <c r="AW821" s="49"/>
      <c r="AX821" s="49"/>
      <c r="AY821" s="49"/>
      <c r="AZ821" s="49"/>
      <c r="BA821" s="49"/>
      <c r="BB821" s="49"/>
      <c r="BC821" s="49"/>
      <c r="BD821" s="49"/>
      <c r="BE821" s="49"/>
      <c r="BF821" s="68"/>
    </row>
    <row r="822" spans="1:58" s="51" customFormat="1" ht="15" customHeight="1">
      <c r="A822" s="1129"/>
      <c r="B822" s="1200"/>
      <c r="C822" s="479"/>
      <c r="D822" s="84">
        <v>2030</v>
      </c>
      <c r="E822" s="85">
        <f t="shared" si="305"/>
        <v>0.10463081931980801</v>
      </c>
      <c r="F822" s="85">
        <f>F835+F850</f>
        <v>0.10463081931980801</v>
      </c>
      <c r="G822" s="85">
        <v>0</v>
      </c>
      <c r="H822" s="85">
        <v>0</v>
      </c>
      <c r="I822" s="85">
        <v>0</v>
      </c>
      <c r="J822" s="85">
        <v>0</v>
      </c>
      <c r="K822" s="76">
        <v>0</v>
      </c>
      <c r="L822" s="497">
        <f t="shared" si="303"/>
        <v>0.10463081931980801</v>
      </c>
      <c r="M822" s="185"/>
      <c r="N822" s="88"/>
      <c r="O822" s="301"/>
      <c r="P822" s="332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  <c r="AO822" s="49"/>
      <c r="AP822" s="49"/>
      <c r="AQ822" s="49"/>
      <c r="AR822" s="49"/>
      <c r="AS822" s="49"/>
      <c r="AT822" s="49"/>
      <c r="AU822" s="49"/>
      <c r="AV822" s="49"/>
      <c r="AW822" s="49"/>
      <c r="AX822" s="49"/>
      <c r="AY822" s="49"/>
      <c r="AZ822" s="49"/>
      <c r="BA822" s="49"/>
      <c r="BB822" s="49"/>
      <c r="BC822" s="49"/>
      <c r="BD822" s="49"/>
      <c r="BE822" s="49"/>
      <c r="BF822" s="68"/>
    </row>
    <row r="823" spans="1:58" s="51" customFormat="1">
      <c r="A823" s="794" t="s">
        <v>1297</v>
      </c>
      <c r="B823" s="872" t="s">
        <v>866</v>
      </c>
      <c r="C823" s="464"/>
      <c r="D823" s="84" t="s">
        <v>16</v>
      </c>
      <c r="E823" s="85">
        <f t="shared" ref="E823:J823" si="306">SUM(E824:E835)</f>
        <v>0.15500000000000003</v>
      </c>
      <c r="F823" s="85">
        <f t="shared" si="306"/>
        <v>0.15500000000000003</v>
      </c>
      <c r="G823" s="85">
        <f t="shared" si="306"/>
        <v>0</v>
      </c>
      <c r="H823" s="85">
        <f t="shared" si="306"/>
        <v>0</v>
      </c>
      <c r="I823" s="85">
        <f t="shared" si="306"/>
        <v>0</v>
      </c>
      <c r="J823" s="85">
        <f t="shared" si="306"/>
        <v>0</v>
      </c>
      <c r="K823" s="76">
        <v>0</v>
      </c>
      <c r="L823" s="497">
        <f t="shared" si="303"/>
        <v>0.15500000000000003</v>
      </c>
      <c r="M823" s="185"/>
      <c r="N823" s="88"/>
      <c r="O823" s="301"/>
      <c r="P823" s="332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  <c r="AR823" s="49"/>
      <c r="AS823" s="49"/>
      <c r="AT823" s="49"/>
      <c r="AU823" s="49"/>
      <c r="AV823" s="49"/>
      <c r="AW823" s="49"/>
      <c r="AX823" s="49"/>
      <c r="AY823" s="49"/>
      <c r="AZ823" s="49"/>
      <c r="BA823" s="49"/>
      <c r="BB823" s="49"/>
      <c r="BC823" s="49"/>
      <c r="BD823" s="49"/>
      <c r="BE823" s="49"/>
      <c r="BF823" s="68"/>
    </row>
    <row r="824" spans="1:58" s="51" customFormat="1" ht="69" customHeight="1">
      <c r="A824" s="1126"/>
      <c r="B824" s="868"/>
      <c r="C824" s="358" t="s">
        <v>867</v>
      </c>
      <c r="D824" s="62">
        <v>2019</v>
      </c>
      <c r="E824" s="63">
        <f t="shared" ref="E824:E835" si="307">F824</f>
        <v>0.01</v>
      </c>
      <c r="F824" s="63">
        <v>0.01</v>
      </c>
      <c r="G824" s="63">
        <v>0</v>
      </c>
      <c r="H824" s="63">
        <v>0</v>
      </c>
      <c r="I824" s="63">
        <v>0</v>
      </c>
      <c r="J824" s="63">
        <v>0</v>
      </c>
      <c r="K824" s="76">
        <v>0</v>
      </c>
      <c r="L824" s="497">
        <f t="shared" si="303"/>
        <v>0.01</v>
      </c>
      <c r="M824" s="572"/>
      <c r="N824" s="88"/>
      <c r="O824" s="301"/>
      <c r="P824" s="842" t="s">
        <v>352</v>
      </c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49"/>
      <c r="AU824" s="49"/>
      <c r="AV824" s="49"/>
      <c r="AW824" s="49"/>
      <c r="AX824" s="49"/>
      <c r="AY824" s="49"/>
      <c r="AZ824" s="49"/>
      <c r="BA824" s="49"/>
      <c r="BB824" s="49"/>
      <c r="BC824" s="49"/>
      <c r="BD824" s="49"/>
      <c r="BE824" s="49"/>
      <c r="BF824" s="68"/>
    </row>
    <row r="825" spans="1:58" s="51" customFormat="1" ht="22.5" customHeight="1">
      <c r="A825" s="1126"/>
      <c r="B825" s="868"/>
      <c r="C825" s="881" t="s">
        <v>875</v>
      </c>
      <c r="D825" s="62">
        <v>2020</v>
      </c>
      <c r="E825" s="63">
        <f t="shared" si="307"/>
        <v>0.01</v>
      </c>
      <c r="F825" s="63">
        <v>0.01</v>
      </c>
      <c r="G825" s="63">
        <v>0</v>
      </c>
      <c r="H825" s="63">
        <v>0</v>
      </c>
      <c r="I825" s="63">
        <v>0</v>
      </c>
      <c r="J825" s="63">
        <v>0</v>
      </c>
      <c r="K825" s="76">
        <v>0</v>
      </c>
      <c r="L825" s="497">
        <f t="shared" si="303"/>
        <v>0.01</v>
      </c>
      <c r="M825" s="572"/>
      <c r="N825" s="88"/>
      <c r="O825" s="301"/>
      <c r="P825" s="1016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49"/>
      <c r="BD825" s="49"/>
      <c r="BE825" s="49"/>
      <c r="BF825" s="68"/>
    </row>
    <row r="826" spans="1:58" s="51" customFormat="1" ht="22.5" customHeight="1">
      <c r="A826" s="1126"/>
      <c r="B826" s="868"/>
      <c r="C826" s="882"/>
      <c r="D826" s="62">
        <v>2021</v>
      </c>
      <c r="E826" s="63">
        <f t="shared" si="307"/>
        <v>0.01</v>
      </c>
      <c r="F826" s="63">
        <v>0.01</v>
      </c>
      <c r="G826" s="63">
        <v>0</v>
      </c>
      <c r="H826" s="63">
        <v>0</v>
      </c>
      <c r="I826" s="63">
        <v>0</v>
      </c>
      <c r="J826" s="63">
        <v>0</v>
      </c>
      <c r="K826" s="76">
        <v>0</v>
      </c>
      <c r="L826" s="497">
        <f t="shared" si="303"/>
        <v>0.01</v>
      </c>
      <c r="M826" s="572"/>
      <c r="N826" s="88"/>
      <c r="O826" s="301"/>
      <c r="P826" s="1016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49"/>
      <c r="BD826" s="49"/>
      <c r="BE826" s="49"/>
      <c r="BF826" s="68"/>
    </row>
    <row r="827" spans="1:58" s="51" customFormat="1" ht="22.5" customHeight="1">
      <c r="A827" s="1126"/>
      <c r="B827" s="868"/>
      <c r="C827" s="882"/>
      <c r="D827" s="62">
        <v>2022</v>
      </c>
      <c r="E827" s="63">
        <f t="shared" si="307"/>
        <v>0.01</v>
      </c>
      <c r="F827" s="63">
        <v>0.01</v>
      </c>
      <c r="G827" s="63">
        <v>0</v>
      </c>
      <c r="H827" s="63">
        <v>0</v>
      </c>
      <c r="I827" s="63">
        <v>0</v>
      </c>
      <c r="J827" s="63">
        <v>0</v>
      </c>
      <c r="K827" s="76">
        <v>0</v>
      </c>
      <c r="L827" s="497">
        <f t="shared" si="303"/>
        <v>0.01</v>
      </c>
      <c r="M827" s="572"/>
      <c r="N827" s="88"/>
      <c r="O827" s="301"/>
      <c r="P827" s="1016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  <c r="AO827" s="49"/>
      <c r="AP827" s="49"/>
      <c r="AQ827" s="49"/>
      <c r="AR827" s="49"/>
      <c r="AS827" s="49"/>
      <c r="AT827" s="49"/>
      <c r="AU827" s="49"/>
      <c r="AV827" s="49"/>
      <c r="AW827" s="49"/>
      <c r="AX827" s="49"/>
      <c r="AY827" s="49"/>
      <c r="AZ827" s="49"/>
      <c r="BA827" s="49"/>
      <c r="BB827" s="49"/>
      <c r="BC827" s="49"/>
      <c r="BD827" s="49"/>
      <c r="BE827" s="49"/>
      <c r="BF827" s="68"/>
    </row>
    <row r="828" spans="1:58" s="51" customFormat="1" ht="22.5" customHeight="1">
      <c r="A828" s="1126"/>
      <c r="B828" s="868"/>
      <c r="C828" s="882"/>
      <c r="D828" s="62">
        <v>2023</v>
      </c>
      <c r="E828" s="63">
        <f t="shared" si="307"/>
        <v>0.01</v>
      </c>
      <c r="F828" s="63">
        <v>0.01</v>
      </c>
      <c r="G828" s="63">
        <v>0</v>
      </c>
      <c r="H828" s="63">
        <v>0</v>
      </c>
      <c r="I828" s="63">
        <v>0</v>
      </c>
      <c r="J828" s="63">
        <v>0</v>
      </c>
      <c r="K828" s="76">
        <v>0</v>
      </c>
      <c r="L828" s="497">
        <f t="shared" si="303"/>
        <v>0.01</v>
      </c>
      <c r="M828" s="572"/>
      <c r="N828" s="88"/>
      <c r="O828" s="301"/>
      <c r="P828" s="1016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  <c r="AO828" s="49"/>
      <c r="AP828" s="49"/>
      <c r="AQ828" s="49"/>
      <c r="AR828" s="49"/>
      <c r="AS828" s="49"/>
      <c r="AT828" s="49"/>
      <c r="AU828" s="49"/>
      <c r="AV828" s="49"/>
      <c r="AW828" s="49"/>
      <c r="AX828" s="49"/>
      <c r="AY828" s="49"/>
      <c r="AZ828" s="49"/>
      <c r="BA828" s="49"/>
      <c r="BB828" s="49"/>
      <c r="BC828" s="49"/>
      <c r="BD828" s="49"/>
      <c r="BE828" s="49"/>
      <c r="BF828" s="68"/>
    </row>
    <row r="829" spans="1:58" s="51" customFormat="1" ht="22.5" customHeight="1">
      <c r="A829" s="1126"/>
      <c r="B829" s="868"/>
      <c r="C829" s="882"/>
      <c r="D829" s="62">
        <v>2024</v>
      </c>
      <c r="E829" s="63">
        <f t="shared" si="307"/>
        <v>1.4999999999999999E-2</v>
      </c>
      <c r="F829" s="63">
        <v>1.4999999999999999E-2</v>
      </c>
      <c r="G829" s="63">
        <v>0</v>
      </c>
      <c r="H829" s="63">
        <v>0</v>
      </c>
      <c r="I829" s="63">
        <v>0</v>
      </c>
      <c r="J829" s="63">
        <v>0</v>
      </c>
      <c r="K829" s="76">
        <v>0</v>
      </c>
      <c r="L829" s="497">
        <f t="shared" si="303"/>
        <v>1.4999999999999999E-2</v>
      </c>
      <c r="M829" s="572"/>
      <c r="N829" s="88"/>
      <c r="O829" s="301"/>
      <c r="P829" s="1016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  <c r="AO829" s="49"/>
      <c r="AP829" s="49"/>
      <c r="AQ829" s="49"/>
      <c r="AR829" s="49"/>
      <c r="AS829" s="49"/>
      <c r="AT829" s="49"/>
      <c r="AU829" s="49"/>
      <c r="AV829" s="49"/>
      <c r="AW829" s="49"/>
      <c r="AX829" s="49"/>
      <c r="AY829" s="49"/>
      <c r="AZ829" s="49"/>
      <c r="BA829" s="49"/>
      <c r="BB829" s="49"/>
      <c r="BC829" s="49"/>
      <c r="BD829" s="49"/>
      <c r="BE829" s="49"/>
      <c r="BF829" s="68"/>
    </row>
    <row r="830" spans="1:58" s="51" customFormat="1" ht="22.5" customHeight="1">
      <c r="A830" s="1126"/>
      <c r="B830" s="868"/>
      <c r="C830" s="882"/>
      <c r="D830" s="62">
        <v>2025</v>
      </c>
      <c r="E830" s="63">
        <f t="shared" si="307"/>
        <v>1.4999999999999999E-2</v>
      </c>
      <c r="F830" s="63">
        <v>1.4999999999999999E-2</v>
      </c>
      <c r="G830" s="63">
        <v>0</v>
      </c>
      <c r="H830" s="63">
        <v>0</v>
      </c>
      <c r="I830" s="63">
        <v>0</v>
      </c>
      <c r="J830" s="63">
        <v>0</v>
      </c>
      <c r="K830" s="76">
        <v>0</v>
      </c>
      <c r="L830" s="497">
        <f t="shared" si="303"/>
        <v>1.4999999999999999E-2</v>
      </c>
      <c r="M830" s="572"/>
      <c r="N830" s="88"/>
      <c r="O830" s="301"/>
      <c r="P830" s="1016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  <c r="AR830" s="49"/>
      <c r="AS830" s="49"/>
      <c r="AT830" s="49"/>
      <c r="AU830" s="49"/>
      <c r="AV830" s="49"/>
      <c r="AW830" s="49"/>
      <c r="AX830" s="49"/>
      <c r="AY830" s="49"/>
      <c r="AZ830" s="49"/>
      <c r="BA830" s="49"/>
      <c r="BB830" s="49"/>
      <c r="BC830" s="49"/>
      <c r="BD830" s="49"/>
      <c r="BE830" s="49"/>
      <c r="BF830" s="68"/>
    </row>
    <row r="831" spans="1:58" s="51" customFormat="1" ht="22.5" customHeight="1">
      <c r="A831" s="1126"/>
      <c r="B831" s="868"/>
      <c r="C831" s="882"/>
      <c r="D831" s="62">
        <v>2026</v>
      </c>
      <c r="E831" s="63">
        <f t="shared" si="307"/>
        <v>1.4999999999999999E-2</v>
      </c>
      <c r="F831" s="63">
        <v>1.4999999999999999E-2</v>
      </c>
      <c r="G831" s="63">
        <v>0</v>
      </c>
      <c r="H831" s="63">
        <v>0</v>
      </c>
      <c r="I831" s="63">
        <v>0</v>
      </c>
      <c r="J831" s="63">
        <v>0</v>
      </c>
      <c r="K831" s="76">
        <v>0</v>
      </c>
      <c r="L831" s="497">
        <f t="shared" si="303"/>
        <v>1.4999999999999999E-2</v>
      </c>
      <c r="M831" s="572"/>
      <c r="N831" s="88"/>
      <c r="O831" s="301"/>
      <c r="P831" s="1016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  <c r="AO831" s="49"/>
      <c r="AP831" s="49"/>
      <c r="AQ831" s="49"/>
      <c r="AR831" s="49"/>
      <c r="AS831" s="49"/>
      <c r="AT831" s="49"/>
      <c r="AU831" s="49"/>
      <c r="AV831" s="49"/>
      <c r="AW831" s="49"/>
      <c r="AX831" s="49"/>
      <c r="AY831" s="49"/>
      <c r="AZ831" s="49"/>
      <c r="BA831" s="49"/>
      <c r="BB831" s="49"/>
      <c r="BC831" s="49"/>
      <c r="BD831" s="49"/>
      <c r="BE831" s="49"/>
      <c r="BF831" s="68"/>
    </row>
    <row r="832" spans="1:58" s="51" customFormat="1" ht="22.5" customHeight="1">
      <c r="A832" s="1126"/>
      <c r="B832" s="868"/>
      <c r="C832" s="882"/>
      <c r="D832" s="62">
        <v>2027</v>
      </c>
      <c r="E832" s="63">
        <f t="shared" si="307"/>
        <v>1.4999999999999999E-2</v>
      </c>
      <c r="F832" s="63">
        <v>1.4999999999999999E-2</v>
      </c>
      <c r="G832" s="63">
        <v>0</v>
      </c>
      <c r="H832" s="63">
        <v>0</v>
      </c>
      <c r="I832" s="63">
        <v>0</v>
      </c>
      <c r="J832" s="63">
        <v>0</v>
      </c>
      <c r="K832" s="76">
        <v>0</v>
      </c>
      <c r="L832" s="497">
        <f t="shared" si="303"/>
        <v>1.4999999999999999E-2</v>
      </c>
      <c r="M832" s="572"/>
      <c r="N832" s="88"/>
      <c r="O832" s="301"/>
      <c r="P832" s="1016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  <c r="AO832" s="49"/>
      <c r="AP832" s="49"/>
      <c r="AQ832" s="49"/>
      <c r="AR832" s="49"/>
      <c r="AS832" s="49"/>
      <c r="AT832" s="49"/>
      <c r="AU832" s="49"/>
      <c r="AV832" s="49"/>
      <c r="AW832" s="49"/>
      <c r="AX832" s="49"/>
      <c r="AY832" s="49"/>
      <c r="AZ832" s="49"/>
      <c r="BA832" s="49"/>
      <c r="BB832" s="49"/>
      <c r="BC832" s="49"/>
      <c r="BD832" s="49"/>
      <c r="BE832" s="49"/>
      <c r="BF832" s="68"/>
    </row>
    <row r="833" spans="1:58" s="51" customFormat="1" ht="22.5" customHeight="1">
      <c r="A833" s="1126"/>
      <c r="B833" s="868"/>
      <c r="C833" s="882"/>
      <c r="D833" s="62">
        <v>2028</v>
      </c>
      <c r="E833" s="63">
        <f t="shared" si="307"/>
        <v>1.4999999999999999E-2</v>
      </c>
      <c r="F833" s="63">
        <v>1.4999999999999999E-2</v>
      </c>
      <c r="G833" s="63">
        <v>0</v>
      </c>
      <c r="H833" s="63">
        <v>0</v>
      </c>
      <c r="I833" s="63">
        <v>0</v>
      </c>
      <c r="J833" s="63">
        <v>0</v>
      </c>
      <c r="K833" s="76">
        <v>0</v>
      </c>
      <c r="L833" s="497">
        <f t="shared" si="303"/>
        <v>1.4999999999999999E-2</v>
      </c>
      <c r="M833" s="572"/>
      <c r="N833" s="88"/>
      <c r="O833" s="301"/>
      <c r="P833" s="1016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  <c r="AO833" s="49"/>
      <c r="AP833" s="49"/>
      <c r="AQ833" s="49"/>
      <c r="AR833" s="49"/>
      <c r="AS833" s="49"/>
      <c r="AT833" s="49"/>
      <c r="AU833" s="49"/>
      <c r="AV833" s="49"/>
      <c r="AW833" s="49"/>
      <c r="AX833" s="49"/>
      <c r="AY833" s="49"/>
      <c r="AZ833" s="49"/>
      <c r="BA833" s="49"/>
      <c r="BB833" s="49"/>
      <c r="BC833" s="49"/>
      <c r="BD833" s="49"/>
      <c r="BE833" s="49"/>
      <c r="BF833" s="68"/>
    </row>
    <row r="834" spans="1:58" s="51" customFormat="1" ht="22.5" customHeight="1">
      <c r="A834" s="1126"/>
      <c r="B834" s="868"/>
      <c r="C834" s="882"/>
      <c r="D834" s="62">
        <v>2029</v>
      </c>
      <c r="E834" s="63">
        <f t="shared" si="307"/>
        <v>1.4999999999999999E-2</v>
      </c>
      <c r="F834" s="63">
        <v>1.4999999999999999E-2</v>
      </c>
      <c r="G834" s="63">
        <v>0</v>
      </c>
      <c r="H834" s="63">
        <v>0</v>
      </c>
      <c r="I834" s="63">
        <v>0</v>
      </c>
      <c r="J834" s="63">
        <v>0</v>
      </c>
      <c r="K834" s="76">
        <v>0</v>
      </c>
      <c r="L834" s="497">
        <f t="shared" si="303"/>
        <v>1.4999999999999999E-2</v>
      </c>
      <c r="M834" s="572"/>
      <c r="N834" s="88"/>
      <c r="O834" s="301"/>
      <c r="P834" s="1016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  <c r="AO834" s="49"/>
      <c r="AP834" s="49"/>
      <c r="AQ834" s="49"/>
      <c r="AR834" s="49"/>
      <c r="AS834" s="49"/>
      <c r="AT834" s="49"/>
      <c r="AU834" s="49"/>
      <c r="AV834" s="49"/>
      <c r="AW834" s="49"/>
      <c r="AX834" s="49"/>
      <c r="AY834" s="49"/>
      <c r="AZ834" s="49"/>
      <c r="BA834" s="49"/>
      <c r="BB834" s="49"/>
      <c r="BC834" s="49"/>
      <c r="BD834" s="49"/>
      <c r="BE834" s="49"/>
      <c r="BF834" s="68"/>
    </row>
    <row r="835" spans="1:58" s="51" customFormat="1" ht="22.5" customHeight="1">
      <c r="A835" s="1127"/>
      <c r="B835" s="869"/>
      <c r="C835" s="964"/>
      <c r="D835" s="62">
        <v>2030</v>
      </c>
      <c r="E835" s="63">
        <f t="shared" si="307"/>
        <v>1.4999999999999999E-2</v>
      </c>
      <c r="F835" s="63">
        <v>1.4999999999999999E-2</v>
      </c>
      <c r="G835" s="63">
        <v>0</v>
      </c>
      <c r="H835" s="63">
        <v>0</v>
      </c>
      <c r="I835" s="63">
        <v>0</v>
      </c>
      <c r="J835" s="63">
        <v>0</v>
      </c>
      <c r="K835" s="76">
        <v>0</v>
      </c>
      <c r="L835" s="497">
        <f t="shared" si="303"/>
        <v>1.4999999999999999E-2</v>
      </c>
      <c r="M835" s="572"/>
      <c r="N835" s="88"/>
      <c r="O835" s="301"/>
      <c r="P835" s="843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  <c r="AO835" s="49"/>
      <c r="AP835" s="49"/>
      <c r="AQ835" s="49"/>
      <c r="AR835" s="49"/>
      <c r="AS835" s="49"/>
      <c r="AT835" s="49"/>
      <c r="AU835" s="49"/>
      <c r="AV835" s="49"/>
      <c r="AW835" s="49"/>
      <c r="AX835" s="49"/>
      <c r="AY835" s="49"/>
      <c r="AZ835" s="49"/>
      <c r="BA835" s="49"/>
      <c r="BB835" s="49"/>
      <c r="BC835" s="49"/>
      <c r="BD835" s="49"/>
      <c r="BE835" s="49"/>
      <c r="BF835" s="68"/>
    </row>
    <row r="836" spans="1:58" s="51" customFormat="1">
      <c r="A836" s="794" t="s">
        <v>888</v>
      </c>
      <c r="B836" s="867" t="s">
        <v>870</v>
      </c>
      <c r="C836" s="188"/>
      <c r="D836" s="84" t="s">
        <v>16</v>
      </c>
      <c r="E836" s="85">
        <f t="shared" ref="E836:J836" si="308">SUM(SUM(E837:E837))</f>
        <v>1.0999999999999999E-2</v>
      </c>
      <c r="F836" s="85">
        <f t="shared" si="308"/>
        <v>1.0999999999999999E-2</v>
      </c>
      <c r="G836" s="85">
        <f t="shared" si="308"/>
        <v>0</v>
      </c>
      <c r="H836" s="85">
        <f t="shared" si="308"/>
        <v>0</v>
      </c>
      <c r="I836" s="85">
        <f t="shared" si="308"/>
        <v>0</v>
      </c>
      <c r="J836" s="85">
        <f t="shared" si="308"/>
        <v>0</v>
      </c>
      <c r="K836" s="76">
        <v>0</v>
      </c>
      <c r="L836" s="497">
        <f t="shared" si="303"/>
        <v>1.0999999999999999E-2</v>
      </c>
      <c r="M836" s="185"/>
      <c r="N836" s="88"/>
      <c r="O836" s="301"/>
      <c r="P836" s="1121" t="s">
        <v>352</v>
      </c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  <c r="AO836" s="49"/>
      <c r="AP836" s="49"/>
      <c r="AQ836" s="49"/>
      <c r="AR836" s="49"/>
      <c r="AS836" s="49"/>
      <c r="AT836" s="49"/>
      <c r="AU836" s="49"/>
      <c r="AV836" s="49"/>
      <c r="AW836" s="49"/>
      <c r="AX836" s="49"/>
      <c r="AY836" s="49"/>
      <c r="AZ836" s="49"/>
      <c r="BA836" s="49"/>
      <c r="BB836" s="49"/>
      <c r="BC836" s="49"/>
      <c r="BD836" s="49"/>
      <c r="BE836" s="49"/>
      <c r="BF836" s="68"/>
    </row>
    <row r="837" spans="1:58" s="51" customFormat="1" ht="63.75">
      <c r="A837" s="795"/>
      <c r="B837" s="873"/>
      <c r="C837" s="358" t="s">
        <v>867</v>
      </c>
      <c r="D837" s="62">
        <v>2019</v>
      </c>
      <c r="E837" s="63">
        <f>F837+G837+H837+I837+J837</f>
        <v>1.0999999999999999E-2</v>
      </c>
      <c r="F837" s="63">
        <v>1.0999999999999999E-2</v>
      </c>
      <c r="G837" s="63">
        <v>0</v>
      </c>
      <c r="H837" s="63">
        <v>0</v>
      </c>
      <c r="I837" s="63">
        <v>0</v>
      </c>
      <c r="J837" s="63">
        <v>0</v>
      </c>
      <c r="K837" s="76">
        <v>0</v>
      </c>
      <c r="L837" s="497">
        <f t="shared" si="303"/>
        <v>1.0999999999999999E-2</v>
      </c>
      <c r="M837" s="185"/>
      <c r="N837" s="88"/>
      <c r="O837" s="301"/>
      <c r="P837" s="116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49"/>
      <c r="AU837" s="49"/>
      <c r="AV837" s="49"/>
      <c r="AW837" s="49"/>
      <c r="AX837" s="49"/>
      <c r="AY837" s="49"/>
      <c r="AZ837" s="49"/>
      <c r="BA837" s="49"/>
      <c r="BB837" s="49"/>
      <c r="BC837" s="49"/>
      <c r="BD837" s="49"/>
      <c r="BE837" s="49"/>
      <c r="BF837" s="68"/>
    </row>
    <row r="838" spans="1:58" s="51" customFormat="1" ht="69" customHeight="1">
      <c r="A838" s="59" t="s">
        <v>892</v>
      </c>
      <c r="B838" s="60" t="s">
        <v>872</v>
      </c>
      <c r="C838" s="358" t="s">
        <v>867</v>
      </c>
      <c r="D838" s="62">
        <v>2019</v>
      </c>
      <c r="E838" s="63">
        <f>F838+G838+H838+I838+J838</f>
        <v>0</v>
      </c>
      <c r="F838" s="63">
        <v>0</v>
      </c>
      <c r="G838" s="63">
        <v>0</v>
      </c>
      <c r="H838" s="63">
        <v>0</v>
      </c>
      <c r="I838" s="63">
        <v>0</v>
      </c>
      <c r="J838" s="63">
        <v>0</v>
      </c>
      <c r="K838" s="76">
        <v>0</v>
      </c>
      <c r="L838" s="497">
        <f t="shared" si="303"/>
        <v>0</v>
      </c>
      <c r="M838" s="185"/>
      <c r="N838" s="88"/>
      <c r="O838" s="301"/>
      <c r="P838" s="1016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  <c r="AO838" s="49"/>
      <c r="AP838" s="49"/>
      <c r="AQ838" s="49"/>
      <c r="AR838" s="49"/>
      <c r="AS838" s="49"/>
      <c r="AT838" s="49"/>
      <c r="AU838" s="49"/>
      <c r="AV838" s="49"/>
      <c r="AW838" s="49"/>
      <c r="AX838" s="49"/>
      <c r="AY838" s="49"/>
      <c r="AZ838" s="49"/>
      <c r="BA838" s="49"/>
      <c r="BB838" s="49"/>
      <c r="BC838" s="49"/>
      <c r="BD838" s="49"/>
      <c r="BE838" s="49"/>
      <c r="BF838" s="68"/>
    </row>
    <row r="839" spans="1:58" s="82" customFormat="1" ht="19.5" customHeight="1">
      <c r="A839" s="794" t="s">
        <v>896</v>
      </c>
      <c r="B839" s="867" t="s">
        <v>874</v>
      </c>
      <c r="C839" s="881" t="s">
        <v>875</v>
      </c>
      <c r="D839" s="84" t="s">
        <v>16</v>
      </c>
      <c r="E839" s="85">
        <f t="shared" ref="E839:J839" si="309">E840+E841+E842+E843+E844+E845+E846+E847+E848+E849+E850</f>
        <v>0.71045130231500808</v>
      </c>
      <c r="F839" s="85">
        <f t="shared" si="309"/>
        <v>0.71045130231500808</v>
      </c>
      <c r="G839" s="85">
        <f t="shared" si="309"/>
        <v>0</v>
      </c>
      <c r="H839" s="85">
        <f t="shared" si="309"/>
        <v>0</v>
      </c>
      <c r="I839" s="85">
        <f t="shared" si="309"/>
        <v>0</v>
      </c>
      <c r="J839" s="85">
        <f t="shared" si="309"/>
        <v>0</v>
      </c>
      <c r="K839" s="76">
        <v>0</v>
      </c>
      <c r="L839" s="497">
        <f t="shared" si="303"/>
        <v>0.71045130231500808</v>
      </c>
      <c r="M839" s="185"/>
      <c r="N839" s="88"/>
      <c r="O839" s="301"/>
      <c r="P839" s="1016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  <c r="AF839" s="91"/>
      <c r="AG839" s="91"/>
      <c r="AH839" s="91"/>
      <c r="AI839" s="91"/>
      <c r="AJ839" s="91"/>
      <c r="AK839" s="91"/>
      <c r="AL839" s="91"/>
      <c r="AM839" s="91"/>
      <c r="AN839" s="91"/>
      <c r="AO839" s="91"/>
      <c r="AP839" s="9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91"/>
      <c r="BE839" s="91"/>
      <c r="BF839" s="92"/>
    </row>
    <row r="840" spans="1:58" s="51" customFormat="1" ht="14.25" customHeight="1">
      <c r="A840" s="795"/>
      <c r="B840" s="872"/>
      <c r="C840" s="882"/>
      <c r="D840" s="62">
        <v>2020</v>
      </c>
      <c r="E840" s="63">
        <f t="shared" ref="E840:E850" si="310">F840+G840+H840+I840+J840</f>
        <v>4.4999999999999998E-2</v>
      </c>
      <c r="F840" s="63">
        <v>4.4999999999999998E-2</v>
      </c>
      <c r="G840" s="63">
        <v>0</v>
      </c>
      <c r="H840" s="63">
        <v>0</v>
      </c>
      <c r="I840" s="63">
        <v>0</v>
      </c>
      <c r="J840" s="63">
        <v>0</v>
      </c>
      <c r="K840" s="76">
        <v>0</v>
      </c>
      <c r="L840" s="497">
        <f t="shared" si="303"/>
        <v>4.4999999999999998E-2</v>
      </c>
      <c r="M840" s="185"/>
      <c r="N840" s="88"/>
      <c r="O840" s="301"/>
      <c r="P840" s="1016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  <c r="AR840" s="49"/>
      <c r="AS840" s="49"/>
      <c r="AT840" s="49"/>
      <c r="AU840" s="49"/>
      <c r="AV840" s="49"/>
      <c r="AW840" s="49"/>
      <c r="AX840" s="49"/>
      <c r="AY840" s="49"/>
      <c r="AZ840" s="49"/>
      <c r="BA840" s="49"/>
      <c r="BB840" s="49"/>
      <c r="BC840" s="49"/>
      <c r="BD840" s="49"/>
      <c r="BE840" s="49"/>
      <c r="BF840" s="68"/>
    </row>
    <row r="841" spans="1:58" s="51" customFormat="1" ht="15.75" customHeight="1">
      <c r="A841" s="795"/>
      <c r="B841" s="872"/>
      <c r="C841" s="882"/>
      <c r="D841" s="62">
        <v>2021</v>
      </c>
      <c r="E841" s="63">
        <f t="shared" si="310"/>
        <v>3.5000000000000003E-2</v>
      </c>
      <c r="F841" s="63">
        <v>3.5000000000000003E-2</v>
      </c>
      <c r="G841" s="63">
        <v>0</v>
      </c>
      <c r="H841" s="63">
        <v>0</v>
      </c>
      <c r="I841" s="63">
        <v>0</v>
      </c>
      <c r="J841" s="63">
        <v>0</v>
      </c>
      <c r="K841" s="76">
        <v>0</v>
      </c>
      <c r="L841" s="497">
        <f t="shared" si="303"/>
        <v>3.5000000000000003E-2</v>
      </c>
      <c r="M841" s="185"/>
      <c r="N841" s="88"/>
      <c r="O841" s="301"/>
      <c r="P841" s="1016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  <c r="AR841" s="49"/>
      <c r="AS841" s="49"/>
      <c r="AT841" s="49"/>
      <c r="AU841" s="49"/>
      <c r="AV841" s="49"/>
      <c r="AW841" s="49"/>
      <c r="AX841" s="49"/>
      <c r="AY841" s="49"/>
      <c r="AZ841" s="49"/>
      <c r="BA841" s="49"/>
      <c r="BB841" s="49"/>
      <c r="BC841" s="49"/>
      <c r="BD841" s="49"/>
      <c r="BE841" s="49"/>
      <c r="BF841" s="68"/>
    </row>
    <row r="842" spans="1:58" s="51" customFormat="1" ht="17.25" customHeight="1">
      <c r="A842" s="795"/>
      <c r="B842" s="872"/>
      <c r="C842" s="882"/>
      <c r="D842" s="62">
        <v>2022</v>
      </c>
      <c r="E842" s="63">
        <f t="shared" si="310"/>
        <v>3.5000000000000003E-2</v>
      </c>
      <c r="F842" s="63">
        <v>3.5000000000000003E-2</v>
      </c>
      <c r="G842" s="63">
        <v>0</v>
      </c>
      <c r="H842" s="63">
        <v>0</v>
      </c>
      <c r="I842" s="63">
        <v>0</v>
      </c>
      <c r="J842" s="63">
        <v>0</v>
      </c>
      <c r="K842" s="76">
        <v>0</v>
      </c>
      <c r="L842" s="497">
        <f t="shared" ref="L842:L873" si="311">F842+G842+H842+I842+J842</f>
        <v>3.5000000000000003E-2</v>
      </c>
      <c r="M842" s="185"/>
      <c r="N842" s="88"/>
      <c r="O842" s="301"/>
      <c r="P842" s="1016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  <c r="AO842" s="49"/>
      <c r="AP842" s="49"/>
      <c r="AQ842" s="49"/>
      <c r="AR842" s="49"/>
      <c r="AS842" s="49"/>
      <c r="AT842" s="49"/>
      <c r="AU842" s="49"/>
      <c r="AV842" s="49"/>
      <c r="AW842" s="49"/>
      <c r="AX842" s="49"/>
      <c r="AY842" s="49"/>
      <c r="AZ842" s="49"/>
      <c r="BA842" s="49"/>
      <c r="BB842" s="49"/>
      <c r="BC842" s="49"/>
      <c r="BD842" s="49"/>
      <c r="BE842" s="49"/>
      <c r="BF842" s="68"/>
    </row>
    <row r="843" spans="1:58" s="51" customFormat="1" ht="15.75" customHeight="1">
      <c r="A843" s="795"/>
      <c r="B843" s="872"/>
      <c r="C843" s="882"/>
      <c r="D843" s="62">
        <v>2023</v>
      </c>
      <c r="E843" s="63">
        <f t="shared" si="310"/>
        <v>3.5000000000000003E-2</v>
      </c>
      <c r="F843" s="63">
        <v>3.5000000000000003E-2</v>
      </c>
      <c r="G843" s="63">
        <v>0</v>
      </c>
      <c r="H843" s="63">
        <v>0</v>
      </c>
      <c r="I843" s="63">
        <v>0</v>
      </c>
      <c r="J843" s="63">
        <v>0</v>
      </c>
      <c r="K843" s="76">
        <v>0</v>
      </c>
      <c r="L843" s="497">
        <f t="shared" si="311"/>
        <v>3.5000000000000003E-2</v>
      </c>
      <c r="M843" s="185"/>
      <c r="N843" s="88"/>
      <c r="O843" s="301"/>
      <c r="P843" s="1016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  <c r="AO843" s="49"/>
      <c r="AP843" s="49"/>
      <c r="AQ843" s="49"/>
      <c r="AR843" s="49"/>
      <c r="AS843" s="49"/>
      <c r="AT843" s="49"/>
      <c r="AU843" s="49"/>
      <c r="AV843" s="49"/>
      <c r="AW843" s="49"/>
      <c r="AX843" s="49"/>
      <c r="AY843" s="49"/>
      <c r="AZ843" s="49"/>
      <c r="BA843" s="49"/>
      <c r="BB843" s="49"/>
      <c r="BC843" s="49"/>
      <c r="BD843" s="49"/>
      <c r="BE843" s="49"/>
      <c r="BF843" s="68"/>
    </row>
    <row r="844" spans="1:58" s="51" customFormat="1" ht="16.5" customHeight="1">
      <c r="A844" s="795"/>
      <c r="B844" s="872"/>
      <c r="C844" s="882"/>
      <c r="D844" s="62">
        <v>2024</v>
      </c>
      <c r="E844" s="63">
        <f t="shared" si="310"/>
        <v>7.1800000000000003E-2</v>
      </c>
      <c r="F844" s="63">
        <f>71.8/1000</f>
        <v>7.1800000000000003E-2</v>
      </c>
      <c r="G844" s="63">
        <v>0</v>
      </c>
      <c r="H844" s="63">
        <v>0</v>
      </c>
      <c r="I844" s="63">
        <v>0</v>
      </c>
      <c r="J844" s="63">
        <v>0</v>
      </c>
      <c r="K844" s="76">
        <v>0</v>
      </c>
      <c r="L844" s="497">
        <f t="shared" si="311"/>
        <v>7.1800000000000003E-2</v>
      </c>
      <c r="M844" s="185"/>
      <c r="N844" s="88"/>
      <c r="O844" s="301"/>
      <c r="P844" s="1016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  <c r="AO844" s="49"/>
      <c r="AP844" s="49"/>
      <c r="AQ844" s="49"/>
      <c r="AR844" s="49"/>
      <c r="AS844" s="49"/>
      <c r="AT844" s="49"/>
      <c r="AU844" s="49"/>
      <c r="AV844" s="49"/>
      <c r="AW844" s="49"/>
      <c r="AX844" s="49"/>
      <c r="AY844" s="49"/>
      <c r="AZ844" s="49"/>
      <c r="BA844" s="49"/>
      <c r="BB844" s="49"/>
      <c r="BC844" s="49"/>
      <c r="BD844" s="49"/>
      <c r="BE844" s="49"/>
      <c r="BF844" s="68"/>
    </row>
    <row r="845" spans="1:58" s="51" customFormat="1" ht="15.75" customHeight="1">
      <c r="A845" s="795"/>
      <c r="B845" s="872"/>
      <c r="C845" s="964"/>
      <c r="D845" s="62">
        <v>2025</v>
      </c>
      <c r="E845" s="63">
        <f t="shared" si="310"/>
        <v>7.3669999999999999E-2</v>
      </c>
      <c r="F845" s="63">
        <f>73.67/1000</f>
        <v>7.3669999999999999E-2</v>
      </c>
      <c r="G845" s="63">
        <v>0</v>
      </c>
      <c r="H845" s="63">
        <v>0</v>
      </c>
      <c r="I845" s="63">
        <v>0</v>
      </c>
      <c r="J845" s="63">
        <v>0</v>
      </c>
      <c r="K845" s="76">
        <v>0</v>
      </c>
      <c r="L845" s="497">
        <f t="shared" si="311"/>
        <v>7.3669999999999999E-2</v>
      </c>
      <c r="M845" s="185"/>
      <c r="N845" s="88"/>
      <c r="O845" s="301"/>
      <c r="P845" s="1016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  <c r="AR845" s="49"/>
      <c r="AS845" s="49"/>
      <c r="AT845" s="49"/>
      <c r="AU845" s="49"/>
      <c r="AV845" s="49"/>
      <c r="AW845" s="49"/>
      <c r="AX845" s="49"/>
      <c r="AY845" s="49"/>
      <c r="AZ845" s="49"/>
      <c r="BA845" s="49"/>
      <c r="BB845" s="49"/>
      <c r="BC845" s="49"/>
      <c r="BD845" s="49"/>
      <c r="BE845" s="49"/>
      <c r="BF845" s="68"/>
    </row>
    <row r="846" spans="1:58" s="51" customFormat="1" ht="19.5" customHeight="1">
      <c r="A846" s="795"/>
      <c r="B846" s="872"/>
      <c r="C846" s="881" t="s">
        <v>876</v>
      </c>
      <c r="D846" s="62">
        <v>2026</v>
      </c>
      <c r="E846" s="63">
        <f t="shared" si="310"/>
        <v>7.6616799999999999E-2</v>
      </c>
      <c r="F846" s="63">
        <f>F845*1.04</f>
        <v>7.6616799999999999E-2</v>
      </c>
      <c r="G846" s="63">
        <v>0</v>
      </c>
      <c r="H846" s="63">
        <v>0</v>
      </c>
      <c r="I846" s="63">
        <v>0</v>
      </c>
      <c r="J846" s="63">
        <v>0</v>
      </c>
      <c r="K846" s="76">
        <v>0</v>
      </c>
      <c r="L846" s="497">
        <f t="shared" si="311"/>
        <v>7.6616799999999999E-2</v>
      </c>
      <c r="M846" s="185"/>
      <c r="N846" s="88"/>
      <c r="O846" s="301"/>
      <c r="P846" s="1016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  <c r="AR846" s="49"/>
      <c r="AS846" s="49"/>
      <c r="AT846" s="49"/>
      <c r="AU846" s="49"/>
      <c r="AV846" s="49"/>
      <c r="AW846" s="49"/>
      <c r="AX846" s="49"/>
      <c r="AY846" s="49"/>
      <c r="AZ846" s="49"/>
      <c r="BA846" s="49"/>
      <c r="BB846" s="49"/>
      <c r="BC846" s="49"/>
      <c r="BD846" s="49"/>
      <c r="BE846" s="49"/>
      <c r="BF846" s="68"/>
    </row>
    <row r="847" spans="1:58" s="51" customFormat="1" ht="19.5" customHeight="1">
      <c r="A847" s="795"/>
      <c r="B847" s="872"/>
      <c r="C847" s="882"/>
      <c r="D847" s="62">
        <v>2027</v>
      </c>
      <c r="E847" s="63">
        <f t="shared" si="310"/>
        <v>7.9681472000000003E-2</v>
      </c>
      <c r="F847" s="63">
        <f>F846*1.04</f>
        <v>7.9681472000000003E-2</v>
      </c>
      <c r="G847" s="63">
        <v>0</v>
      </c>
      <c r="H847" s="63">
        <v>0</v>
      </c>
      <c r="I847" s="63">
        <v>0</v>
      </c>
      <c r="J847" s="63">
        <v>0</v>
      </c>
      <c r="K847" s="76">
        <v>0</v>
      </c>
      <c r="L847" s="497">
        <f t="shared" si="311"/>
        <v>7.9681472000000003E-2</v>
      </c>
      <c r="M847" s="185"/>
      <c r="N847" s="88"/>
      <c r="O847" s="301"/>
      <c r="P847" s="1016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  <c r="AO847" s="49"/>
      <c r="AP847" s="49"/>
      <c r="AQ847" s="49"/>
      <c r="AR847" s="49"/>
      <c r="AS847" s="49"/>
      <c r="AT847" s="49"/>
      <c r="AU847" s="49"/>
      <c r="AV847" s="49"/>
      <c r="AW847" s="49"/>
      <c r="AX847" s="49"/>
      <c r="AY847" s="49"/>
      <c r="AZ847" s="49"/>
      <c r="BA847" s="49"/>
      <c r="BB847" s="49"/>
      <c r="BC847" s="49"/>
      <c r="BD847" s="49"/>
      <c r="BE847" s="49"/>
      <c r="BF847" s="68"/>
    </row>
    <row r="848" spans="1:58" s="51" customFormat="1" ht="19.5" customHeight="1">
      <c r="A848" s="795"/>
      <c r="B848" s="872"/>
      <c r="C848" s="882"/>
      <c r="D848" s="62">
        <v>2028</v>
      </c>
      <c r="E848" s="63">
        <f t="shared" si="310"/>
        <v>8.2868730880000005E-2</v>
      </c>
      <c r="F848" s="63">
        <f>F847*1.04</f>
        <v>8.2868730880000005E-2</v>
      </c>
      <c r="G848" s="63">
        <v>0</v>
      </c>
      <c r="H848" s="63">
        <v>0</v>
      </c>
      <c r="I848" s="63">
        <v>0</v>
      </c>
      <c r="J848" s="63">
        <v>0</v>
      </c>
      <c r="K848" s="76">
        <v>0</v>
      </c>
      <c r="L848" s="497">
        <f t="shared" si="311"/>
        <v>8.2868730880000005E-2</v>
      </c>
      <c r="M848" s="185"/>
      <c r="N848" s="88"/>
      <c r="O848" s="301"/>
      <c r="P848" s="1016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  <c r="AO848" s="49"/>
      <c r="AP848" s="49"/>
      <c r="AQ848" s="49"/>
      <c r="AR848" s="49"/>
      <c r="AS848" s="49"/>
      <c r="AT848" s="49"/>
      <c r="AU848" s="49"/>
      <c r="AV848" s="49"/>
      <c r="AW848" s="49"/>
      <c r="AX848" s="49"/>
      <c r="AY848" s="49"/>
      <c r="AZ848" s="49"/>
      <c r="BA848" s="49"/>
      <c r="BB848" s="49"/>
      <c r="BC848" s="49"/>
      <c r="BD848" s="49"/>
      <c r="BE848" s="49"/>
      <c r="BF848" s="68"/>
    </row>
    <row r="849" spans="1:58" s="51" customFormat="1" ht="19.5" customHeight="1">
      <c r="A849" s="795"/>
      <c r="B849" s="872"/>
      <c r="C849" s="882"/>
      <c r="D849" s="62">
        <v>2029</v>
      </c>
      <c r="E849" s="63">
        <f t="shared" si="310"/>
        <v>8.6183480115200009E-2</v>
      </c>
      <c r="F849" s="63">
        <f>F848*1.04</f>
        <v>8.6183480115200009E-2</v>
      </c>
      <c r="G849" s="63">
        <v>0</v>
      </c>
      <c r="H849" s="63">
        <v>0</v>
      </c>
      <c r="I849" s="63">
        <v>0</v>
      </c>
      <c r="J849" s="63">
        <v>0</v>
      </c>
      <c r="K849" s="76">
        <v>0</v>
      </c>
      <c r="L849" s="497">
        <f t="shared" si="311"/>
        <v>8.6183480115200009E-2</v>
      </c>
      <c r="M849" s="185"/>
      <c r="N849" s="88"/>
      <c r="O849" s="301"/>
      <c r="P849" s="1016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  <c r="AR849" s="49"/>
      <c r="AS849" s="49"/>
      <c r="AT849" s="49"/>
      <c r="AU849" s="49"/>
      <c r="AV849" s="49"/>
      <c r="AW849" s="49"/>
      <c r="AX849" s="49"/>
      <c r="AY849" s="49"/>
      <c r="AZ849" s="49"/>
      <c r="BA849" s="49"/>
      <c r="BB849" s="49"/>
      <c r="BC849" s="49"/>
      <c r="BD849" s="49"/>
      <c r="BE849" s="49"/>
      <c r="BF849" s="68"/>
    </row>
    <row r="850" spans="1:58" s="51" customFormat="1" ht="19.5" customHeight="1">
      <c r="A850" s="796"/>
      <c r="B850" s="873"/>
      <c r="C850" s="964"/>
      <c r="D850" s="62">
        <v>2030</v>
      </c>
      <c r="E850" s="63">
        <f t="shared" si="310"/>
        <v>8.9630819319808014E-2</v>
      </c>
      <c r="F850" s="63">
        <f>F849*1.04</f>
        <v>8.9630819319808014E-2</v>
      </c>
      <c r="G850" s="63">
        <v>0</v>
      </c>
      <c r="H850" s="63">
        <v>0</v>
      </c>
      <c r="I850" s="63">
        <v>0</v>
      </c>
      <c r="J850" s="63">
        <v>0</v>
      </c>
      <c r="K850" s="76">
        <v>0</v>
      </c>
      <c r="L850" s="497">
        <f t="shared" si="311"/>
        <v>8.9630819319808014E-2</v>
      </c>
      <c r="M850" s="185"/>
      <c r="N850" s="88"/>
      <c r="O850" s="301"/>
      <c r="P850" s="843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68"/>
    </row>
    <row r="851" spans="1:58" s="51" customFormat="1" ht="19.5" customHeight="1">
      <c r="A851" s="794" t="s">
        <v>1298</v>
      </c>
      <c r="B851" s="881" t="s">
        <v>1299</v>
      </c>
      <c r="C851" s="881" t="s">
        <v>875</v>
      </c>
      <c r="D851" s="84" t="s">
        <v>16</v>
      </c>
      <c r="E851" s="85">
        <f t="shared" ref="E851:J851" si="312">E852+E853+E854+E855+E856</f>
        <v>8.3900000000000002E-2</v>
      </c>
      <c r="F851" s="85">
        <f t="shared" si="312"/>
        <v>8.3900000000000002E-2</v>
      </c>
      <c r="G851" s="85">
        <f t="shared" si="312"/>
        <v>0</v>
      </c>
      <c r="H851" s="85">
        <f t="shared" si="312"/>
        <v>0</v>
      </c>
      <c r="I851" s="85">
        <f t="shared" si="312"/>
        <v>0</v>
      </c>
      <c r="J851" s="85">
        <f t="shared" si="312"/>
        <v>0</v>
      </c>
      <c r="K851" s="76">
        <v>0</v>
      </c>
      <c r="L851" s="497">
        <f t="shared" si="311"/>
        <v>8.3900000000000002E-2</v>
      </c>
      <c r="M851" s="185"/>
      <c r="N851" s="88"/>
      <c r="O851" s="301"/>
      <c r="P851" s="332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68"/>
    </row>
    <row r="852" spans="1:58" s="51" customFormat="1" ht="19.5" customHeight="1">
      <c r="A852" s="795"/>
      <c r="B852" s="882"/>
      <c r="C852" s="882"/>
      <c r="D852" s="62">
        <v>2021</v>
      </c>
      <c r="E852" s="63">
        <f>F852+G852+H852+I852+J852</f>
        <v>0.02</v>
      </c>
      <c r="F852" s="63">
        <v>0.02</v>
      </c>
      <c r="G852" s="63">
        <v>0</v>
      </c>
      <c r="H852" s="63">
        <v>0</v>
      </c>
      <c r="I852" s="63">
        <v>0</v>
      </c>
      <c r="J852" s="63">
        <v>0</v>
      </c>
      <c r="K852" s="76">
        <v>0</v>
      </c>
      <c r="L852" s="497">
        <f t="shared" si="311"/>
        <v>0.02</v>
      </c>
      <c r="M852" s="185"/>
      <c r="N852" s="88"/>
      <c r="O852" s="301"/>
      <c r="P852" s="332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  <c r="AO852" s="49"/>
      <c r="AP852" s="49"/>
      <c r="AQ852" s="49"/>
      <c r="AR852" s="49"/>
      <c r="AS852" s="49"/>
      <c r="AT852" s="49"/>
      <c r="AU852" s="49"/>
      <c r="AV852" s="49"/>
      <c r="AW852" s="49"/>
      <c r="AX852" s="49"/>
      <c r="AY852" s="49"/>
      <c r="AZ852" s="49"/>
      <c r="BA852" s="49"/>
      <c r="BB852" s="49"/>
      <c r="BC852" s="49"/>
      <c r="BD852" s="49"/>
      <c r="BE852" s="49"/>
      <c r="BF852" s="68"/>
    </row>
    <row r="853" spans="1:58" s="51" customFormat="1" ht="19.5" customHeight="1">
      <c r="A853" s="795"/>
      <c r="B853" s="882"/>
      <c r="C853" s="882"/>
      <c r="D853" s="62">
        <v>2022</v>
      </c>
      <c r="E853" s="63">
        <f>F853+G853+H853+I853+J853</f>
        <v>0.02</v>
      </c>
      <c r="F853" s="63">
        <v>0.02</v>
      </c>
      <c r="G853" s="63">
        <v>0</v>
      </c>
      <c r="H853" s="63">
        <v>0</v>
      </c>
      <c r="I853" s="63">
        <v>0</v>
      </c>
      <c r="J853" s="63">
        <v>0</v>
      </c>
      <c r="K853" s="76">
        <v>0</v>
      </c>
      <c r="L853" s="497">
        <f t="shared" si="311"/>
        <v>0.02</v>
      </c>
      <c r="M853" s="185"/>
      <c r="N853" s="88"/>
      <c r="O853" s="301"/>
      <c r="P853" s="332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  <c r="AR853" s="49"/>
      <c r="AS853" s="49"/>
      <c r="AT853" s="49"/>
      <c r="AU853" s="49"/>
      <c r="AV853" s="49"/>
      <c r="AW853" s="49"/>
      <c r="AX853" s="49"/>
      <c r="AY853" s="49"/>
      <c r="AZ853" s="49"/>
      <c r="BA853" s="49"/>
      <c r="BB853" s="49"/>
      <c r="BC853" s="49"/>
      <c r="BD853" s="49"/>
      <c r="BE853" s="49"/>
      <c r="BF853" s="68"/>
    </row>
    <row r="854" spans="1:58" s="51" customFormat="1" ht="19.5" customHeight="1">
      <c r="A854" s="795"/>
      <c r="B854" s="882"/>
      <c r="C854" s="882"/>
      <c r="D854" s="62">
        <v>2023</v>
      </c>
      <c r="E854" s="63">
        <f>F854+G854+H854+I854+J854</f>
        <v>0.02</v>
      </c>
      <c r="F854" s="63">
        <v>0.02</v>
      </c>
      <c r="G854" s="63">
        <v>0</v>
      </c>
      <c r="H854" s="63">
        <v>0</v>
      </c>
      <c r="I854" s="63">
        <v>0</v>
      </c>
      <c r="J854" s="63">
        <v>0</v>
      </c>
      <c r="K854" s="76">
        <v>0</v>
      </c>
      <c r="L854" s="497">
        <f t="shared" si="311"/>
        <v>0.02</v>
      </c>
      <c r="M854" s="185"/>
      <c r="N854" s="88"/>
      <c r="O854" s="301"/>
      <c r="P854" s="332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  <c r="AO854" s="49"/>
      <c r="AP854" s="49"/>
      <c r="AQ854" s="49"/>
      <c r="AR854" s="49"/>
      <c r="AS854" s="49"/>
      <c r="AT854" s="49"/>
      <c r="AU854" s="49"/>
      <c r="AV854" s="49"/>
      <c r="AW854" s="49"/>
      <c r="AX854" s="49"/>
      <c r="AY854" s="49"/>
      <c r="AZ854" s="49"/>
      <c r="BA854" s="49"/>
      <c r="BB854" s="49"/>
      <c r="BC854" s="49"/>
      <c r="BD854" s="49"/>
      <c r="BE854" s="49"/>
      <c r="BF854" s="68"/>
    </row>
    <row r="855" spans="1:58" s="51" customFormat="1" ht="19.5" customHeight="1">
      <c r="A855" s="795"/>
      <c r="B855" s="882"/>
      <c r="C855" s="882"/>
      <c r="D855" s="62">
        <v>2024</v>
      </c>
      <c r="E855" s="63">
        <f>F855+G855+H855+I855+J855</f>
        <v>1.17E-2</v>
      </c>
      <c r="F855" s="63">
        <v>1.17E-2</v>
      </c>
      <c r="G855" s="63">
        <v>0</v>
      </c>
      <c r="H855" s="63">
        <v>0</v>
      </c>
      <c r="I855" s="63">
        <v>0</v>
      </c>
      <c r="J855" s="63">
        <v>0</v>
      </c>
      <c r="K855" s="76">
        <v>0</v>
      </c>
      <c r="L855" s="497">
        <f t="shared" si="311"/>
        <v>1.17E-2</v>
      </c>
      <c r="M855" s="185"/>
      <c r="N855" s="88"/>
      <c r="O855" s="301"/>
      <c r="P855" s="332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  <c r="AO855" s="49"/>
      <c r="AP855" s="49"/>
      <c r="AQ855" s="49"/>
      <c r="AR855" s="49"/>
      <c r="AS855" s="49"/>
      <c r="AT855" s="49"/>
      <c r="AU855" s="49"/>
      <c r="AV855" s="49"/>
      <c r="AW855" s="49"/>
      <c r="AX855" s="49"/>
      <c r="AY855" s="49"/>
      <c r="AZ855" s="49"/>
      <c r="BA855" s="49"/>
      <c r="BB855" s="49"/>
      <c r="BC855" s="49"/>
      <c r="BD855" s="49"/>
      <c r="BE855" s="49"/>
      <c r="BF855" s="68"/>
    </row>
    <row r="856" spans="1:58" s="51" customFormat="1" ht="19.5" customHeight="1">
      <c r="A856" s="795"/>
      <c r="B856" s="882"/>
      <c r="C856" s="964"/>
      <c r="D856" s="62">
        <v>2025</v>
      </c>
      <c r="E856" s="63">
        <f>F856+G856+H856+I856+J856</f>
        <v>1.2200000000000001E-2</v>
      </c>
      <c r="F856" s="63">
        <v>1.2200000000000001E-2</v>
      </c>
      <c r="G856" s="63">
        <v>0</v>
      </c>
      <c r="H856" s="63">
        <v>0</v>
      </c>
      <c r="I856" s="63">
        <v>0</v>
      </c>
      <c r="J856" s="63">
        <v>0</v>
      </c>
      <c r="K856" s="76">
        <v>0</v>
      </c>
      <c r="L856" s="497">
        <f t="shared" si="311"/>
        <v>1.2200000000000001E-2</v>
      </c>
      <c r="M856" s="185"/>
      <c r="N856" s="88"/>
      <c r="O856" s="301"/>
      <c r="P856" s="332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  <c r="AO856" s="49"/>
      <c r="AP856" s="49"/>
      <c r="AQ856" s="49"/>
      <c r="AR856" s="49"/>
      <c r="AS856" s="49"/>
      <c r="AT856" s="49"/>
      <c r="AU856" s="49"/>
      <c r="AV856" s="49"/>
      <c r="AW856" s="49"/>
      <c r="AX856" s="49"/>
      <c r="AY856" s="49"/>
      <c r="AZ856" s="49"/>
      <c r="BA856" s="49"/>
      <c r="BB856" s="49"/>
      <c r="BC856" s="49"/>
      <c r="BD856" s="49"/>
      <c r="BE856" s="49"/>
      <c r="BF856" s="68"/>
    </row>
    <row r="857" spans="1:58" s="51" customFormat="1" ht="19.5" customHeight="1">
      <c r="A857" s="795"/>
      <c r="B857" s="882"/>
      <c r="C857" s="881" t="s">
        <v>876</v>
      </c>
      <c r="D857" s="62">
        <v>2026</v>
      </c>
      <c r="E857" s="63">
        <f>F857</f>
        <v>1.2688000000000001E-2</v>
      </c>
      <c r="F857" s="63">
        <f>F856*1.04</f>
        <v>1.2688000000000001E-2</v>
      </c>
      <c r="G857" s="63">
        <v>0</v>
      </c>
      <c r="H857" s="63">
        <v>0</v>
      </c>
      <c r="I857" s="63">
        <v>0</v>
      </c>
      <c r="J857" s="63">
        <v>0</v>
      </c>
      <c r="K857" s="76">
        <v>0</v>
      </c>
      <c r="L857" s="497">
        <f t="shared" si="311"/>
        <v>1.2688000000000001E-2</v>
      </c>
      <c r="M857" s="185"/>
      <c r="N857" s="88"/>
      <c r="O857" s="301"/>
      <c r="P857" s="332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  <c r="AR857" s="49"/>
      <c r="AS857" s="49"/>
      <c r="AT857" s="49"/>
      <c r="AU857" s="49"/>
      <c r="AV857" s="49"/>
      <c r="AW857" s="49"/>
      <c r="AX857" s="49"/>
      <c r="AY857" s="49"/>
      <c r="AZ857" s="49"/>
      <c r="BA857" s="49"/>
      <c r="BB857" s="49"/>
      <c r="BC857" s="49"/>
      <c r="BD857" s="49"/>
      <c r="BE857" s="49"/>
      <c r="BF857" s="68"/>
    </row>
    <row r="858" spans="1:58" s="51" customFormat="1" ht="19.5" customHeight="1">
      <c r="A858" s="795"/>
      <c r="B858" s="882"/>
      <c r="C858" s="882"/>
      <c r="D858" s="62">
        <v>2027</v>
      </c>
      <c r="E858" s="63">
        <f>F858</f>
        <v>1.3195520000000002E-2</v>
      </c>
      <c r="F858" s="63">
        <f>F857*1.04</f>
        <v>1.3195520000000002E-2</v>
      </c>
      <c r="G858" s="63">
        <v>0</v>
      </c>
      <c r="H858" s="63">
        <v>0</v>
      </c>
      <c r="I858" s="63">
        <v>0</v>
      </c>
      <c r="J858" s="63">
        <v>0</v>
      </c>
      <c r="K858" s="76">
        <v>0</v>
      </c>
      <c r="L858" s="497">
        <f t="shared" si="311"/>
        <v>1.3195520000000002E-2</v>
      </c>
      <c r="M858" s="185"/>
      <c r="N858" s="88"/>
      <c r="O858" s="301"/>
      <c r="P858" s="332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  <c r="AO858" s="49"/>
      <c r="AP858" s="49"/>
      <c r="AQ858" s="49"/>
      <c r="AR858" s="49"/>
      <c r="AS858" s="49"/>
      <c r="AT858" s="49"/>
      <c r="AU858" s="49"/>
      <c r="AV858" s="49"/>
      <c r="AW858" s="49"/>
      <c r="AX858" s="49"/>
      <c r="AY858" s="49"/>
      <c r="AZ858" s="49"/>
      <c r="BA858" s="49"/>
      <c r="BB858" s="49"/>
      <c r="BC858" s="49"/>
      <c r="BD858" s="49"/>
      <c r="BE858" s="49"/>
      <c r="BF858" s="68"/>
    </row>
    <row r="859" spans="1:58" s="51" customFormat="1" ht="19.5" customHeight="1">
      <c r="A859" s="795"/>
      <c r="B859" s="882"/>
      <c r="C859" s="882"/>
      <c r="D859" s="62">
        <v>2028</v>
      </c>
      <c r="E859" s="63">
        <f>F859</f>
        <v>1.3723340800000003E-2</v>
      </c>
      <c r="F859" s="63">
        <f>F858*1.04</f>
        <v>1.3723340800000003E-2</v>
      </c>
      <c r="G859" s="63">
        <v>0</v>
      </c>
      <c r="H859" s="63">
        <v>0</v>
      </c>
      <c r="I859" s="63">
        <v>0</v>
      </c>
      <c r="J859" s="63">
        <v>0</v>
      </c>
      <c r="K859" s="76">
        <v>0</v>
      </c>
      <c r="L859" s="497">
        <f t="shared" si="311"/>
        <v>1.3723340800000003E-2</v>
      </c>
      <c r="M859" s="185"/>
      <c r="N859" s="88"/>
      <c r="O859" s="301"/>
      <c r="P859" s="332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  <c r="AO859" s="49"/>
      <c r="AP859" s="49"/>
      <c r="AQ859" s="49"/>
      <c r="AR859" s="49"/>
      <c r="AS859" s="49"/>
      <c r="AT859" s="49"/>
      <c r="AU859" s="49"/>
      <c r="AV859" s="49"/>
      <c r="AW859" s="49"/>
      <c r="AX859" s="49"/>
      <c r="AY859" s="49"/>
      <c r="AZ859" s="49"/>
      <c r="BA859" s="49"/>
      <c r="BB859" s="49"/>
      <c r="BC859" s="49"/>
      <c r="BD859" s="49"/>
      <c r="BE859" s="49"/>
      <c r="BF859" s="68"/>
    </row>
    <row r="860" spans="1:58" s="51" customFormat="1" ht="19.5" customHeight="1">
      <c r="A860" s="795"/>
      <c r="B860" s="882"/>
      <c r="C860" s="882"/>
      <c r="D860" s="62">
        <v>2029</v>
      </c>
      <c r="E860" s="63">
        <f>F860</f>
        <v>1.4272274432000003E-2</v>
      </c>
      <c r="F860" s="63">
        <f>F859*1.04</f>
        <v>1.4272274432000003E-2</v>
      </c>
      <c r="G860" s="63">
        <v>0</v>
      </c>
      <c r="H860" s="63">
        <v>0</v>
      </c>
      <c r="I860" s="63">
        <v>0</v>
      </c>
      <c r="J860" s="63">
        <v>0</v>
      </c>
      <c r="K860" s="76">
        <v>0</v>
      </c>
      <c r="L860" s="497">
        <f t="shared" si="311"/>
        <v>1.4272274432000003E-2</v>
      </c>
      <c r="M860" s="185"/>
      <c r="N860" s="88"/>
      <c r="O860" s="301"/>
      <c r="P860" s="332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  <c r="AR860" s="49"/>
      <c r="AS860" s="49"/>
      <c r="AT860" s="49"/>
      <c r="AU860" s="49"/>
      <c r="AV860" s="49"/>
      <c r="AW860" s="49"/>
      <c r="AX860" s="49"/>
      <c r="AY860" s="49"/>
      <c r="AZ860" s="49"/>
      <c r="BA860" s="49"/>
      <c r="BB860" s="49"/>
      <c r="BC860" s="49"/>
      <c r="BD860" s="49"/>
      <c r="BE860" s="49"/>
      <c r="BF860" s="68"/>
    </row>
    <row r="861" spans="1:58" s="51" customFormat="1" ht="19.5" customHeight="1">
      <c r="A861" s="796"/>
      <c r="B861" s="964"/>
      <c r="C861" s="964"/>
      <c r="D861" s="62">
        <v>2030</v>
      </c>
      <c r="E861" s="63">
        <f>F861</f>
        <v>1.4843165409280004E-2</v>
      </c>
      <c r="F861" s="63">
        <f>F860*1.04</f>
        <v>1.4843165409280004E-2</v>
      </c>
      <c r="G861" s="63">
        <v>0</v>
      </c>
      <c r="H861" s="63">
        <v>0</v>
      </c>
      <c r="I861" s="63">
        <v>0</v>
      </c>
      <c r="J861" s="63">
        <v>0</v>
      </c>
      <c r="K861" s="76">
        <v>0</v>
      </c>
      <c r="L861" s="497">
        <f t="shared" si="311"/>
        <v>1.4843165409280004E-2</v>
      </c>
      <c r="M861" s="185"/>
      <c r="N861" s="88"/>
      <c r="O861" s="301"/>
      <c r="P861" s="332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  <c r="AR861" s="49"/>
      <c r="AS861" s="49"/>
      <c r="AT861" s="49"/>
      <c r="AU861" s="49"/>
      <c r="AV861" s="49"/>
      <c r="AW861" s="49"/>
      <c r="AX861" s="49"/>
      <c r="AY861" s="49"/>
      <c r="AZ861" s="49"/>
      <c r="BA861" s="49"/>
      <c r="BB861" s="49"/>
      <c r="BC861" s="49"/>
      <c r="BD861" s="49"/>
      <c r="BE861" s="49"/>
      <c r="BF861" s="68"/>
    </row>
    <row r="862" spans="1:58" s="367" customFormat="1" ht="15.75">
      <c r="A862" s="1128" t="s">
        <v>1300</v>
      </c>
      <c r="B862" s="929" t="s">
        <v>177</v>
      </c>
      <c r="C862" s="1000"/>
      <c r="D862" s="84" t="s">
        <v>16</v>
      </c>
      <c r="E862" s="136">
        <f t="shared" ref="E862:J862" si="313">E863+E864+E865+E866+E867+E868+E869+E870+E871</f>
        <v>330.416</v>
      </c>
      <c r="F862" s="136">
        <f t="shared" si="313"/>
        <v>0</v>
      </c>
      <c r="G862" s="136">
        <f t="shared" si="313"/>
        <v>0</v>
      </c>
      <c r="H862" s="136">
        <f t="shared" si="313"/>
        <v>182.30799999999999</v>
      </c>
      <c r="I862" s="136">
        <f t="shared" si="313"/>
        <v>148.108</v>
      </c>
      <c r="J862" s="313">
        <f t="shared" si="313"/>
        <v>0</v>
      </c>
      <c r="K862" s="76">
        <v>0</v>
      </c>
      <c r="L862" s="497">
        <f t="shared" si="311"/>
        <v>330.416</v>
      </c>
      <c r="M862" s="347"/>
      <c r="N862" s="136"/>
      <c r="O862" s="399"/>
      <c r="P862" s="477"/>
      <c r="Q862" s="368"/>
      <c r="R862" s="368"/>
      <c r="S862" s="368"/>
      <c r="T862" s="368"/>
      <c r="U862" s="368"/>
      <c r="V862" s="368"/>
      <c r="W862" s="368"/>
      <c r="X862" s="368"/>
      <c r="Y862" s="368"/>
      <c r="Z862" s="368"/>
      <c r="AA862" s="368"/>
      <c r="AB862" s="368"/>
      <c r="AC862" s="368"/>
      <c r="AD862" s="368"/>
      <c r="AE862" s="368"/>
      <c r="AF862" s="368"/>
      <c r="AG862" s="368"/>
      <c r="AH862" s="368"/>
      <c r="AI862" s="368"/>
      <c r="AJ862" s="368"/>
      <c r="AK862" s="368"/>
      <c r="AL862" s="368"/>
      <c r="AM862" s="368"/>
      <c r="AN862" s="368"/>
      <c r="AO862" s="368"/>
      <c r="AP862" s="368"/>
      <c r="AQ862" s="368"/>
      <c r="AR862" s="368"/>
      <c r="AS862" s="368"/>
      <c r="AT862" s="368"/>
      <c r="AU862" s="368"/>
      <c r="AV862" s="368"/>
      <c r="AW862" s="368"/>
      <c r="AX862" s="368"/>
      <c r="AY862" s="368"/>
      <c r="AZ862" s="368"/>
      <c r="BA862" s="368"/>
      <c r="BB862" s="368"/>
      <c r="BC862" s="368"/>
      <c r="BD862" s="368"/>
      <c r="BE862" s="368"/>
      <c r="BF862" s="369"/>
    </row>
    <row r="863" spans="1:58" s="367" customFormat="1" ht="15.75">
      <c r="A863" s="1129"/>
      <c r="B863" s="868"/>
      <c r="C863" s="1125"/>
      <c r="D863" s="84">
        <v>2019</v>
      </c>
      <c r="E863" s="85">
        <f t="shared" ref="E863:J863" si="314">E890</f>
        <v>10</v>
      </c>
      <c r="F863" s="85">
        <f t="shared" si="314"/>
        <v>0</v>
      </c>
      <c r="G863" s="85">
        <f t="shared" si="314"/>
        <v>0</v>
      </c>
      <c r="H863" s="85">
        <f t="shared" si="314"/>
        <v>6</v>
      </c>
      <c r="I863" s="85">
        <f t="shared" si="314"/>
        <v>4</v>
      </c>
      <c r="J863" s="85">
        <f t="shared" si="314"/>
        <v>0</v>
      </c>
      <c r="K863" s="76">
        <v>0</v>
      </c>
      <c r="L863" s="497">
        <f t="shared" si="311"/>
        <v>10</v>
      </c>
      <c r="M863" s="347"/>
      <c r="N863" s="136"/>
      <c r="O863" s="399"/>
      <c r="P863" s="477"/>
      <c r="Q863" s="368"/>
      <c r="R863" s="368"/>
      <c r="S863" s="368"/>
      <c r="T863" s="368"/>
      <c r="U863" s="368"/>
      <c r="V863" s="368"/>
      <c r="W863" s="368"/>
      <c r="X863" s="368"/>
      <c r="Y863" s="368"/>
      <c r="Z863" s="368"/>
      <c r="AA863" s="368"/>
      <c r="AB863" s="368"/>
      <c r="AC863" s="368"/>
      <c r="AD863" s="368"/>
      <c r="AE863" s="368"/>
      <c r="AF863" s="368"/>
      <c r="AG863" s="368"/>
      <c r="AH863" s="368"/>
      <c r="AI863" s="368"/>
      <c r="AJ863" s="368"/>
      <c r="AK863" s="368"/>
      <c r="AL863" s="368"/>
      <c r="AM863" s="368"/>
      <c r="AN863" s="368"/>
      <c r="AO863" s="368"/>
      <c r="AP863" s="368"/>
      <c r="AQ863" s="368"/>
      <c r="AR863" s="368"/>
      <c r="AS863" s="368"/>
      <c r="AT863" s="368"/>
      <c r="AU863" s="368"/>
      <c r="AV863" s="368"/>
      <c r="AW863" s="368"/>
      <c r="AX863" s="368"/>
      <c r="AY863" s="368"/>
      <c r="AZ863" s="368"/>
      <c r="BA863" s="368"/>
      <c r="BB863" s="368"/>
      <c r="BC863" s="368"/>
      <c r="BD863" s="368"/>
      <c r="BE863" s="368"/>
      <c r="BF863" s="369"/>
    </row>
    <row r="864" spans="1:58" s="367" customFormat="1" ht="15.75">
      <c r="A864" s="1129"/>
      <c r="B864" s="868"/>
      <c r="C864" s="1125"/>
      <c r="D864" s="84">
        <v>2020</v>
      </c>
      <c r="E864" s="85">
        <f t="shared" ref="E864:J864" si="315">E873+E876+E881+E886+E895+E899+E903+E907+E911+E891+E901</f>
        <v>134.922</v>
      </c>
      <c r="F864" s="85">
        <f t="shared" si="315"/>
        <v>0</v>
      </c>
      <c r="G864" s="85">
        <f t="shared" si="315"/>
        <v>0</v>
      </c>
      <c r="H864" s="85">
        <f t="shared" si="315"/>
        <v>47.061</v>
      </c>
      <c r="I864" s="85">
        <f t="shared" si="315"/>
        <v>87.861000000000004</v>
      </c>
      <c r="J864" s="85">
        <f t="shared" si="315"/>
        <v>0</v>
      </c>
      <c r="K864" s="76">
        <v>0</v>
      </c>
      <c r="L864" s="497">
        <f t="shared" si="311"/>
        <v>134.922</v>
      </c>
      <c r="M864" s="347"/>
      <c r="N864" s="136"/>
      <c r="O864" s="399"/>
      <c r="P864" s="477"/>
      <c r="Q864" s="368"/>
      <c r="R864" s="368"/>
      <c r="S864" s="368"/>
      <c r="T864" s="368"/>
      <c r="U864" s="368"/>
      <c r="V864" s="368"/>
      <c r="W864" s="368"/>
      <c r="X864" s="368"/>
      <c r="Y864" s="368"/>
      <c r="Z864" s="368"/>
      <c r="AA864" s="368"/>
      <c r="AB864" s="368"/>
      <c r="AC864" s="368"/>
      <c r="AD864" s="368"/>
      <c r="AE864" s="368"/>
      <c r="AF864" s="368"/>
      <c r="AG864" s="368"/>
      <c r="AH864" s="368"/>
      <c r="AI864" s="368"/>
      <c r="AJ864" s="368"/>
      <c r="AK864" s="368"/>
      <c r="AL864" s="368"/>
      <c r="AM864" s="368"/>
      <c r="AN864" s="368"/>
      <c r="AO864" s="368"/>
      <c r="AP864" s="368"/>
      <c r="AQ864" s="368"/>
      <c r="AR864" s="368"/>
      <c r="AS864" s="368"/>
      <c r="AT864" s="368"/>
      <c r="AU864" s="368"/>
      <c r="AV864" s="368"/>
      <c r="AW864" s="368"/>
      <c r="AX864" s="368"/>
      <c r="AY864" s="368"/>
      <c r="AZ864" s="368"/>
      <c r="BA864" s="368"/>
      <c r="BB864" s="368"/>
      <c r="BC864" s="368"/>
      <c r="BD864" s="368"/>
      <c r="BE864" s="368"/>
      <c r="BF864" s="369"/>
    </row>
    <row r="865" spans="1:58" s="367" customFormat="1" ht="15.75">
      <c r="A865" s="1129"/>
      <c r="B865" s="868"/>
      <c r="C865" s="1125"/>
      <c r="D865" s="84">
        <v>2022</v>
      </c>
      <c r="E865" s="85">
        <f t="shared" ref="E865:J865" si="316">E886+E892+E897+E905+E908+E912</f>
        <v>65.635999999999996</v>
      </c>
      <c r="F865" s="85">
        <f t="shared" si="316"/>
        <v>0</v>
      </c>
      <c r="G865" s="85">
        <f t="shared" si="316"/>
        <v>0</v>
      </c>
      <c r="H865" s="85">
        <f t="shared" si="316"/>
        <v>39.317999999999998</v>
      </c>
      <c r="I865" s="85">
        <f t="shared" si="316"/>
        <v>26.318000000000001</v>
      </c>
      <c r="J865" s="85">
        <f t="shared" si="316"/>
        <v>0</v>
      </c>
      <c r="K865" s="76">
        <v>0</v>
      </c>
      <c r="L865" s="497">
        <f t="shared" si="311"/>
        <v>65.635999999999996</v>
      </c>
      <c r="M865" s="347"/>
      <c r="N865" s="136"/>
      <c r="O865" s="399"/>
      <c r="P865" s="477"/>
      <c r="Q865" s="368"/>
      <c r="R865" s="368"/>
      <c r="S865" s="368"/>
      <c r="T865" s="368"/>
      <c r="U865" s="368"/>
      <c r="V865" s="368"/>
      <c r="W865" s="368"/>
      <c r="X865" s="368"/>
      <c r="Y865" s="368"/>
      <c r="Z865" s="368"/>
      <c r="AA865" s="368"/>
      <c r="AB865" s="368"/>
      <c r="AC865" s="368"/>
      <c r="AD865" s="368"/>
      <c r="AE865" s="368"/>
      <c r="AF865" s="368"/>
      <c r="AG865" s="368"/>
      <c r="AH865" s="368"/>
      <c r="AI865" s="368"/>
      <c r="AJ865" s="368"/>
      <c r="AK865" s="368"/>
      <c r="AL865" s="368"/>
      <c r="AM865" s="368"/>
      <c r="AN865" s="368"/>
      <c r="AO865" s="368"/>
      <c r="AP865" s="368"/>
      <c r="AQ865" s="368"/>
      <c r="AR865" s="368"/>
      <c r="AS865" s="368"/>
      <c r="AT865" s="368"/>
      <c r="AU865" s="368"/>
      <c r="AV865" s="368"/>
      <c r="AW865" s="368"/>
      <c r="AX865" s="368"/>
      <c r="AY865" s="368"/>
      <c r="AZ865" s="368"/>
      <c r="BA865" s="368"/>
      <c r="BB865" s="368"/>
      <c r="BC865" s="368"/>
      <c r="BD865" s="368"/>
      <c r="BE865" s="368"/>
      <c r="BF865" s="369"/>
    </row>
    <row r="866" spans="1:58" s="367" customFormat="1" ht="15.75">
      <c r="A866" s="1129"/>
      <c r="B866" s="868"/>
      <c r="C866" s="1125"/>
      <c r="D866" s="84">
        <v>2023</v>
      </c>
      <c r="E866" s="85">
        <f t="shared" ref="E866:J866" si="317">E877+E887+E893+E913+E915+E909</f>
        <v>45.224000000000004</v>
      </c>
      <c r="F866" s="85">
        <f t="shared" si="317"/>
        <v>0</v>
      </c>
      <c r="G866" s="85">
        <f t="shared" si="317"/>
        <v>0</v>
      </c>
      <c r="H866" s="85">
        <f t="shared" si="317"/>
        <v>35.112000000000002</v>
      </c>
      <c r="I866" s="85">
        <f t="shared" si="317"/>
        <v>10.112</v>
      </c>
      <c r="J866" s="85">
        <f t="shared" si="317"/>
        <v>0</v>
      </c>
      <c r="K866" s="76">
        <v>0</v>
      </c>
      <c r="L866" s="497">
        <f t="shared" si="311"/>
        <v>45.224000000000004</v>
      </c>
      <c r="M866" s="347"/>
      <c r="N866" s="136"/>
      <c r="O866" s="399"/>
      <c r="P866" s="477"/>
      <c r="Q866" s="368"/>
      <c r="R866" s="368"/>
      <c r="S866" s="368"/>
      <c r="T866" s="368"/>
      <c r="U866" s="368"/>
      <c r="V866" s="368"/>
      <c r="W866" s="368"/>
      <c r="X866" s="368"/>
      <c r="Y866" s="368"/>
      <c r="Z866" s="368"/>
      <c r="AA866" s="368"/>
      <c r="AB866" s="368"/>
      <c r="AC866" s="368"/>
      <c r="AD866" s="368"/>
      <c r="AE866" s="368"/>
      <c r="AF866" s="368"/>
      <c r="AG866" s="368"/>
      <c r="AH866" s="368"/>
      <c r="AI866" s="368"/>
      <c r="AJ866" s="368"/>
      <c r="AK866" s="368"/>
      <c r="AL866" s="368"/>
      <c r="AM866" s="368"/>
      <c r="AN866" s="368"/>
      <c r="AO866" s="368"/>
      <c r="AP866" s="368"/>
      <c r="AQ866" s="368"/>
      <c r="AR866" s="368"/>
      <c r="AS866" s="368"/>
      <c r="AT866" s="368"/>
      <c r="AU866" s="368"/>
      <c r="AV866" s="368"/>
      <c r="AW866" s="368"/>
      <c r="AX866" s="368"/>
      <c r="AY866" s="368"/>
      <c r="AZ866" s="368"/>
      <c r="BA866" s="368"/>
      <c r="BB866" s="368"/>
      <c r="BC866" s="368"/>
      <c r="BD866" s="368"/>
      <c r="BE866" s="368"/>
      <c r="BF866" s="369"/>
    </row>
    <row r="867" spans="1:58" s="367" customFormat="1" ht="15.75">
      <c r="A867" s="1129"/>
      <c r="B867" s="868"/>
      <c r="C867" s="1125"/>
      <c r="D867" s="84">
        <v>2024</v>
      </c>
      <c r="E867" s="85">
        <f t="shared" ref="E867:J867" si="318">E888+E916+E918</f>
        <v>18.524000000000001</v>
      </c>
      <c r="F867" s="85">
        <f t="shared" si="318"/>
        <v>0</v>
      </c>
      <c r="G867" s="85">
        <f t="shared" si="318"/>
        <v>0</v>
      </c>
      <c r="H867" s="85">
        <f t="shared" si="318"/>
        <v>16.762</v>
      </c>
      <c r="I867" s="85">
        <f t="shared" si="318"/>
        <v>1.762</v>
      </c>
      <c r="J867" s="85">
        <f t="shared" si="318"/>
        <v>0</v>
      </c>
      <c r="K867" s="76">
        <v>0</v>
      </c>
      <c r="L867" s="497">
        <f t="shared" si="311"/>
        <v>18.524000000000001</v>
      </c>
      <c r="M867" s="347"/>
      <c r="N867" s="136"/>
      <c r="O867" s="399"/>
      <c r="P867" s="477"/>
      <c r="Q867" s="368"/>
      <c r="R867" s="368"/>
      <c r="S867" s="368"/>
      <c r="T867" s="368"/>
      <c r="U867" s="368"/>
      <c r="V867" s="368"/>
      <c r="W867" s="368"/>
      <c r="X867" s="368"/>
      <c r="Y867" s="368"/>
      <c r="Z867" s="368"/>
      <c r="AA867" s="368"/>
      <c r="AB867" s="368"/>
      <c r="AC867" s="368"/>
      <c r="AD867" s="368"/>
      <c r="AE867" s="368"/>
      <c r="AF867" s="368"/>
      <c r="AG867" s="368"/>
      <c r="AH867" s="368"/>
      <c r="AI867" s="368"/>
      <c r="AJ867" s="368"/>
      <c r="AK867" s="368"/>
      <c r="AL867" s="368"/>
      <c r="AM867" s="368"/>
      <c r="AN867" s="368"/>
      <c r="AO867" s="368"/>
      <c r="AP867" s="368"/>
      <c r="AQ867" s="368"/>
      <c r="AR867" s="368"/>
      <c r="AS867" s="368"/>
      <c r="AT867" s="368"/>
      <c r="AU867" s="368"/>
      <c r="AV867" s="368"/>
      <c r="AW867" s="368"/>
      <c r="AX867" s="368"/>
      <c r="AY867" s="368"/>
      <c r="AZ867" s="368"/>
      <c r="BA867" s="368"/>
      <c r="BB867" s="368"/>
      <c r="BC867" s="368"/>
      <c r="BD867" s="368"/>
      <c r="BE867" s="368"/>
      <c r="BF867" s="369"/>
    </row>
    <row r="868" spans="1:58" s="367" customFormat="1" ht="15.75">
      <c r="A868" s="1129"/>
      <c r="B868" s="868"/>
      <c r="C868" s="1125"/>
      <c r="D868" s="84">
        <v>2025</v>
      </c>
      <c r="E868" s="85">
        <f t="shared" ref="E868:J868" si="319">E878+E919+E921</f>
        <v>23.07</v>
      </c>
      <c r="F868" s="85">
        <f t="shared" si="319"/>
        <v>0</v>
      </c>
      <c r="G868" s="85">
        <f t="shared" si="319"/>
        <v>0</v>
      </c>
      <c r="H868" s="85">
        <f t="shared" si="319"/>
        <v>19.035</v>
      </c>
      <c r="I868" s="85">
        <f t="shared" si="319"/>
        <v>4.0350000000000001</v>
      </c>
      <c r="J868" s="85">
        <f t="shared" si="319"/>
        <v>0</v>
      </c>
      <c r="K868" s="76">
        <v>0</v>
      </c>
      <c r="L868" s="497">
        <f t="shared" si="311"/>
        <v>23.07</v>
      </c>
      <c r="M868" s="347"/>
      <c r="N868" s="136"/>
      <c r="O868" s="399"/>
      <c r="P868" s="477"/>
      <c r="Q868" s="368"/>
      <c r="R868" s="368"/>
      <c r="S868" s="368"/>
      <c r="T868" s="368"/>
      <c r="U868" s="368"/>
      <c r="V868" s="368"/>
      <c r="W868" s="368"/>
      <c r="X868" s="368"/>
      <c r="Y868" s="368"/>
      <c r="Z868" s="368"/>
      <c r="AA868" s="368"/>
      <c r="AB868" s="368"/>
      <c r="AC868" s="368"/>
      <c r="AD868" s="368"/>
      <c r="AE868" s="368"/>
      <c r="AF868" s="368"/>
      <c r="AG868" s="368"/>
      <c r="AH868" s="368"/>
      <c r="AI868" s="368"/>
      <c r="AJ868" s="368"/>
      <c r="AK868" s="368"/>
      <c r="AL868" s="368"/>
      <c r="AM868" s="368"/>
      <c r="AN868" s="368"/>
      <c r="AO868" s="368"/>
      <c r="AP868" s="368"/>
      <c r="AQ868" s="368"/>
      <c r="AR868" s="368"/>
      <c r="AS868" s="368"/>
      <c r="AT868" s="368"/>
      <c r="AU868" s="368"/>
      <c r="AV868" s="368"/>
      <c r="AW868" s="368"/>
      <c r="AX868" s="368"/>
      <c r="AY868" s="368"/>
      <c r="AZ868" s="368"/>
      <c r="BA868" s="368"/>
      <c r="BB868" s="368"/>
      <c r="BC868" s="368"/>
      <c r="BD868" s="368"/>
      <c r="BE868" s="368"/>
      <c r="BF868" s="369"/>
    </row>
    <row r="869" spans="1:58" s="367" customFormat="1" ht="15.75">
      <c r="A869" s="1129"/>
      <c r="B869" s="868"/>
      <c r="C869" s="1125"/>
      <c r="D869" s="84">
        <v>2026</v>
      </c>
      <c r="E869" s="85">
        <f t="shared" ref="E869:J869" si="320">E882+E922</f>
        <v>11.5</v>
      </c>
      <c r="F869" s="85">
        <f t="shared" si="320"/>
        <v>0</v>
      </c>
      <c r="G869" s="85">
        <f t="shared" si="320"/>
        <v>0</v>
      </c>
      <c r="H869" s="85">
        <f t="shared" si="320"/>
        <v>8.25</v>
      </c>
      <c r="I869" s="85">
        <f t="shared" si="320"/>
        <v>3.25</v>
      </c>
      <c r="J869" s="85">
        <f t="shared" si="320"/>
        <v>0</v>
      </c>
      <c r="K869" s="76">
        <v>0</v>
      </c>
      <c r="L869" s="497">
        <f t="shared" si="311"/>
        <v>11.5</v>
      </c>
      <c r="M869" s="347"/>
      <c r="N869" s="136"/>
      <c r="O869" s="399"/>
      <c r="P869" s="477"/>
      <c r="Q869" s="368"/>
      <c r="R869" s="368"/>
      <c r="S869" s="368"/>
      <c r="T869" s="368"/>
      <c r="U869" s="368"/>
      <c r="V869" s="368"/>
      <c r="W869" s="368"/>
      <c r="X869" s="368"/>
      <c r="Y869" s="368"/>
      <c r="Z869" s="368"/>
      <c r="AA869" s="368"/>
      <c r="AB869" s="368"/>
      <c r="AC869" s="368"/>
      <c r="AD869" s="368"/>
      <c r="AE869" s="368"/>
      <c r="AF869" s="368"/>
      <c r="AG869" s="368"/>
      <c r="AH869" s="368"/>
      <c r="AI869" s="368"/>
      <c r="AJ869" s="368"/>
      <c r="AK869" s="368"/>
      <c r="AL869" s="368"/>
      <c r="AM869" s="368"/>
      <c r="AN869" s="368"/>
      <c r="AO869" s="368"/>
      <c r="AP869" s="368"/>
      <c r="AQ869" s="368"/>
      <c r="AR869" s="368"/>
      <c r="AS869" s="368"/>
      <c r="AT869" s="368"/>
      <c r="AU869" s="368"/>
      <c r="AV869" s="368"/>
      <c r="AW869" s="368"/>
      <c r="AX869" s="368"/>
      <c r="AY869" s="368"/>
      <c r="AZ869" s="368"/>
      <c r="BA869" s="368"/>
      <c r="BB869" s="368"/>
      <c r="BC869" s="368"/>
      <c r="BD869" s="368"/>
      <c r="BE869" s="368"/>
      <c r="BF869" s="369"/>
    </row>
    <row r="870" spans="1:58" s="367" customFormat="1" ht="15.75">
      <c r="A870" s="1129"/>
      <c r="B870" s="868"/>
      <c r="C870" s="1125"/>
      <c r="D870" s="84">
        <v>2027</v>
      </c>
      <c r="E870" s="85">
        <f t="shared" ref="E870:J870" si="321">E883</f>
        <v>6.5</v>
      </c>
      <c r="F870" s="85">
        <f t="shared" si="321"/>
        <v>0</v>
      </c>
      <c r="G870" s="85">
        <f t="shared" si="321"/>
        <v>0</v>
      </c>
      <c r="H870" s="85">
        <f t="shared" si="321"/>
        <v>3.25</v>
      </c>
      <c r="I870" s="85">
        <f t="shared" si="321"/>
        <v>3.25</v>
      </c>
      <c r="J870" s="85">
        <f t="shared" si="321"/>
        <v>0</v>
      </c>
      <c r="K870" s="76">
        <v>0</v>
      </c>
      <c r="L870" s="497">
        <f t="shared" si="311"/>
        <v>6.5</v>
      </c>
      <c r="M870" s="347"/>
      <c r="N870" s="136"/>
      <c r="O870" s="399"/>
      <c r="P870" s="477"/>
      <c r="Q870" s="368"/>
      <c r="R870" s="368"/>
      <c r="S870" s="368"/>
      <c r="T870" s="368"/>
      <c r="U870" s="368"/>
      <c r="V870" s="368"/>
      <c r="W870" s="368"/>
      <c r="X870" s="368"/>
      <c r="Y870" s="368"/>
      <c r="Z870" s="368"/>
      <c r="AA870" s="368"/>
      <c r="AB870" s="368"/>
      <c r="AC870" s="368"/>
      <c r="AD870" s="368"/>
      <c r="AE870" s="368"/>
      <c r="AF870" s="368"/>
      <c r="AG870" s="368"/>
      <c r="AH870" s="368"/>
      <c r="AI870" s="368"/>
      <c r="AJ870" s="368"/>
      <c r="AK870" s="368"/>
      <c r="AL870" s="368"/>
      <c r="AM870" s="368"/>
      <c r="AN870" s="368"/>
      <c r="AO870" s="368"/>
      <c r="AP870" s="368"/>
      <c r="AQ870" s="368"/>
      <c r="AR870" s="368"/>
      <c r="AS870" s="368"/>
      <c r="AT870" s="368"/>
      <c r="AU870" s="368"/>
      <c r="AV870" s="368"/>
      <c r="AW870" s="368"/>
      <c r="AX870" s="368"/>
      <c r="AY870" s="368"/>
      <c r="AZ870" s="368"/>
      <c r="BA870" s="368"/>
      <c r="BB870" s="368"/>
      <c r="BC870" s="368"/>
      <c r="BD870" s="368"/>
      <c r="BE870" s="368"/>
      <c r="BF870" s="369"/>
    </row>
    <row r="871" spans="1:58" s="367" customFormat="1" ht="15.75">
      <c r="A871" s="1129"/>
      <c r="B871" s="868"/>
      <c r="C871" s="1125"/>
      <c r="D871" s="84">
        <v>2029</v>
      </c>
      <c r="E871" s="85">
        <f t="shared" ref="E871:J871" si="322">E879</f>
        <v>15.04</v>
      </c>
      <c r="F871" s="85">
        <f t="shared" si="322"/>
        <v>0</v>
      </c>
      <c r="G871" s="85">
        <f t="shared" si="322"/>
        <v>0</v>
      </c>
      <c r="H871" s="85">
        <f t="shared" si="322"/>
        <v>7.52</v>
      </c>
      <c r="I871" s="85">
        <f t="shared" si="322"/>
        <v>7.52</v>
      </c>
      <c r="J871" s="85">
        <f t="shared" si="322"/>
        <v>0</v>
      </c>
      <c r="K871" s="76">
        <v>0</v>
      </c>
      <c r="L871" s="497">
        <f t="shared" si="311"/>
        <v>15.04</v>
      </c>
      <c r="M871" s="347"/>
      <c r="N871" s="136"/>
      <c r="O871" s="399"/>
      <c r="P871" s="477"/>
      <c r="Q871" s="368"/>
      <c r="R871" s="368"/>
      <c r="S871" s="368"/>
      <c r="T871" s="368"/>
      <c r="U871" s="368"/>
      <c r="V871" s="368"/>
      <c r="W871" s="368"/>
      <c r="X871" s="368"/>
      <c r="Y871" s="368"/>
      <c r="Z871" s="368"/>
      <c r="AA871" s="368"/>
      <c r="AB871" s="368"/>
      <c r="AC871" s="368"/>
      <c r="AD871" s="368"/>
      <c r="AE871" s="368"/>
      <c r="AF871" s="368"/>
      <c r="AG871" s="368"/>
      <c r="AH871" s="368"/>
      <c r="AI871" s="368"/>
      <c r="AJ871" s="368"/>
      <c r="AK871" s="368"/>
      <c r="AL871" s="368"/>
      <c r="AM871" s="368"/>
      <c r="AN871" s="368"/>
      <c r="AO871" s="368"/>
      <c r="AP871" s="368"/>
      <c r="AQ871" s="368"/>
      <c r="AR871" s="368"/>
      <c r="AS871" s="368"/>
      <c r="AT871" s="368"/>
      <c r="AU871" s="368"/>
      <c r="AV871" s="368"/>
      <c r="AW871" s="368"/>
      <c r="AX871" s="368"/>
      <c r="AY871" s="368"/>
      <c r="AZ871" s="368"/>
      <c r="BA871" s="368"/>
      <c r="BB871" s="368"/>
      <c r="BC871" s="368"/>
      <c r="BD871" s="368"/>
      <c r="BE871" s="368"/>
      <c r="BF871" s="369"/>
    </row>
    <row r="872" spans="1:58" s="51" customFormat="1">
      <c r="A872" s="1048" t="s">
        <v>1301</v>
      </c>
      <c r="B872" s="867" t="s">
        <v>879</v>
      </c>
      <c r="C872" s="881" t="s">
        <v>532</v>
      </c>
      <c r="D872" s="84" t="s">
        <v>16</v>
      </c>
      <c r="E872" s="85">
        <f t="shared" ref="E872:J872" si="323">E873</f>
        <v>74.19</v>
      </c>
      <c r="F872" s="85">
        <f t="shared" si="323"/>
        <v>0</v>
      </c>
      <c r="G872" s="85">
        <f t="shared" si="323"/>
        <v>0</v>
      </c>
      <c r="H872" s="85">
        <f t="shared" si="323"/>
        <v>14.595000000000001</v>
      </c>
      <c r="I872" s="85">
        <f t="shared" si="323"/>
        <v>59.594999999999999</v>
      </c>
      <c r="J872" s="85">
        <f t="shared" si="323"/>
        <v>0</v>
      </c>
      <c r="K872" s="76">
        <v>0</v>
      </c>
      <c r="L872" s="497">
        <f t="shared" si="311"/>
        <v>74.19</v>
      </c>
      <c r="M872" s="1020" t="s">
        <v>880</v>
      </c>
      <c r="N872" s="1051"/>
      <c r="O872" s="1180">
        <v>10</v>
      </c>
      <c r="P872" s="842" t="s">
        <v>881</v>
      </c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  <c r="AO872" s="49"/>
      <c r="AP872" s="49"/>
      <c r="AQ872" s="49"/>
      <c r="AR872" s="49"/>
      <c r="AS872" s="49"/>
      <c r="AT872" s="49"/>
      <c r="AU872" s="49"/>
      <c r="AV872" s="49"/>
      <c r="AW872" s="49"/>
      <c r="AX872" s="49"/>
      <c r="AY872" s="49"/>
      <c r="AZ872" s="49"/>
      <c r="BA872" s="49"/>
      <c r="BB872" s="49"/>
      <c r="BC872" s="49"/>
      <c r="BD872" s="49"/>
      <c r="BE872" s="49"/>
      <c r="BF872" s="68"/>
    </row>
    <row r="873" spans="1:58" s="51" customFormat="1">
      <c r="A873" s="1049"/>
      <c r="B873" s="868"/>
      <c r="C873" s="1125"/>
      <c r="D873" s="62">
        <v>2020</v>
      </c>
      <c r="E873" s="63">
        <f>F873+G873+H873+I873+J873</f>
        <v>74.19</v>
      </c>
      <c r="F873" s="63">
        <v>0</v>
      </c>
      <c r="G873" s="63">
        <v>0</v>
      </c>
      <c r="H873" s="63">
        <v>14.595000000000001</v>
      </c>
      <c r="I873" s="63">
        <v>59.594999999999999</v>
      </c>
      <c r="J873" s="63">
        <v>0</v>
      </c>
      <c r="K873" s="76">
        <v>0</v>
      </c>
      <c r="L873" s="497">
        <f t="shared" si="311"/>
        <v>74.19</v>
      </c>
      <c r="M873" s="1021"/>
      <c r="N873" s="1052"/>
      <c r="O873" s="1181"/>
      <c r="P873" s="1016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  <c r="AO873" s="49"/>
      <c r="AP873" s="49"/>
      <c r="AQ873" s="49"/>
      <c r="AR873" s="49"/>
      <c r="AS873" s="49"/>
      <c r="AT873" s="49"/>
      <c r="AU873" s="49"/>
      <c r="AV873" s="49"/>
      <c r="AW873" s="49"/>
      <c r="AX873" s="49"/>
      <c r="AY873" s="49"/>
      <c r="AZ873" s="49"/>
      <c r="BA873" s="49"/>
      <c r="BB873" s="49"/>
      <c r="BC873" s="49"/>
      <c r="BD873" s="49"/>
      <c r="BE873" s="49"/>
      <c r="BF873" s="68"/>
    </row>
    <row r="874" spans="1:58" s="187" customFormat="1" ht="51">
      <c r="A874" s="1050"/>
      <c r="B874" s="78" t="s">
        <v>883</v>
      </c>
      <c r="C874" s="1125"/>
      <c r="D874" s="62">
        <v>2020</v>
      </c>
      <c r="E874" s="63">
        <f>F874+G874+H874+I874+J874</f>
        <v>74.19</v>
      </c>
      <c r="F874" s="63">
        <v>0</v>
      </c>
      <c r="G874" s="63">
        <v>0</v>
      </c>
      <c r="H874" s="63">
        <v>14.595000000000001</v>
      </c>
      <c r="I874" s="63">
        <v>59.594999999999999</v>
      </c>
      <c r="J874" s="63">
        <v>0</v>
      </c>
      <c r="K874" s="76">
        <v>0</v>
      </c>
      <c r="L874" s="474">
        <f t="shared" ref="L874:L884" si="324">F874+G874+H874+I874+J874</f>
        <v>74.19</v>
      </c>
      <c r="M874" s="191"/>
      <c r="N874" s="191"/>
      <c r="O874" s="305">
        <v>2</v>
      </c>
      <c r="P874" s="1016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  <c r="AO874" s="49"/>
      <c r="AP874" s="49"/>
      <c r="AQ874" s="49"/>
      <c r="AR874" s="49"/>
      <c r="AS874" s="49"/>
      <c r="AT874" s="49"/>
      <c r="AU874" s="49"/>
      <c r="AV874" s="49"/>
      <c r="AW874" s="49"/>
      <c r="AX874" s="49"/>
      <c r="AY874" s="49"/>
      <c r="AZ874" s="49"/>
      <c r="BA874" s="49"/>
      <c r="BB874" s="49"/>
      <c r="BC874" s="49"/>
      <c r="BD874" s="49"/>
      <c r="BE874" s="49"/>
      <c r="BF874" s="396"/>
    </row>
    <row r="875" spans="1:58" s="334" customFormat="1" ht="12.75" customHeight="1">
      <c r="A875" s="1048" t="s">
        <v>1302</v>
      </c>
      <c r="B875" s="881" t="s">
        <v>889</v>
      </c>
      <c r="C875" s="1125"/>
      <c r="D875" s="140" t="s">
        <v>16</v>
      </c>
      <c r="E875" s="141">
        <f t="shared" ref="E875:J875" si="325">E876+E877+E878+E879</f>
        <v>45.775999999999996</v>
      </c>
      <c r="F875" s="141">
        <f t="shared" si="325"/>
        <v>0</v>
      </c>
      <c r="G875" s="141">
        <f t="shared" si="325"/>
        <v>0</v>
      </c>
      <c r="H875" s="141">
        <f t="shared" si="325"/>
        <v>22.887999999999998</v>
      </c>
      <c r="I875" s="141">
        <f t="shared" si="325"/>
        <v>22.887999999999998</v>
      </c>
      <c r="J875" s="141">
        <f t="shared" si="325"/>
        <v>0</v>
      </c>
      <c r="K875" s="76">
        <v>0</v>
      </c>
      <c r="L875" s="574">
        <f t="shared" si="324"/>
        <v>45.775999999999996</v>
      </c>
      <c r="M875" s="314" t="s">
        <v>890</v>
      </c>
      <c r="N875" s="141"/>
      <c r="O875" s="575">
        <v>5</v>
      </c>
      <c r="P875" s="842" t="s">
        <v>891</v>
      </c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49"/>
      <c r="BD875" s="49"/>
      <c r="BE875" s="49"/>
      <c r="BF875" s="336"/>
    </row>
    <row r="876" spans="1:58" s="51" customFormat="1">
      <c r="A876" s="1049"/>
      <c r="B876" s="882"/>
      <c r="C876" s="1125"/>
      <c r="D876" s="62">
        <v>2020</v>
      </c>
      <c r="E876" s="63">
        <f>F876+G876+H876+I876+J876</f>
        <v>14.596</v>
      </c>
      <c r="F876" s="63">
        <v>0</v>
      </c>
      <c r="G876" s="63">
        <v>0</v>
      </c>
      <c r="H876" s="63">
        <v>7.298</v>
      </c>
      <c r="I876" s="63">
        <v>7.298</v>
      </c>
      <c r="J876" s="63">
        <v>0</v>
      </c>
      <c r="K876" s="76">
        <v>0</v>
      </c>
      <c r="L876" s="497">
        <f t="shared" si="324"/>
        <v>14.596</v>
      </c>
      <c r="M876" s="185"/>
      <c r="N876" s="185"/>
      <c r="O876" s="301"/>
      <c r="P876" s="1016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49"/>
      <c r="BD876" s="49"/>
      <c r="BE876" s="49"/>
      <c r="BF876" s="68"/>
    </row>
    <row r="877" spans="1:58" s="51" customFormat="1">
      <c r="A877" s="1049"/>
      <c r="B877" s="882"/>
      <c r="C877" s="1125"/>
      <c r="D877" s="62">
        <v>2023</v>
      </c>
      <c r="E877" s="63">
        <f>F877+G877+H877+I877+J877</f>
        <v>8.07</v>
      </c>
      <c r="F877" s="63">
        <v>0</v>
      </c>
      <c r="G877" s="63">
        <v>0</v>
      </c>
      <c r="H877" s="63">
        <v>4.0350000000000001</v>
      </c>
      <c r="I877" s="63">
        <v>4.0350000000000001</v>
      </c>
      <c r="J877" s="63">
        <v>0</v>
      </c>
      <c r="K877" s="76">
        <v>0</v>
      </c>
      <c r="L877" s="497">
        <f t="shared" si="324"/>
        <v>8.07</v>
      </c>
      <c r="M877" s="185"/>
      <c r="N877" s="185"/>
      <c r="O877" s="301"/>
      <c r="P877" s="843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  <c r="AO877" s="49"/>
      <c r="AP877" s="49"/>
      <c r="AQ877" s="49"/>
      <c r="AR877" s="49"/>
      <c r="AS877" s="49"/>
      <c r="AT877" s="49"/>
      <c r="AU877" s="49"/>
      <c r="AV877" s="49"/>
      <c r="AW877" s="49"/>
      <c r="AX877" s="49"/>
      <c r="AY877" s="49"/>
      <c r="AZ877" s="49"/>
      <c r="BA877" s="49"/>
      <c r="BB877" s="49"/>
      <c r="BC877" s="49"/>
      <c r="BD877" s="49"/>
      <c r="BE877" s="49"/>
      <c r="BF877" s="68"/>
    </row>
    <row r="878" spans="1:58" s="51" customFormat="1" ht="22.5" customHeight="1">
      <c r="A878" s="1049"/>
      <c r="B878" s="882"/>
      <c r="C878" s="1125"/>
      <c r="D878" s="62">
        <v>2025</v>
      </c>
      <c r="E878" s="63">
        <f>F878+G878+H878+I878+J878</f>
        <v>8.07</v>
      </c>
      <c r="F878" s="63">
        <v>0</v>
      </c>
      <c r="G878" s="63">
        <v>0</v>
      </c>
      <c r="H878" s="63">
        <v>4.0350000000000001</v>
      </c>
      <c r="I878" s="63">
        <v>4.0350000000000001</v>
      </c>
      <c r="J878" s="63">
        <v>0</v>
      </c>
      <c r="K878" s="76">
        <v>0</v>
      </c>
      <c r="L878" s="497">
        <f t="shared" si="324"/>
        <v>8.07</v>
      </c>
      <c r="M878" s="185"/>
      <c r="N878" s="185"/>
      <c r="O878" s="301"/>
      <c r="P878" s="360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  <c r="AO878" s="49"/>
      <c r="AP878" s="49"/>
      <c r="AQ878" s="49"/>
      <c r="AR878" s="49"/>
      <c r="AS878" s="49"/>
      <c r="AT878" s="49"/>
      <c r="AU878" s="49"/>
      <c r="AV878" s="49"/>
      <c r="AW878" s="49"/>
      <c r="AX878" s="49"/>
      <c r="AY878" s="49"/>
      <c r="AZ878" s="49"/>
      <c r="BA878" s="49"/>
      <c r="BB878" s="49"/>
      <c r="BC878" s="49"/>
      <c r="BD878" s="49"/>
      <c r="BE878" s="49"/>
      <c r="BF878" s="68"/>
    </row>
    <row r="879" spans="1:58" s="51" customFormat="1" ht="31.5" customHeight="1">
      <c r="A879" s="1050"/>
      <c r="B879" s="964"/>
      <c r="C879" s="1125"/>
      <c r="D879" s="62">
        <v>2029</v>
      </c>
      <c r="E879" s="63">
        <f>F879+G879+H879+I879+J879</f>
        <v>15.04</v>
      </c>
      <c r="F879" s="63">
        <v>0</v>
      </c>
      <c r="G879" s="63">
        <v>0</v>
      </c>
      <c r="H879" s="63">
        <v>7.52</v>
      </c>
      <c r="I879" s="63">
        <v>7.52</v>
      </c>
      <c r="J879" s="63">
        <v>0</v>
      </c>
      <c r="K879" s="76">
        <v>0</v>
      </c>
      <c r="L879" s="497">
        <f t="shared" si="324"/>
        <v>15.04</v>
      </c>
      <c r="M879" s="185"/>
      <c r="N879" s="185"/>
      <c r="O879" s="301"/>
      <c r="P879" s="360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  <c r="AO879" s="49"/>
      <c r="AP879" s="49"/>
      <c r="AQ879" s="49"/>
      <c r="AR879" s="49"/>
      <c r="AS879" s="49"/>
      <c r="AT879" s="49"/>
      <c r="AU879" s="49"/>
      <c r="AV879" s="49"/>
      <c r="AW879" s="49"/>
      <c r="AX879" s="49"/>
      <c r="AY879" s="49"/>
      <c r="AZ879" s="49"/>
      <c r="BA879" s="49"/>
      <c r="BB879" s="49"/>
      <c r="BC879" s="49"/>
      <c r="BD879" s="49"/>
      <c r="BE879" s="49"/>
      <c r="BF879" s="68"/>
    </row>
    <row r="880" spans="1:58" s="51" customFormat="1" ht="12.75" customHeight="1">
      <c r="A880" s="1048" t="s">
        <v>1303</v>
      </c>
      <c r="B880" s="881" t="s">
        <v>893</v>
      </c>
      <c r="C880" s="1125"/>
      <c r="D880" s="84" t="s">
        <v>16</v>
      </c>
      <c r="E880" s="85">
        <f t="shared" ref="E880:J880" si="326">E881+E883+E882</f>
        <v>19.5</v>
      </c>
      <c r="F880" s="85">
        <f t="shared" si="326"/>
        <v>0</v>
      </c>
      <c r="G880" s="85">
        <f t="shared" si="326"/>
        <v>0</v>
      </c>
      <c r="H880" s="85">
        <f t="shared" si="326"/>
        <v>9.75</v>
      </c>
      <c r="I880" s="85">
        <f t="shared" si="326"/>
        <v>9.75</v>
      </c>
      <c r="J880" s="85">
        <f t="shared" si="326"/>
        <v>0</v>
      </c>
      <c r="K880" s="76">
        <v>0</v>
      </c>
      <c r="L880" s="497">
        <f t="shared" si="324"/>
        <v>19.5</v>
      </c>
      <c r="M880" s="63" t="s">
        <v>894</v>
      </c>
      <c r="N880" s="85"/>
      <c r="O880" s="288">
        <v>2</v>
      </c>
      <c r="P880" s="1163" t="s">
        <v>895</v>
      </c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  <c r="AO880" s="49"/>
      <c r="AP880" s="49"/>
      <c r="AQ880" s="49"/>
      <c r="AR880" s="49"/>
      <c r="AS880" s="49"/>
      <c r="AT880" s="49"/>
      <c r="AU880" s="49"/>
      <c r="AV880" s="49"/>
      <c r="AW880" s="49"/>
      <c r="AX880" s="49"/>
      <c r="AY880" s="49"/>
      <c r="AZ880" s="49"/>
      <c r="BA880" s="49"/>
      <c r="BB880" s="49"/>
      <c r="BC880" s="49"/>
      <c r="BD880" s="49"/>
      <c r="BE880" s="49"/>
      <c r="BF880" s="68"/>
    </row>
    <row r="881" spans="1:58" s="51" customFormat="1" ht="24" customHeight="1">
      <c r="A881" s="1081"/>
      <c r="B881" s="882"/>
      <c r="C881" s="1125"/>
      <c r="D881" s="62">
        <v>2020</v>
      </c>
      <c r="E881" s="63">
        <f>F881+G881+H881+I881+J881</f>
        <v>6.5</v>
      </c>
      <c r="F881" s="63">
        <v>0</v>
      </c>
      <c r="G881" s="63">
        <v>0</v>
      </c>
      <c r="H881" s="63">
        <v>3.25</v>
      </c>
      <c r="I881" s="63">
        <v>3.25</v>
      </c>
      <c r="J881" s="63">
        <v>0</v>
      </c>
      <c r="K881" s="76">
        <v>0</v>
      </c>
      <c r="L881" s="497">
        <f t="shared" si="324"/>
        <v>6.5</v>
      </c>
      <c r="M881" s="185"/>
      <c r="N881" s="185"/>
      <c r="O881" s="301"/>
      <c r="P881" s="1164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  <c r="AO881" s="49"/>
      <c r="AP881" s="49"/>
      <c r="AQ881" s="49"/>
      <c r="AR881" s="49"/>
      <c r="AS881" s="49"/>
      <c r="AT881" s="49"/>
      <c r="AU881" s="49"/>
      <c r="AV881" s="49"/>
      <c r="AW881" s="49"/>
      <c r="AX881" s="49"/>
      <c r="AY881" s="49"/>
      <c r="AZ881" s="49"/>
      <c r="BA881" s="49"/>
      <c r="BB881" s="49"/>
      <c r="BC881" s="49"/>
      <c r="BD881" s="49"/>
      <c r="BE881" s="49"/>
      <c r="BF881" s="68"/>
    </row>
    <row r="882" spans="1:58" s="51" customFormat="1" ht="24" customHeight="1">
      <c r="A882" s="435"/>
      <c r="B882" s="882"/>
      <c r="C882" s="479"/>
      <c r="D882" s="62">
        <v>2026</v>
      </c>
      <c r="E882" s="63">
        <f>F882+G882+H882+I882+J882</f>
        <v>6.5</v>
      </c>
      <c r="F882" s="63">
        <v>0</v>
      </c>
      <c r="G882" s="63">
        <v>0</v>
      </c>
      <c r="H882" s="63">
        <v>3.25</v>
      </c>
      <c r="I882" s="63">
        <v>3.25</v>
      </c>
      <c r="J882" s="63">
        <v>0</v>
      </c>
      <c r="K882" s="76">
        <v>0</v>
      </c>
      <c r="L882" s="497">
        <f t="shared" si="324"/>
        <v>6.5</v>
      </c>
      <c r="M882" s="185"/>
      <c r="N882" s="185"/>
      <c r="O882" s="301"/>
      <c r="P882" s="555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  <c r="AO882" s="49"/>
      <c r="AP882" s="49"/>
      <c r="AQ882" s="49"/>
      <c r="AR882" s="49"/>
      <c r="AS882" s="49"/>
      <c r="AT882" s="49"/>
      <c r="AU882" s="49"/>
      <c r="AV882" s="49"/>
      <c r="AW882" s="49"/>
      <c r="AX882" s="49"/>
      <c r="AY882" s="49"/>
      <c r="AZ882" s="49"/>
      <c r="BA882" s="49"/>
      <c r="BB882" s="49"/>
      <c r="BC882" s="49"/>
      <c r="BD882" s="49"/>
      <c r="BE882" s="49"/>
      <c r="BF882" s="68"/>
    </row>
    <row r="883" spans="1:58" s="51" customFormat="1">
      <c r="A883" s="435"/>
      <c r="B883" s="964"/>
      <c r="C883" s="479"/>
      <c r="D883" s="62">
        <v>2027</v>
      </c>
      <c r="E883" s="63">
        <f>F883+G883+H883+I883+J883</f>
        <v>6.5</v>
      </c>
      <c r="F883" s="63">
        <v>0</v>
      </c>
      <c r="G883" s="63">
        <v>0</v>
      </c>
      <c r="H883" s="63">
        <v>3.25</v>
      </c>
      <c r="I883" s="63">
        <v>3.25</v>
      </c>
      <c r="J883" s="63">
        <v>0</v>
      </c>
      <c r="K883" s="76">
        <v>0</v>
      </c>
      <c r="L883" s="497">
        <f t="shared" si="324"/>
        <v>6.5</v>
      </c>
      <c r="M883" s="185"/>
      <c r="N883" s="185"/>
      <c r="O883" s="301"/>
      <c r="P883" s="555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  <c r="AO883" s="49"/>
      <c r="AP883" s="49"/>
      <c r="AQ883" s="49"/>
      <c r="AR883" s="49"/>
      <c r="AS883" s="49"/>
      <c r="AT883" s="49"/>
      <c r="AU883" s="49"/>
      <c r="AV883" s="49"/>
      <c r="AW883" s="49"/>
      <c r="AX883" s="49"/>
      <c r="AY883" s="49"/>
      <c r="AZ883" s="49"/>
      <c r="BA883" s="49"/>
      <c r="BB883" s="49"/>
      <c r="BC883" s="49"/>
      <c r="BD883" s="49"/>
      <c r="BE883" s="49"/>
      <c r="BF883" s="68"/>
    </row>
    <row r="884" spans="1:58" s="51" customFormat="1" ht="12.75" customHeight="1">
      <c r="A884" s="1048" t="s">
        <v>1304</v>
      </c>
      <c r="B884" s="881" t="s">
        <v>897</v>
      </c>
      <c r="C884" s="881" t="s">
        <v>532</v>
      </c>
      <c r="D884" s="84" t="s">
        <v>16</v>
      </c>
      <c r="E884" s="85">
        <f t="shared" ref="E884:J884" si="327">E886+E887+E888</f>
        <v>13.314</v>
      </c>
      <c r="F884" s="85">
        <f t="shared" si="327"/>
        <v>0</v>
      </c>
      <c r="G884" s="85">
        <f t="shared" si="327"/>
        <v>0</v>
      </c>
      <c r="H884" s="85">
        <f t="shared" si="327"/>
        <v>6.657</v>
      </c>
      <c r="I884" s="85">
        <f t="shared" si="327"/>
        <v>6.657</v>
      </c>
      <c r="J884" s="85">
        <f t="shared" si="327"/>
        <v>0</v>
      </c>
      <c r="K884" s="76">
        <v>0</v>
      </c>
      <c r="L884" s="497">
        <f t="shared" si="324"/>
        <v>13.314</v>
      </c>
      <c r="M884" s="63" t="s">
        <v>898</v>
      </c>
      <c r="N884" s="85"/>
      <c r="O884" s="288">
        <v>7</v>
      </c>
      <c r="P884" s="1163" t="s">
        <v>899</v>
      </c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  <c r="AO884" s="49"/>
      <c r="AP884" s="49"/>
      <c r="AQ884" s="49"/>
      <c r="AR884" s="49"/>
      <c r="AS884" s="49"/>
      <c r="AT884" s="49"/>
      <c r="AU884" s="49"/>
      <c r="AV884" s="49"/>
      <c r="AW884" s="49"/>
      <c r="AX884" s="49"/>
      <c r="AY884" s="49"/>
      <c r="AZ884" s="49"/>
      <c r="BA884" s="49"/>
      <c r="BB884" s="49"/>
      <c r="BC884" s="49"/>
      <c r="BD884" s="49"/>
      <c r="BE884" s="49"/>
      <c r="BF884" s="68"/>
    </row>
    <row r="885" spans="1:58" s="51" customFormat="1">
      <c r="A885" s="1049"/>
      <c r="B885" s="882"/>
      <c r="C885" s="882"/>
      <c r="D885" s="62">
        <v>2020</v>
      </c>
      <c r="E885" s="63">
        <f>F885+G885+H885+I885+J885</f>
        <v>3.6360000000000001</v>
      </c>
      <c r="F885" s="63">
        <v>0</v>
      </c>
      <c r="G885" s="63">
        <v>0</v>
      </c>
      <c r="H885" s="63">
        <v>1.8180000000000001</v>
      </c>
      <c r="I885" s="63">
        <v>1.8180000000000001</v>
      </c>
      <c r="J885" s="63">
        <v>0</v>
      </c>
      <c r="K885" s="76">
        <v>0</v>
      </c>
      <c r="L885" s="497">
        <f>F886+G886+H886+I886+J886</f>
        <v>3.6360000000000001</v>
      </c>
      <c r="M885" s="185"/>
      <c r="N885" s="185"/>
      <c r="O885" s="301"/>
      <c r="P885" s="1164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  <c r="AO885" s="49"/>
      <c r="AP885" s="49"/>
      <c r="AQ885" s="49"/>
      <c r="AR885" s="49"/>
      <c r="AS885" s="49"/>
      <c r="AT885" s="49"/>
      <c r="AU885" s="49"/>
      <c r="AV885" s="49"/>
      <c r="AW885" s="49"/>
      <c r="AX885" s="49"/>
      <c r="AY885" s="49"/>
      <c r="AZ885" s="49"/>
      <c r="BA885" s="49"/>
      <c r="BB885" s="49"/>
      <c r="BC885" s="49"/>
      <c r="BD885" s="49"/>
      <c r="BE885" s="49"/>
      <c r="BF885" s="68"/>
    </row>
    <row r="886" spans="1:58" s="51" customFormat="1">
      <c r="A886" s="1049"/>
      <c r="B886" s="882"/>
      <c r="C886" s="882"/>
      <c r="D886" s="62">
        <v>2022</v>
      </c>
      <c r="E886" s="63">
        <f>F886+G886+H886+I886+J886</f>
        <v>3.6360000000000001</v>
      </c>
      <c r="F886" s="63">
        <v>0</v>
      </c>
      <c r="G886" s="63">
        <v>0</v>
      </c>
      <c r="H886" s="63">
        <v>1.8180000000000001</v>
      </c>
      <c r="I886" s="63">
        <v>1.8180000000000001</v>
      </c>
      <c r="J886" s="63">
        <v>0</v>
      </c>
      <c r="K886" s="76">
        <v>0</v>
      </c>
      <c r="L886" s="497">
        <f>F887+G887+H887+I887+J887</f>
        <v>6.1539999999999999</v>
      </c>
      <c r="M886" s="185"/>
      <c r="N886" s="185"/>
      <c r="O886" s="301"/>
      <c r="P886" s="1165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  <c r="AO886" s="49"/>
      <c r="AP886" s="49"/>
      <c r="AQ886" s="49"/>
      <c r="AR886" s="49"/>
      <c r="AS886" s="49"/>
      <c r="AT886" s="49"/>
      <c r="AU886" s="49"/>
      <c r="AV886" s="49"/>
      <c r="AW886" s="49"/>
      <c r="AX886" s="49"/>
      <c r="AY886" s="49"/>
      <c r="AZ886" s="49"/>
      <c r="BA886" s="49"/>
      <c r="BB886" s="49"/>
      <c r="BC886" s="49"/>
      <c r="BD886" s="49"/>
      <c r="BE886" s="49"/>
      <c r="BF886" s="68"/>
    </row>
    <row r="887" spans="1:58" s="51" customFormat="1" ht="18" customHeight="1">
      <c r="A887" s="1049"/>
      <c r="B887" s="882"/>
      <c r="C887" s="882"/>
      <c r="D887" s="62">
        <v>2023</v>
      </c>
      <c r="E887" s="63">
        <f>F887+G887+H887+I887+J887</f>
        <v>6.1539999999999999</v>
      </c>
      <c r="F887" s="63">
        <v>0</v>
      </c>
      <c r="G887" s="63">
        <v>0</v>
      </c>
      <c r="H887" s="63">
        <v>3.077</v>
      </c>
      <c r="I887" s="63">
        <v>3.077</v>
      </c>
      <c r="J887" s="63">
        <v>0</v>
      </c>
      <c r="K887" s="76">
        <v>0</v>
      </c>
      <c r="L887" s="497">
        <f>F888+G888+H888+I888+J888</f>
        <v>3.524</v>
      </c>
      <c r="M887" s="185"/>
      <c r="N887" s="185"/>
      <c r="O887" s="301"/>
      <c r="P887" s="555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  <c r="AO887" s="49"/>
      <c r="AP887" s="49"/>
      <c r="AQ887" s="49"/>
      <c r="AR887" s="49"/>
      <c r="AS887" s="49"/>
      <c r="AT887" s="49"/>
      <c r="AU887" s="49"/>
      <c r="AV887" s="49"/>
      <c r="AW887" s="49"/>
      <c r="AX887" s="49"/>
      <c r="AY887" s="49"/>
      <c r="AZ887" s="49"/>
      <c r="BA887" s="49"/>
      <c r="BB887" s="49"/>
      <c r="BC887" s="49"/>
      <c r="BD887" s="49"/>
      <c r="BE887" s="49"/>
      <c r="BF887" s="68"/>
    </row>
    <row r="888" spans="1:58" s="51" customFormat="1" ht="18" customHeight="1">
      <c r="A888" s="1050"/>
      <c r="B888" s="964"/>
      <c r="C888" s="964"/>
      <c r="D888" s="62">
        <v>2024</v>
      </c>
      <c r="E888" s="63">
        <f>F888+G888+H888+I888+J888</f>
        <v>3.524</v>
      </c>
      <c r="F888" s="63">
        <v>0</v>
      </c>
      <c r="G888" s="63">
        <v>0</v>
      </c>
      <c r="H888" s="63">
        <v>1.762</v>
      </c>
      <c r="I888" s="63">
        <v>1.762</v>
      </c>
      <c r="J888" s="63">
        <v>0</v>
      </c>
      <c r="K888" s="76">
        <v>0</v>
      </c>
      <c r="L888" s="497"/>
      <c r="M888" s="185"/>
      <c r="N888" s="185"/>
      <c r="O888" s="301"/>
      <c r="P888" s="555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  <c r="AO888" s="49"/>
      <c r="AP888" s="49"/>
      <c r="AQ888" s="49"/>
      <c r="AR888" s="49"/>
      <c r="AS888" s="49"/>
      <c r="AT888" s="49"/>
      <c r="AU888" s="49"/>
      <c r="AV888" s="49"/>
      <c r="AW888" s="49"/>
      <c r="AX888" s="49"/>
      <c r="AY888" s="49"/>
      <c r="AZ888" s="49"/>
      <c r="BA888" s="49"/>
      <c r="BB888" s="49"/>
      <c r="BC888" s="49"/>
      <c r="BD888" s="49"/>
      <c r="BE888" s="49"/>
      <c r="BF888" s="68"/>
    </row>
    <row r="889" spans="1:58" s="51" customFormat="1" ht="12.75" customHeight="1">
      <c r="A889" s="794" t="s">
        <v>1305</v>
      </c>
      <c r="B889" s="1077" t="s">
        <v>901</v>
      </c>
      <c r="C889" s="915" t="s">
        <v>1306</v>
      </c>
      <c r="D889" s="84" t="s">
        <v>16</v>
      </c>
      <c r="E889" s="85">
        <f t="shared" ref="E889:J889" si="328">E890+E891+E892+E893</f>
        <v>48</v>
      </c>
      <c r="F889" s="85">
        <f t="shared" si="328"/>
        <v>0</v>
      </c>
      <c r="G889" s="85">
        <f t="shared" si="328"/>
        <v>0</v>
      </c>
      <c r="H889" s="85">
        <f t="shared" si="328"/>
        <v>41</v>
      </c>
      <c r="I889" s="85">
        <f t="shared" si="328"/>
        <v>7</v>
      </c>
      <c r="J889" s="85">
        <f t="shared" si="328"/>
        <v>0</v>
      </c>
      <c r="K889" s="76">
        <v>0</v>
      </c>
      <c r="L889" s="497">
        <f>F889+G889+H889+I889+J889</f>
        <v>48</v>
      </c>
      <c r="M889" s="63" t="s">
        <v>1307</v>
      </c>
      <c r="N889" s="85"/>
      <c r="O889" s="288">
        <v>3</v>
      </c>
      <c r="P889" s="842" t="s">
        <v>904</v>
      </c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49"/>
      <c r="AU889" s="49"/>
      <c r="AV889" s="49"/>
      <c r="AW889" s="49"/>
      <c r="AX889" s="49"/>
      <c r="AY889" s="49"/>
      <c r="AZ889" s="49"/>
      <c r="BA889" s="49"/>
      <c r="BB889" s="49"/>
      <c r="BC889" s="49"/>
      <c r="BD889" s="49"/>
      <c r="BE889" s="49"/>
      <c r="BF889" s="68"/>
    </row>
    <row r="890" spans="1:58" s="51" customFormat="1">
      <c r="A890" s="795"/>
      <c r="B890" s="1077"/>
      <c r="C890" s="916"/>
      <c r="D890" s="62">
        <v>2019</v>
      </c>
      <c r="E890" s="63">
        <f>F890+G890+H890+I890+J890</f>
        <v>10</v>
      </c>
      <c r="F890" s="63">
        <v>0</v>
      </c>
      <c r="G890" s="63">
        <v>0</v>
      </c>
      <c r="H890" s="63">
        <v>6</v>
      </c>
      <c r="I890" s="63">
        <v>4</v>
      </c>
      <c r="J890" s="63">
        <v>0</v>
      </c>
      <c r="K890" s="76">
        <v>0</v>
      </c>
      <c r="L890" s="497">
        <f>F890+G890+H890+I890+J890</f>
        <v>10</v>
      </c>
      <c r="M890" s="185"/>
      <c r="N890" s="185"/>
      <c r="O890" s="301"/>
      <c r="P890" s="1016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  <c r="AO890" s="49"/>
      <c r="AP890" s="49"/>
      <c r="AQ890" s="49"/>
      <c r="AR890" s="49"/>
      <c r="AS890" s="49"/>
      <c r="AT890" s="49"/>
      <c r="AU890" s="49"/>
      <c r="AV890" s="49"/>
      <c r="AW890" s="49"/>
      <c r="AX890" s="49"/>
      <c r="AY890" s="49"/>
      <c r="AZ890" s="49"/>
      <c r="BA890" s="49"/>
      <c r="BB890" s="49"/>
      <c r="BC890" s="49"/>
      <c r="BD890" s="49"/>
      <c r="BE890" s="49"/>
      <c r="BF890" s="68"/>
    </row>
    <row r="891" spans="1:58" s="51" customFormat="1">
      <c r="A891" s="795"/>
      <c r="B891" s="1077"/>
      <c r="C891" s="916"/>
      <c r="D891" s="62">
        <v>2020</v>
      </c>
      <c r="E891" s="63">
        <f>F891+G891+H891+I891+J891</f>
        <v>8</v>
      </c>
      <c r="F891" s="63">
        <v>0</v>
      </c>
      <c r="G891" s="63">
        <v>0</v>
      </c>
      <c r="H891" s="63">
        <v>5</v>
      </c>
      <c r="I891" s="63">
        <v>3</v>
      </c>
      <c r="J891" s="63">
        <v>0</v>
      </c>
      <c r="K891" s="76">
        <v>0</v>
      </c>
      <c r="L891" s="497">
        <f>F891+G891+H891+I891+J891</f>
        <v>8</v>
      </c>
      <c r="M891" s="401"/>
      <c r="N891" s="401"/>
      <c r="O891" s="309"/>
      <c r="P891" s="843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  <c r="AO891" s="49"/>
      <c r="AP891" s="49"/>
      <c r="AQ891" s="49"/>
      <c r="AR891" s="49"/>
      <c r="AS891" s="49"/>
      <c r="AT891" s="49"/>
      <c r="AU891" s="49"/>
      <c r="AV891" s="49"/>
      <c r="AW891" s="49"/>
      <c r="AX891" s="49"/>
      <c r="AY891" s="49"/>
      <c r="AZ891" s="49"/>
      <c r="BA891" s="49"/>
      <c r="BB891" s="49"/>
      <c r="BC891" s="49"/>
      <c r="BD891" s="49"/>
      <c r="BE891" s="49"/>
      <c r="BF891" s="68"/>
    </row>
    <row r="892" spans="1:58" s="334" customFormat="1">
      <c r="A892" s="795"/>
      <c r="B892" s="1077"/>
      <c r="C892" s="916"/>
      <c r="D892" s="62">
        <v>2022</v>
      </c>
      <c r="E892" s="63">
        <f>F892+G892+H892+I892+J892</f>
        <v>15</v>
      </c>
      <c r="F892" s="63">
        <v>0</v>
      </c>
      <c r="G892" s="63">
        <v>0</v>
      </c>
      <c r="H892" s="63">
        <v>15</v>
      </c>
      <c r="I892" s="63">
        <v>0</v>
      </c>
      <c r="J892" s="63">
        <v>0</v>
      </c>
      <c r="K892" s="76">
        <v>0</v>
      </c>
      <c r="L892" s="497"/>
      <c r="M892" s="402"/>
      <c r="N892" s="402"/>
      <c r="O892" s="404"/>
      <c r="P892" s="360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  <c r="AO892" s="49"/>
      <c r="AP892" s="49"/>
      <c r="AQ892" s="49"/>
      <c r="AR892" s="49"/>
      <c r="AS892" s="49"/>
      <c r="AT892" s="49"/>
      <c r="AU892" s="49"/>
      <c r="AV892" s="49"/>
      <c r="AW892" s="49"/>
      <c r="AX892" s="49"/>
      <c r="AY892" s="49"/>
      <c r="AZ892" s="49"/>
      <c r="BA892" s="49"/>
      <c r="BB892" s="49"/>
      <c r="BC892" s="49"/>
      <c r="BD892" s="49"/>
      <c r="BE892" s="49"/>
      <c r="BF892" s="336"/>
    </row>
    <row r="893" spans="1:58" s="334" customFormat="1">
      <c r="A893" s="796"/>
      <c r="B893" s="1077"/>
      <c r="C893" s="999"/>
      <c r="D893" s="62">
        <v>2023</v>
      </c>
      <c r="E893" s="63">
        <f>F893+G893+H893+I893+J893</f>
        <v>15</v>
      </c>
      <c r="F893" s="63">
        <v>0</v>
      </c>
      <c r="G893" s="63">
        <v>0</v>
      </c>
      <c r="H893" s="63">
        <v>15</v>
      </c>
      <c r="I893" s="63">
        <v>0</v>
      </c>
      <c r="J893" s="63">
        <v>0</v>
      </c>
      <c r="K893" s="76">
        <v>0</v>
      </c>
      <c r="L893" s="497"/>
      <c r="M893" s="402"/>
      <c r="N893" s="402"/>
      <c r="O893" s="404"/>
      <c r="P893" s="360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  <c r="AO893" s="49"/>
      <c r="AP893" s="49"/>
      <c r="AQ893" s="49"/>
      <c r="AR893" s="49"/>
      <c r="AS893" s="49"/>
      <c r="AT893" s="49"/>
      <c r="AU893" s="49"/>
      <c r="AV893" s="49"/>
      <c r="AW893" s="49"/>
      <c r="AX893" s="49"/>
      <c r="AY893" s="49"/>
      <c r="AZ893" s="49"/>
      <c r="BA893" s="49"/>
      <c r="BB893" s="49"/>
      <c r="BC893" s="49"/>
      <c r="BD893" s="49"/>
      <c r="BE893" s="49"/>
      <c r="BF893" s="336"/>
    </row>
    <row r="894" spans="1:58" s="334" customFormat="1" ht="12.75" customHeight="1">
      <c r="A894" s="1048" t="s">
        <v>1308</v>
      </c>
      <c r="B894" s="867" t="s">
        <v>914</v>
      </c>
      <c r="C894" s="882"/>
      <c r="D894" s="84" t="s">
        <v>16</v>
      </c>
      <c r="E894" s="85">
        <f>E895</f>
        <v>4</v>
      </c>
      <c r="F894" s="85">
        <f>F895</f>
        <v>0</v>
      </c>
      <c r="G894" s="85">
        <f>G895</f>
        <v>0</v>
      </c>
      <c r="H894" s="85">
        <f>H895</f>
        <v>2</v>
      </c>
      <c r="I894" s="85">
        <f>I895</f>
        <v>2</v>
      </c>
      <c r="J894" s="63">
        <v>0</v>
      </c>
      <c r="K894" s="76">
        <v>0</v>
      </c>
      <c r="L894" s="497">
        <f t="shared" ref="L894:L908" si="329">F894+G894+H894+I894+J894</f>
        <v>4</v>
      </c>
      <c r="M894" s="404" t="s">
        <v>915</v>
      </c>
      <c r="N894" s="402"/>
      <c r="O894" s="404"/>
      <c r="P894" s="1163" t="s">
        <v>916</v>
      </c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  <c r="AO894" s="49"/>
      <c r="AP894" s="49"/>
      <c r="AQ894" s="49"/>
      <c r="AR894" s="49"/>
      <c r="AS894" s="49"/>
      <c r="AT894" s="49"/>
      <c r="AU894" s="49"/>
      <c r="AV894" s="49"/>
      <c r="AW894" s="49"/>
      <c r="AX894" s="49"/>
      <c r="AY894" s="49"/>
      <c r="AZ894" s="49"/>
      <c r="BA894" s="49"/>
      <c r="BB894" s="49"/>
      <c r="BC894" s="49"/>
      <c r="BD894" s="49"/>
      <c r="BE894" s="49"/>
      <c r="BF894" s="336"/>
    </row>
    <row r="895" spans="1:58" s="334" customFormat="1" ht="33.75" customHeight="1">
      <c r="A895" s="1049"/>
      <c r="B895" s="872"/>
      <c r="C895" s="882"/>
      <c r="D895" s="62">
        <v>2020</v>
      </c>
      <c r="E895" s="63">
        <f>F895+G895+H895+I895+J895</f>
        <v>4</v>
      </c>
      <c r="F895" s="63">
        <v>0</v>
      </c>
      <c r="G895" s="63">
        <v>0</v>
      </c>
      <c r="H895" s="63">
        <v>2</v>
      </c>
      <c r="I895" s="63">
        <v>2</v>
      </c>
      <c r="J895" s="63">
        <v>0</v>
      </c>
      <c r="K895" s="76">
        <v>0</v>
      </c>
      <c r="L895" s="497">
        <f t="shared" si="329"/>
        <v>4</v>
      </c>
      <c r="M895" s="402"/>
      <c r="N895" s="402"/>
      <c r="O895" s="404"/>
      <c r="P895" s="1164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  <c r="AO895" s="49"/>
      <c r="AP895" s="49"/>
      <c r="AQ895" s="49"/>
      <c r="AR895" s="49"/>
      <c r="AS895" s="49"/>
      <c r="AT895" s="49"/>
      <c r="AU895" s="49"/>
      <c r="AV895" s="49"/>
      <c r="AW895" s="49"/>
      <c r="AX895" s="49"/>
      <c r="AY895" s="49"/>
      <c r="AZ895" s="49"/>
      <c r="BA895" s="49"/>
      <c r="BB895" s="49"/>
      <c r="BC895" s="49"/>
      <c r="BD895" s="49"/>
      <c r="BE895" s="49"/>
      <c r="BF895" s="336"/>
    </row>
    <row r="896" spans="1:58" s="334" customFormat="1">
      <c r="A896" s="1048" t="s">
        <v>1309</v>
      </c>
      <c r="B896" s="867" t="s">
        <v>918</v>
      </c>
      <c r="C896" s="882"/>
      <c r="D896" s="84" t="s">
        <v>16</v>
      </c>
      <c r="E896" s="85">
        <f>E897</f>
        <v>35</v>
      </c>
      <c r="F896" s="85">
        <f>F897</f>
        <v>0</v>
      </c>
      <c r="G896" s="85">
        <f>G897</f>
        <v>0</v>
      </c>
      <c r="H896" s="85">
        <f>H897</f>
        <v>16.5</v>
      </c>
      <c r="I896" s="85">
        <f>I897</f>
        <v>18.5</v>
      </c>
      <c r="J896" s="63">
        <v>0</v>
      </c>
      <c r="K896" s="76">
        <v>0</v>
      </c>
      <c r="L896" s="497">
        <f t="shared" si="329"/>
        <v>35</v>
      </c>
      <c r="M896" s="402" t="s">
        <v>919</v>
      </c>
      <c r="N896" s="402"/>
      <c r="O896" s="404"/>
      <c r="P896" s="1163" t="s">
        <v>891</v>
      </c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  <c r="AO896" s="49"/>
      <c r="AP896" s="49"/>
      <c r="AQ896" s="49"/>
      <c r="AR896" s="49"/>
      <c r="AS896" s="49"/>
      <c r="AT896" s="49"/>
      <c r="AU896" s="49"/>
      <c r="AV896" s="49"/>
      <c r="AW896" s="49"/>
      <c r="AX896" s="49"/>
      <c r="AY896" s="49"/>
      <c r="AZ896" s="49"/>
      <c r="BA896" s="49"/>
      <c r="BB896" s="49"/>
      <c r="BC896" s="49"/>
      <c r="BD896" s="49"/>
      <c r="BE896" s="49"/>
      <c r="BF896" s="336"/>
    </row>
    <row r="897" spans="1:58" s="334" customFormat="1" ht="27" customHeight="1">
      <c r="A897" s="1050"/>
      <c r="B897" s="869"/>
      <c r="C897" s="882"/>
      <c r="D897" s="62">
        <v>2022</v>
      </c>
      <c r="E897" s="63">
        <f>F897+G897+H897+I897+J897</f>
        <v>35</v>
      </c>
      <c r="F897" s="63">
        <v>0</v>
      </c>
      <c r="G897" s="63">
        <v>0</v>
      </c>
      <c r="H897" s="63">
        <v>16.5</v>
      </c>
      <c r="I897" s="63">
        <v>18.5</v>
      </c>
      <c r="J897" s="63">
        <v>0</v>
      </c>
      <c r="K897" s="76">
        <v>0</v>
      </c>
      <c r="L897" s="497">
        <f t="shared" si="329"/>
        <v>35</v>
      </c>
      <c r="M897" s="402"/>
      <c r="N897" s="402"/>
      <c r="O897" s="404">
        <v>3</v>
      </c>
      <c r="P897" s="1147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  <c r="AO897" s="49"/>
      <c r="AP897" s="49"/>
      <c r="AQ897" s="49"/>
      <c r="AR897" s="49"/>
      <c r="AS897" s="49"/>
      <c r="AT897" s="49"/>
      <c r="AU897" s="49"/>
      <c r="AV897" s="49"/>
      <c r="AW897" s="49"/>
      <c r="AX897" s="49"/>
      <c r="AY897" s="49"/>
      <c r="AZ897" s="49"/>
      <c r="BA897" s="49"/>
      <c r="BB897" s="49"/>
      <c r="BC897" s="49"/>
      <c r="BD897" s="49"/>
      <c r="BE897" s="49"/>
      <c r="BF897" s="336"/>
    </row>
    <row r="898" spans="1:58" s="334" customFormat="1" ht="12.75" customHeight="1">
      <c r="A898" s="1048" t="s">
        <v>1310</v>
      </c>
      <c r="B898" s="867" t="s">
        <v>921</v>
      </c>
      <c r="C898" s="882"/>
      <c r="D898" s="84" t="s">
        <v>16</v>
      </c>
      <c r="E898" s="85">
        <f>E899</f>
        <v>9</v>
      </c>
      <c r="F898" s="85">
        <f>F899</f>
        <v>0</v>
      </c>
      <c r="G898" s="85">
        <f>G899</f>
        <v>0</v>
      </c>
      <c r="H898" s="85">
        <f>H899</f>
        <v>4.5</v>
      </c>
      <c r="I898" s="85">
        <f>I899</f>
        <v>4.5</v>
      </c>
      <c r="J898" s="63">
        <v>0</v>
      </c>
      <c r="K898" s="76">
        <v>0</v>
      </c>
      <c r="L898" s="497">
        <f t="shared" si="329"/>
        <v>9</v>
      </c>
      <c r="M898" s="402" t="s">
        <v>915</v>
      </c>
      <c r="N898" s="402"/>
      <c r="O898" s="404">
        <v>2</v>
      </c>
      <c r="P898" s="842" t="s">
        <v>891</v>
      </c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  <c r="AO898" s="49"/>
      <c r="AP898" s="49"/>
      <c r="AQ898" s="49"/>
      <c r="AR898" s="49"/>
      <c r="AS898" s="49"/>
      <c r="AT898" s="49"/>
      <c r="AU898" s="49"/>
      <c r="AV898" s="49"/>
      <c r="AW898" s="49"/>
      <c r="AX898" s="49"/>
      <c r="AY898" s="49"/>
      <c r="AZ898" s="49"/>
      <c r="BA898" s="49"/>
      <c r="BB898" s="49"/>
      <c r="BC898" s="49"/>
      <c r="BD898" s="49"/>
      <c r="BE898" s="49"/>
      <c r="BF898" s="336"/>
    </row>
    <row r="899" spans="1:58" s="334" customFormat="1" ht="42.75" customHeight="1">
      <c r="A899" s="1049"/>
      <c r="B899" s="872"/>
      <c r="C899" s="882"/>
      <c r="D899" s="62">
        <v>2020</v>
      </c>
      <c r="E899" s="63">
        <f>F899+G899+H899+I899+J899</f>
        <v>9</v>
      </c>
      <c r="F899" s="63">
        <v>0</v>
      </c>
      <c r="G899" s="63">
        <v>0</v>
      </c>
      <c r="H899" s="63">
        <v>4.5</v>
      </c>
      <c r="I899" s="63">
        <v>4.5</v>
      </c>
      <c r="J899" s="63">
        <v>0</v>
      </c>
      <c r="K899" s="76">
        <v>0</v>
      </c>
      <c r="L899" s="497">
        <f t="shared" si="329"/>
        <v>9</v>
      </c>
      <c r="M899" s="402"/>
      <c r="N899" s="402"/>
      <c r="O899" s="404"/>
      <c r="P899" s="1016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  <c r="AR899" s="49"/>
      <c r="AS899" s="49"/>
      <c r="AT899" s="49"/>
      <c r="AU899" s="49"/>
      <c r="AV899" s="49"/>
      <c r="AW899" s="49"/>
      <c r="AX899" s="49"/>
      <c r="AY899" s="49"/>
      <c r="AZ899" s="49"/>
      <c r="BA899" s="49"/>
      <c r="BB899" s="49"/>
      <c r="BC899" s="49"/>
      <c r="BD899" s="49"/>
      <c r="BE899" s="49"/>
      <c r="BF899" s="336"/>
    </row>
    <row r="900" spans="1:58" s="334" customFormat="1" ht="12.75" customHeight="1">
      <c r="A900" s="1048" t="s">
        <v>1311</v>
      </c>
      <c r="B900" s="867" t="s">
        <v>923</v>
      </c>
      <c r="C900" s="882"/>
      <c r="D900" s="84" t="s">
        <v>16</v>
      </c>
      <c r="E900" s="85">
        <f>E901</f>
        <v>4</v>
      </c>
      <c r="F900" s="85">
        <f>F901</f>
        <v>0</v>
      </c>
      <c r="G900" s="85">
        <f>G901</f>
        <v>0</v>
      </c>
      <c r="H900" s="85">
        <f>H901</f>
        <v>2</v>
      </c>
      <c r="I900" s="85">
        <f>I901</f>
        <v>2</v>
      </c>
      <c r="J900" s="63">
        <v>0</v>
      </c>
      <c r="K900" s="76">
        <v>0</v>
      </c>
      <c r="L900" s="497">
        <f t="shared" si="329"/>
        <v>4</v>
      </c>
      <c r="M900" s="402" t="s">
        <v>880</v>
      </c>
      <c r="N900" s="402"/>
      <c r="O900" s="404">
        <v>4</v>
      </c>
      <c r="P900" s="1121" t="s">
        <v>924</v>
      </c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  <c r="AT900" s="49"/>
      <c r="AU900" s="49"/>
      <c r="AV900" s="49"/>
      <c r="AW900" s="49"/>
      <c r="AX900" s="49"/>
      <c r="AY900" s="49"/>
      <c r="AZ900" s="49"/>
      <c r="BA900" s="49"/>
      <c r="BB900" s="49"/>
      <c r="BC900" s="49"/>
      <c r="BD900" s="49"/>
      <c r="BE900" s="49"/>
      <c r="BF900" s="336"/>
    </row>
    <row r="901" spans="1:58" s="334" customFormat="1" ht="45" customHeight="1">
      <c r="A901" s="1049"/>
      <c r="B901" s="872"/>
      <c r="C901" s="882"/>
      <c r="D901" s="62">
        <v>2020</v>
      </c>
      <c r="E901" s="63">
        <f>F901+G901+H901+I901+J901</f>
        <v>4</v>
      </c>
      <c r="F901" s="63">
        <v>0</v>
      </c>
      <c r="G901" s="63">
        <v>0</v>
      </c>
      <c r="H901" s="63">
        <v>2</v>
      </c>
      <c r="I901" s="63">
        <v>2</v>
      </c>
      <c r="J901" s="63">
        <v>0</v>
      </c>
      <c r="K901" s="76">
        <v>0</v>
      </c>
      <c r="L901" s="497">
        <f t="shared" si="329"/>
        <v>4</v>
      </c>
      <c r="M901" s="402"/>
      <c r="N901" s="402"/>
      <c r="O901" s="404"/>
      <c r="P901" s="116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  <c r="AT901" s="49"/>
      <c r="AU901" s="49"/>
      <c r="AV901" s="49"/>
      <c r="AW901" s="49"/>
      <c r="AX901" s="49"/>
      <c r="AY901" s="49"/>
      <c r="AZ901" s="49"/>
      <c r="BA901" s="49"/>
      <c r="BB901" s="49"/>
      <c r="BC901" s="49"/>
      <c r="BD901" s="49"/>
      <c r="BE901" s="49"/>
      <c r="BF901" s="336"/>
    </row>
    <row r="902" spans="1:58" s="334" customFormat="1" ht="12.75" customHeight="1">
      <c r="A902" s="1048" t="s">
        <v>1312</v>
      </c>
      <c r="B902" s="881" t="s">
        <v>926</v>
      </c>
      <c r="C902" s="882"/>
      <c r="D902" s="84" t="s">
        <v>16</v>
      </c>
      <c r="E902" s="85">
        <f t="shared" ref="E902:J902" si="330">E903</f>
        <v>3</v>
      </c>
      <c r="F902" s="85">
        <f t="shared" si="330"/>
        <v>0</v>
      </c>
      <c r="G902" s="85">
        <f t="shared" si="330"/>
        <v>0</v>
      </c>
      <c r="H902" s="85">
        <f t="shared" si="330"/>
        <v>2.6</v>
      </c>
      <c r="I902" s="85">
        <f t="shared" si="330"/>
        <v>0.4</v>
      </c>
      <c r="J902" s="85">
        <f t="shared" si="330"/>
        <v>0</v>
      </c>
      <c r="K902" s="76">
        <v>0</v>
      </c>
      <c r="L902" s="497">
        <f t="shared" si="329"/>
        <v>3</v>
      </c>
      <c r="M902" s="402" t="s">
        <v>927</v>
      </c>
      <c r="N902" s="402"/>
      <c r="O902" s="404">
        <v>2</v>
      </c>
      <c r="P902" s="1121" t="s">
        <v>928</v>
      </c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49"/>
      <c r="AU902" s="49"/>
      <c r="AV902" s="49"/>
      <c r="AW902" s="49"/>
      <c r="AX902" s="49"/>
      <c r="AY902" s="49"/>
      <c r="AZ902" s="49"/>
      <c r="BA902" s="49"/>
      <c r="BB902" s="49"/>
      <c r="BC902" s="49"/>
      <c r="BD902" s="49"/>
      <c r="BE902" s="49"/>
      <c r="BF902" s="336"/>
    </row>
    <row r="903" spans="1:58" s="334" customFormat="1" ht="50.25" customHeight="1">
      <c r="A903" s="1049"/>
      <c r="B903" s="882"/>
      <c r="C903" s="882"/>
      <c r="D903" s="62">
        <v>2020</v>
      </c>
      <c r="E903" s="63">
        <f>F903+G903+H903+I903+J903</f>
        <v>3</v>
      </c>
      <c r="F903" s="63">
        <v>0</v>
      </c>
      <c r="G903" s="63">
        <v>0</v>
      </c>
      <c r="H903" s="63">
        <v>2.6</v>
      </c>
      <c r="I903" s="63">
        <v>0.4</v>
      </c>
      <c r="J903" s="63">
        <v>0</v>
      </c>
      <c r="K903" s="76">
        <v>0</v>
      </c>
      <c r="L903" s="497">
        <f t="shared" si="329"/>
        <v>3</v>
      </c>
      <c r="M903" s="402"/>
      <c r="N903" s="402"/>
      <c r="O903" s="404"/>
      <c r="P903" s="1176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  <c r="AO903" s="49"/>
      <c r="AP903" s="49"/>
      <c r="AQ903" s="49"/>
      <c r="AR903" s="49"/>
      <c r="AS903" s="49"/>
      <c r="AT903" s="49"/>
      <c r="AU903" s="49"/>
      <c r="AV903" s="49"/>
      <c r="AW903" s="49"/>
      <c r="AX903" s="49"/>
      <c r="AY903" s="49"/>
      <c r="AZ903" s="49"/>
      <c r="BA903" s="49"/>
      <c r="BB903" s="49"/>
      <c r="BC903" s="49"/>
      <c r="BD903" s="49"/>
      <c r="BE903" s="49"/>
      <c r="BF903" s="336"/>
    </row>
    <row r="904" spans="1:58" s="334" customFormat="1">
      <c r="A904" s="1048" t="s">
        <v>1313</v>
      </c>
      <c r="B904" s="867" t="s">
        <v>930</v>
      </c>
      <c r="C904" s="882"/>
      <c r="D904" s="84" t="s">
        <v>16</v>
      </c>
      <c r="E904" s="85">
        <f>E905</f>
        <v>4</v>
      </c>
      <c r="F904" s="85">
        <f>F905</f>
        <v>0</v>
      </c>
      <c r="G904" s="85">
        <f>G905</f>
        <v>0</v>
      </c>
      <c r="H904" s="85">
        <f>H905</f>
        <v>2</v>
      </c>
      <c r="I904" s="85">
        <f>I905</f>
        <v>2</v>
      </c>
      <c r="J904" s="63">
        <v>0</v>
      </c>
      <c r="K904" s="76">
        <v>0</v>
      </c>
      <c r="L904" s="497">
        <f t="shared" si="329"/>
        <v>4</v>
      </c>
      <c r="M904" s="402" t="s">
        <v>931</v>
      </c>
      <c r="N904" s="402"/>
      <c r="O904" s="404">
        <v>1</v>
      </c>
      <c r="P904" s="1163" t="s">
        <v>932</v>
      </c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  <c r="AO904" s="49"/>
      <c r="AP904" s="49"/>
      <c r="AQ904" s="49"/>
      <c r="AR904" s="49"/>
      <c r="AS904" s="49"/>
      <c r="AT904" s="49"/>
      <c r="AU904" s="49"/>
      <c r="AV904" s="49"/>
      <c r="AW904" s="49"/>
      <c r="AX904" s="49"/>
      <c r="AY904" s="49"/>
      <c r="AZ904" s="49"/>
      <c r="BA904" s="49"/>
      <c r="BB904" s="49"/>
      <c r="BC904" s="49"/>
      <c r="BD904" s="49"/>
      <c r="BE904" s="49"/>
      <c r="BF904" s="336"/>
    </row>
    <row r="905" spans="1:58" s="334" customFormat="1">
      <c r="A905" s="1050"/>
      <c r="B905" s="873"/>
      <c r="C905" s="882"/>
      <c r="D905" s="62">
        <v>2022</v>
      </c>
      <c r="E905" s="63">
        <f>F905+G905+H905+I905+J905</f>
        <v>4</v>
      </c>
      <c r="F905" s="63">
        <v>0</v>
      </c>
      <c r="G905" s="63">
        <v>0</v>
      </c>
      <c r="H905" s="63">
        <v>2</v>
      </c>
      <c r="I905" s="63">
        <v>2</v>
      </c>
      <c r="J905" s="63">
        <v>0</v>
      </c>
      <c r="K905" s="76">
        <v>0</v>
      </c>
      <c r="L905" s="497">
        <f t="shared" si="329"/>
        <v>4</v>
      </c>
      <c r="M905" s="402"/>
      <c r="N905" s="402"/>
      <c r="O905" s="404"/>
      <c r="P905" s="993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  <c r="AO905" s="49"/>
      <c r="AP905" s="49"/>
      <c r="AQ905" s="49"/>
      <c r="AR905" s="49"/>
      <c r="AS905" s="49"/>
      <c r="AT905" s="49"/>
      <c r="AU905" s="49"/>
      <c r="AV905" s="49"/>
      <c r="AW905" s="49"/>
      <c r="AX905" s="49"/>
      <c r="AY905" s="49"/>
      <c r="AZ905" s="49"/>
      <c r="BA905" s="49"/>
      <c r="BB905" s="49"/>
      <c r="BC905" s="49"/>
      <c r="BD905" s="49"/>
      <c r="BE905" s="49"/>
      <c r="BF905" s="336"/>
    </row>
    <row r="906" spans="1:58" s="334" customFormat="1" ht="12.75" customHeight="1">
      <c r="A906" s="1048" t="s">
        <v>1314</v>
      </c>
      <c r="B906" s="881" t="s">
        <v>937</v>
      </c>
      <c r="C906" s="882"/>
      <c r="D906" s="84" t="s">
        <v>16</v>
      </c>
      <c r="E906" s="85">
        <f t="shared" ref="E906:J906" si="331">E907+E908+E909</f>
        <v>11</v>
      </c>
      <c r="F906" s="85">
        <f t="shared" si="331"/>
        <v>0</v>
      </c>
      <c r="G906" s="85">
        <f t="shared" si="331"/>
        <v>0</v>
      </c>
      <c r="H906" s="85">
        <f t="shared" si="331"/>
        <v>5.5</v>
      </c>
      <c r="I906" s="85">
        <f t="shared" si="331"/>
        <v>5.5</v>
      </c>
      <c r="J906" s="85">
        <f t="shared" si="331"/>
        <v>0</v>
      </c>
      <c r="K906" s="76">
        <v>0</v>
      </c>
      <c r="L906" s="497">
        <f t="shared" si="329"/>
        <v>11</v>
      </c>
      <c r="M906" s="402" t="s">
        <v>938</v>
      </c>
      <c r="N906" s="402"/>
      <c r="O906" s="404"/>
      <c r="P906" s="842" t="s">
        <v>939</v>
      </c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  <c r="AO906" s="49"/>
      <c r="AP906" s="49"/>
      <c r="AQ906" s="49"/>
      <c r="AR906" s="49"/>
      <c r="AS906" s="49"/>
      <c r="AT906" s="49"/>
      <c r="AU906" s="49"/>
      <c r="AV906" s="49"/>
      <c r="AW906" s="49"/>
      <c r="AX906" s="49"/>
      <c r="AY906" s="49"/>
      <c r="AZ906" s="49"/>
      <c r="BA906" s="49"/>
      <c r="BB906" s="49"/>
      <c r="BC906" s="49"/>
      <c r="BD906" s="49"/>
      <c r="BE906" s="49"/>
      <c r="BF906" s="336"/>
    </row>
    <row r="907" spans="1:58" s="334" customFormat="1">
      <c r="A907" s="1049"/>
      <c r="B907" s="882"/>
      <c r="C907" s="882"/>
      <c r="D907" s="62">
        <v>2020</v>
      </c>
      <c r="E907" s="63">
        <f>F907+G907+H907+I907+J907</f>
        <v>4</v>
      </c>
      <c r="F907" s="63">
        <v>0</v>
      </c>
      <c r="G907" s="63">
        <v>0</v>
      </c>
      <c r="H907" s="63">
        <v>2</v>
      </c>
      <c r="I907" s="63">
        <v>2</v>
      </c>
      <c r="J907" s="63">
        <v>0</v>
      </c>
      <c r="K907" s="76">
        <v>0</v>
      </c>
      <c r="L907" s="497">
        <f t="shared" si="329"/>
        <v>4</v>
      </c>
      <c r="M907" s="402"/>
      <c r="N907" s="402"/>
      <c r="O907" s="404"/>
      <c r="P907" s="1016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  <c r="AO907" s="49"/>
      <c r="AP907" s="49"/>
      <c r="AQ907" s="49"/>
      <c r="AR907" s="49"/>
      <c r="AS907" s="49"/>
      <c r="AT907" s="49"/>
      <c r="AU907" s="49"/>
      <c r="AV907" s="49"/>
      <c r="AW907" s="49"/>
      <c r="AX907" s="49"/>
      <c r="AY907" s="49"/>
      <c r="AZ907" s="49"/>
      <c r="BA907" s="49"/>
      <c r="BB907" s="49"/>
      <c r="BC907" s="49"/>
      <c r="BD907" s="49"/>
      <c r="BE907" s="49"/>
      <c r="BF907" s="336"/>
    </row>
    <row r="908" spans="1:58" s="334" customFormat="1">
      <c r="A908" s="1049"/>
      <c r="B908" s="882"/>
      <c r="C908" s="882"/>
      <c r="D908" s="62">
        <v>2022</v>
      </c>
      <c r="E908" s="63">
        <f>F908+G908+H908+I908+J908</f>
        <v>4</v>
      </c>
      <c r="F908" s="63">
        <v>0</v>
      </c>
      <c r="G908" s="63">
        <v>0</v>
      </c>
      <c r="H908" s="63">
        <v>2</v>
      </c>
      <c r="I908" s="63">
        <v>2</v>
      </c>
      <c r="J908" s="63">
        <v>0</v>
      </c>
      <c r="K908" s="76">
        <v>0</v>
      </c>
      <c r="L908" s="497">
        <f t="shared" si="329"/>
        <v>4</v>
      </c>
      <c r="M908" s="402"/>
      <c r="N908" s="402"/>
      <c r="O908" s="404"/>
      <c r="P908" s="1016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  <c r="AO908" s="49"/>
      <c r="AP908" s="49"/>
      <c r="AQ908" s="49"/>
      <c r="AR908" s="49"/>
      <c r="AS908" s="49"/>
      <c r="AT908" s="49"/>
      <c r="AU908" s="49"/>
      <c r="AV908" s="49"/>
      <c r="AW908" s="49"/>
      <c r="AX908" s="49"/>
      <c r="AY908" s="49"/>
      <c r="AZ908" s="49"/>
      <c r="BA908" s="49"/>
      <c r="BB908" s="49"/>
      <c r="BC908" s="49"/>
      <c r="BD908" s="49"/>
      <c r="BE908" s="49"/>
      <c r="BF908" s="336"/>
    </row>
    <row r="909" spans="1:58" s="334" customFormat="1">
      <c r="A909" s="1050"/>
      <c r="B909" s="964"/>
      <c r="C909" s="882"/>
      <c r="D909" s="62">
        <v>2023</v>
      </c>
      <c r="E909" s="63">
        <f>H909+I909</f>
        <v>3</v>
      </c>
      <c r="F909" s="63">
        <v>0</v>
      </c>
      <c r="G909" s="63">
        <v>0</v>
      </c>
      <c r="H909" s="63">
        <v>1.5</v>
      </c>
      <c r="I909" s="63">
        <v>1.5</v>
      </c>
      <c r="J909" s="63">
        <v>0</v>
      </c>
      <c r="K909" s="76">
        <v>0</v>
      </c>
      <c r="L909" s="497"/>
      <c r="M909" s="402"/>
      <c r="N909" s="402"/>
      <c r="O909" s="404"/>
      <c r="P909" s="843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  <c r="AR909" s="49"/>
      <c r="AS909" s="49"/>
      <c r="AT909" s="49"/>
      <c r="AU909" s="49"/>
      <c r="AV909" s="49"/>
      <c r="AW909" s="49"/>
      <c r="AX909" s="49"/>
      <c r="AY909" s="49"/>
      <c r="AZ909" s="49"/>
      <c r="BA909" s="49"/>
      <c r="BB909" s="49"/>
      <c r="BC909" s="49"/>
      <c r="BD909" s="49"/>
      <c r="BE909" s="49"/>
      <c r="BF909" s="336"/>
    </row>
    <row r="910" spans="1:58" s="334" customFormat="1" ht="12.75" customHeight="1">
      <c r="A910" s="1048" t="s">
        <v>1315</v>
      </c>
      <c r="B910" s="881" t="s">
        <v>941</v>
      </c>
      <c r="C910" s="882"/>
      <c r="D910" s="84" t="s">
        <v>16</v>
      </c>
      <c r="E910" s="85">
        <f t="shared" ref="E910:J910" si="332">E911+E912+E913</f>
        <v>11</v>
      </c>
      <c r="F910" s="85">
        <f t="shared" si="332"/>
        <v>0</v>
      </c>
      <c r="G910" s="85">
        <f t="shared" si="332"/>
        <v>0</v>
      </c>
      <c r="H910" s="85">
        <f t="shared" si="332"/>
        <v>5.5</v>
      </c>
      <c r="I910" s="85">
        <f t="shared" si="332"/>
        <v>5.5</v>
      </c>
      <c r="J910" s="85">
        <f t="shared" si="332"/>
        <v>0</v>
      </c>
      <c r="K910" s="76">
        <v>0</v>
      </c>
      <c r="L910" s="497">
        <f>F910+G910+H910+I910+J910</f>
        <v>11</v>
      </c>
      <c r="M910" s="402" t="s">
        <v>927</v>
      </c>
      <c r="N910" s="402"/>
      <c r="O910" s="404">
        <v>4</v>
      </c>
      <c r="P910" s="842" t="s">
        <v>942</v>
      </c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  <c r="AO910" s="49"/>
      <c r="AP910" s="49"/>
      <c r="AQ910" s="49"/>
      <c r="AR910" s="49"/>
      <c r="AS910" s="49"/>
      <c r="AT910" s="49"/>
      <c r="AU910" s="49"/>
      <c r="AV910" s="49"/>
      <c r="AW910" s="49"/>
      <c r="AX910" s="49"/>
      <c r="AY910" s="49"/>
      <c r="AZ910" s="49"/>
      <c r="BA910" s="49"/>
      <c r="BB910" s="49"/>
      <c r="BC910" s="49"/>
      <c r="BD910" s="49"/>
      <c r="BE910" s="49"/>
      <c r="BF910" s="336"/>
    </row>
    <row r="911" spans="1:58" s="334" customFormat="1">
      <c r="A911" s="1049"/>
      <c r="B911" s="882"/>
      <c r="C911" s="882"/>
      <c r="D911" s="62">
        <v>2020</v>
      </c>
      <c r="E911" s="63">
        <f>F911+G911+H911+I911+J911</f>
        <v>4</v>
      </c>
      <c r="F911" s="63">
        <v>0</v>
      </c>
      <c r="G911" s="63">
        <v>0</v>
      </c>
      <c r="H911" s="63">
        <v>2</v>
      </c>
      <c r="I911" s="63">
        <v>2</v>
      </c>
      <c r="J911" s="63">
        <v>0</v>
      </c>
      <c r="K911" s="76">
        <v>0</v>
      </c>
      <c r="L911" s="497">
        <f>F911+G911+H911+I911+J911</f>
        <v>4</v>
      </c>
      <c r="M911" s="402"/>
      <c r="N911" s="402"/>
      <c r="O911" s="404"/>
      <c r="P911" s="1016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  <c r="AO911" s="49"/>
      <c r="AP911" s="49"/>
      <c r="AQ911" s="49"/>
      <c r="AR911" s="49"/>
      <c r="AS911" s="49"/>
      <c r="AT911" s="49"/>
      <c r="AU911" s="49"/>
      <c r="AV911" s="49"/>
      <c r="AW911" s="49"/>
      <c r="AX911" s="49"/>
      <c r="AY911" s="49"/>
      <c r="AZ911" s="49"/>
      <c r="BA911" s="49"/>
      <c r="BB911" s="49"/>
      <c r="BC911" s="49"/>
      <c r="BD911" s="49"/>
      <c r="BE911" s="49"/>
      <c r="BF911" s="336"/>
    </row>
    <row r="912" spans="1:58" s="334" customFormat="1">
      <c r="A912" s="1049"/>
      <c r="B912" s="882"/>
      <c r="C912" s="882"/>
      <c r="D912" s="62">
        <v>2022</v>
      </c>
      <c r="E912" s="63">
        <f>F912+G912+H912+I912+J912</f>
        <v>4</v>
      </c>
      <c r="F912" s="63">
        <v>0</v>
      </c>
      <c r="G912" s="63">
        <v>0</v>
      </c>
      <c r="H912" s="63">
        <v>2</v>
      </c>
      <c r="I912" s="63">
        <v>2</v>
      </c>
      <c r="J912" s="63">
        <v>0</v>
      </c>
      <c r="K912" s="76">
        <v>0</v>
      </c>
      <c r="L912" s="497">
        <f>F912+G912+H912+I912+J912</f>
        <v>4</v>
      </c>
      <c r="M912" s="402"/>
      <c r="N912" s="402"/>
      <c r="O912" s="404"/>
      <c r="P912" s="843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  <c r="AO912" s="49"/>
      <c r="AP912" s="49"/>
      <c r="AQ912" s="49"/>
      <c r="AR912" s="49"/>
      <c r="AS912" s="49"/>
      <c r="AT912" s="49"/>
      <c r="AU912" s="49"/>
      <c r="AV912" s="49"/>
      <c r="AW912" s="49"/>
      <c r="AX912" s="49"/>
      <c r="AY912" s="49"/>
      <c r="AZ912" s="49"/>
      <c r="BA912" s="49"/>
      <c r="BB912" s="49"/>
      <c r="BC912" s="49"/>
      <c r="BD912" s="49"/>
      <c r="BE912" s="49"/>
      <c r="BF912" s="336"/>
    </row>
    <row r="913" spans="1:58" s="334" customFormat="1">
      <c r="A913" s="1050"/>
      <c r="B913" s="964"/>
      <c r="C913" s="882"/>
      <c r="D913" s="284">
        <v>2023</v>
      </c>
      <c r="E913" s="314">
        <f>F913+G913+H913+I913+J913</f>
        <v>3</v>
      </c>
      <c r="F913" s="314">
        <v>0</v>
      </c>
      <c r="G913" s="314">
        <v>0</v>
      </c>
      <c r="H913" s="314">
        <v>1.5</v>
      </c>
      <c r="I913" s="314">
        <v>1.5</v>
      </c>
      <c r="J913" s="314">
        <v>0</v>
      </c>
      <c r="K913" s="76">
        <v>0</v>
      </c>
      <c r="L913" s="497"/>
      <c r="M913" s="402"/>
      <c r="N913" s="402"/>
      <c r="O913" s="404"/>
      <c r="P913" s="332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  <c r="AO913" s="49"/>
      <c r="AP913" s="49"/>
      <c r="AQ913" s="49"/>
      <c r="AR913" s="49"/>
      <c r="AS913" s="49"/>
      <c r="AT913" s="49"/>
      <c r="AU913" s="49"/>
      <c r="AV913" s="49"/>
      <c r="AW913" s="49"/>
      <c r="AX913" s="49"/>
      <c r="AY913" s="49"/>
      <c r="AZ913" s="49"/>
      <c r="BA913" s="49"/>
      <c r="BB913" s="49"/>
      <c r="BC913" s="49"/>
      <c r="BD913" s="49"/>
      <c r="BE913" s="49"/>
      <c r="BF913" s="336"/>
    </row>
    <row r="914" spans="1:58" s="334" customFormat="1" ht="12.75" customHeight="1">
      <c r="A914" s="1063" t="s">
        <v>1316</v>
      </c>
      <c r="B914" s="1019" t="s">
        <v>1317</v>
      </c>
      <c r="C914" s="1019" t="s">
        <v>1306</v>
      </c>
      <c r="D914" s="84" t="s">
        <v>16</v>
      </c>
      <c r="E914" s="85">
        <f t="shared" ref="E914:J914" si="333">E915+E916</f>
        <v>15</v>
      </c>
      <c r="F914" s="85">
        <f t="shared" si="333"/>
        <v>0</v>
      </c>
      <c r="G914" s="85">
        <f t="shared" si="333"/>
        <v>0</v>
      </c>
      <c r="H914" s="85">
        <f t="shared" si="333"/>
        <v>15</v>
      </c>
      <c r="I914" s="85">
        <f t="shared" si="333"/>
        <v>0</v>
      </c>
      <c r="J914" s="85">
        <f t="shared" si="333"/>
        <v>0</v>
      </c>
      <c r="K914" s="76">
        <v>0</v>
      </c>
      <c r="L914" s="473">
        <f>L915+L916</f>
        <v>15</v>
      </c>
      <c r="M914" s="402" t="s">
        <v>927</v>
      </c>
      <c r="N914" s="402"/>
      <c r="O914" s="404">
        <v>4</v>
      </c>
      <c r="P914" s="842" t="s">
        <v>1318</v>
      </c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  <c r="AO914" s="49"/>
      <c r="AP914" s="49"/>
      <c r="AQ914" s="49"/>
      <c r="AR914" s="49"/>
      <c r="AS914" s="49"/>
      <c r="AT914" s="49"/>
      <c r="AU914" s="49"/>
      <c r="AV914" s="49"/>
      <c r="AW914" s="49"/>
      <c r="AX914" s="49"/>
      <c r="AY914" s="49"/>
      <c r="AZ914" s="49"/>
      <c r="BA914" s="49"/>
      <c r="BB914" s="49"/>
      <c r="BC914" s="49"/>
      <c r="BD914" s="49"/>
      <c r="BE914" s="49"/>
      <c r="BF914" s="336"/>
    </row>
    <row r="915" spans="1:58" s="334" customFormat="1">
      <c r="A915" s="1063"/>
      <c r="B915" s="1019"/>
      <c r="C915" s="1019"/>
      <c r="D915" s="62">
        <v>2023</v>
      </c>
      <c r="E915" s="63">
        <f>F915+G915+H915+I915+J915</f>
        <v>10</v>
      </c>
      <c r="F915" s="63">
        <v>0</v>
      </c>
      <c r="G915" s="63">
        <v>0</v>
      </c>
      <c r="H915" s="63">
        <v>10</v>
      </c>
      <c r="I915" s="63">
        <v>0</v>
      </c>
      <c r="J915" s="63">
        <v>0</v>
      </c>
      <c r="K915" s="76">
        <v>0</v>
      </c>
      <c r="L915" s="497">
        <f>F915+G915+H915+I915+J915</f>
        <v>10</v>
      </c>
      <c r="M915" s="402"/>
      <c r="N915" s="402"/>
      <c r="O915" s="404"/>
      <c r="P915" s="1016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49"/>
      <c r="AU915" s="49"/>
      <c r="AV915" s="49"/>
      <c r="AW915" s="49"/>
      <c r="AX915" s="49"/>
      <c r="AY915" s="49"/>
      <c r="AZ915" s="49"/>
      <c r="BA915" s="49"/>
      <c r="BB915" s="49"/>
      <c r="BC915" s="49"/>
      <c r="BD915" s="49"/>
      <c r="BE915" s="49"/>
      <c r="BF915" s="336"/>
    </row>
    <row r="916" spans="1:58" s="334" customFormat="1">
      <c r="A916" s="1063"/>
      <c r="B916" s="1019"/>
      <c r="C916" s="1019"/>
      <c r="D916" s="62">
        <v>2024</v>
      </c>
      <c r="E916" s="63">
        <f>F916+G916+H916+I916+J916</f>
        <v>5</v>
      </c>
      <c r="F916" s="63">
        <v>0</v>
      </c>
      <c r="G916" s="63">
        <v>0</v>
      </c>
      <c r="H916" s="63">
        <v>5</v>
      </c>
      <c r="I916" s="63">
        <v>0</v>
      </c>
      <c r="J916" s="63">
        <v>0</v>
      </c>
      <c r="K916" s="76">
        <v>0</v>
      </c>
      <c r="L916" s="497">
        <f>F916+G916+H916+I916+J916</f>
        <v>5</v>
      </c>
      <c r="M916" s="402"/>
      <c r="N916" s="402"/>
      <c r="O916" s="404"/>
      <c r="P916" s="843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  <c r="AO916" s="49"/>
      <c r="AP916" s="49"/>
      <c r="AQ916" s="49"/>
      <c r="AR916" s="49"/>
      <c r="AS916" s="49"/>
      <c r="AT916" s="49"/>
      <c r="AU916" s="49"/>
      <c r="AV916" s="49"/>
      <c r="AW916" s="49"/>
      <c r="AX916" s="49"/>
      <c r="AY916" s="49"/>
      <c r="AZ916" s="49"/>
      <c r="BA916" s="49"/>
      <c r="BB916" s="49"/>
      <c r="BC916" s="49"/>
      <c r="BD916" s="49"/>
      <c r="BE916" s="49"/>
      <c r="BF916" s="336"/>
    </row>
    <row r="917" spans="1:58" s="334" customFormat="1" ht="12.75" customHeight="1">
      <c r="A917" s="1063" t="s">
        <v>1319</v>
      </c>
      <c r="B917" s="1019" t="s">
        <v>1320</v>
      </c>
      <c r="C917" s="1019" t="s">
        <v>1306</v>
      </c>
      <c r="D917" s="84" t="s">
        <v>16</v>
      </c>
      <c r="E917" s="85">
        <f t="shared" ref="E917:J917" si="334">E918+E919</f>
        <v>15</v>
      </c>
      <c r="F917" s="85">
        <f t="shared" si="334"/>
        <v>0</v>
      </c>
      <c r="G917" s="85">
        <f t="shared" si="334"/>
        <v>0</v>
      </c>
      <c r="H917" s="85">
        <f t="shared" si="334"/>
        <v>15</v>
      </c>
      <c r="I917" s="85">
        <f t="shared" si="334"/>
        <v>0</v>
      </c>
      <c r="J917" s="85">
        <f t="shared" si="334"/>
        <v>0</v>
      </c>
      <c r="K917" s="76">
        <v>0</v>
      </c>
      <c r="L917" s="473">
        <f>L918+L919</f>
        <v>15</v>
      </c>
      <c r="M917" s="402" t="s">
        <v>927</v>
      </c>
      <c r="N917" s="402"/>
      <c r="O917" s="404">
        <v>4</v>
      </c>
      <c r="P917" s="842" t="s">
        <v>1321</v>
      </c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  <c r="AO917" s="49"/>
      <c r="AP917" s="49"/>
      <c r="AQ917" s="49"/>
      <c r="AR917" s="49"/>
      <c r="AS917" s="49"/>
      <c r="AT917" s="49"/>
      <c r="AU917" s="49"/>
      <c r="AV917" s="49"/>
      <c r="AW917" s="49"/>
      <c r="AX917" s="49"/>
      <c r="AY917" s="49"/>
      <c r="AZ917" s="49"/>
      <c r="BA917" s="49"/>
      <c r="BB917" s="49"/>
      <c r="BC917" s="49"/>
      <c r="BD917" s="49"/>
      <c r="BE917" s="49"/>
      <c r="BF917" s="336"/>
    </row>
    <row r="918" spans="1:58" s="334" customFormat="1">
      <c r="A918" s="1063"/>
      <c r="B918" s="1019"/>
      <c r="C918" s="1019"/>
      <c r="D918" s="62">
        <v>2024</v>
      </c>
      <c r="E918" s="63">
        <f>F918+G918+H918+I918+J918</f>
        <v>10</v>
      </c>
      <c r="F918" s="63">
        <v>0</v>
      </c>
      <c r="G918" s="63">
        <v>0</v>
      </c>
      <c r="H918" s="63">
        <v>10</v>
      </c>
      <c r="I918" s="63">
        <v>0</v>
      </c>
      <c r="J918" s="63">
        <v>0</v>
      </c>
      <c r="K918" s="76">
        <v>0</v>
      </c>
      <c r="L918" s="497">
        <f>F918+G918+H918+I918+J918</f>
        <v>10</v>
      </c>
      <c r="M918" s="402"/>
      <c r="N918" s="402"/>
      <c r="O918" s="404"/>
      <c r="P918" s="1016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  <c r="AO918" s="49"/>
      <c r="AP918" s="49"/>
      <c r="AQ918" s="49"/>
      <c r="AR918" s="49"/>
      <c r="AS918" s="49"/>
      <c r="AT918" s="49"/>
      <c r="AU918" s="49"/>
      <c r="AV918" s="49"/>
      <c r="AW918" s="49"/>
      <c r="AX918" s="49"/>
      <c r="AY918" s="49"/>
      <c r="AZ918" s="49"/>
      <c r="BA918" s="49"/>
      <c r="BB918" s="49"/>
      <c r="BC918" s="49"/>
      <c r="BD918" s="49"/>
      <c r="BE918" s="49"/>
      <c r="BF918" s="336"/>
    </row>
    <row r="919" spans="1:58" s="334" customFormat="1">
      <c r="A919" s="1063"/>
      <c r="B919" s="1019"/>
      <c r="C919" s="1019"/>
      <c r="D919" s="62">
        <v>2025</v>
      </c>
      <c r="E919" s="63">
        <f>F919+G919+H919+I919+J919</f>
        <v>5</v>
      </c>
      <c r="F919" s="63">
        <v>0</v>
      </c>
      <c r="G919" s="63">
        <v>0</v>
      </c>
      <c r="H919" s="63">
        <v>5</v>
      </c>
      <c r="I919" s="63">
        <v>0</v>
      </c>
      <c r="J919" s="63">
        <v>0</v>
      </c>
      <c r="K919" s="76">
        <v>0</v>
      </c>
      <c r="L919" s="497">
        <f>F919+G919+H919+I919+J919</f>
        <v>5</v>
      </c>
      <c r="M919" s="402"/>
      <c r="N919" s="402"/>
      <c r="O919" s="404"/>
      <c r="P919" s="843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  <c r="AR919" s="49"/>
      <c r="AS919" s="49"/>
      <c r="AT919" s="49"/>
      <c r="AU919" s="49"/>
      <c r="AV919" s="49"/>
      <c r="AW919" s="49"/>
      <c r="AX919" s="49"/>
      <c r="AY919" s="49"/>
      <c r="AZ919" s="49"/>
      <c r="BA919" s="49"/>
      <c r="BB919" s="49"/>
      <c r="BC919" s="49"/>
      <c r="BD919" s="49"/>
      <c r="BE919" s="49"/>
      <c r="BF919" s="336"/>
    </row>
    <row r="920" spans="1:58" s="334" customFormat="1" ht="12.75" customHeight="1">
      <c r="A920" s="1063" t="s">
        <v>1322</v>
      </c>
      <c r="B920" s="1019" t="s">
        <v>1323</v>
      </c>
      <c r="C920" s="1019" t="s">
        <v>1306</v>
      </c>
      <c r="D920" s="84" t="s">
        <v>16</v>
      </c>
      <c r="E920" s="85">
        <f t="shared" ref="E920:J920" si="335">E921+E922</f>
        <v>15</v>
      </c>
      <c r="F920" s="85">
        <f t="shared" si="335"/>
        <v>0</v>
      </c>
      <c r="G920" s="85">
        <f t="shared" si="335"/>
        <v>0</v>
      </c>
      <c r="H920" s="85">
        <f t="shared" si="335"/>
        <v>15</v>
      </c>
      <c r="I920" s="85">
        <f t="shared" si="335"/>
        <v>0</v>
      </c>
      <c r="J920" s="85">
        <f t="shared" si="335"/>
        <v>0</v>
      </c>
      <c r="K920" s="76">
        <v>0</v>
      </c>
      <c r="L920" s="473">
        <f>L921+L922</f>
        <v>15</v>
      </c>
      <c r="M920" s="402" t="s">
        <v>927</v>
      </c>
      <c r="N920" s="402"/>
      <c r="O920" s="404">
        <v>4</v>
      </c>
      <c r="P920" s="842" t="s">
        <v>1324</v>
      </c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  <c r="AO920" s="49"/>
      <c r="AP920" s="49"/>
      <c r="AQ920" s="49"/>
      <c r="AR920" s="49"/>
      <c r="AS920" s="49"/>
      <c r="AT920" s="49"/>
      <c r="AU920" s="49"/>
      <c r="AV920" s="49"/>
      <c r="AW920" s="49"/>
      <c r="AX920" s="49"/>
      <c r="AY920" s="49"/>
      <c r="AZ920" s="49"/>
      <c r="BA920" s="49"/>
      <c r="BB920" s="49"/>
      <c r="BC920" s="49"/>
      <c r="BD920" s="49"/>
      <c r="BE920" s="49"/>
      <c r="BF920" s="336"/>
    </row>
    <row r="921" spans="1:58" s="334" customFormat="1">
      <c r="A921" s="1063"/>
      <c r="B921" s="1019"/>
      <c r="C921" s="1019"/>
      <c r="D921" s="62">
        <v>2025</v>
      </c>
      <c r="E921" s="63">
        <f>F921+G921+H921+I921+J921</f>
        <v>10</v>
      </c>
      <c r="F921" s="63">
        <v>0</v>
      </c>
      <c r="G921" s="63">
        <v>0</v>
      </c>
      <c r="H921" s="63">
        <v>10</v>
      </c>
      <c r="I921" s="63">
        <v>0</v>
      </c>
      <c r="J921" s="63">
        <v>0</v>
      </c>
      <c r="K921" s="76">
        <v>0</v>
      </c>
      <c r="L921" s="497">
        <f t="shared" ref="L921:L958" si="336">F921+G921+H921+I921+J921</f>
        <v>10</v>
      </c>
      <c r="M921" s="402"/>
      <c r="N921" s="402"/>
      <c r="O921" s="404"/>
      <c r="P921" s="1016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  <c r="AO921" s="49"/>
      <c r="AP921" s="49"/>
      <c r="AQ921" s="49"/>
      <c r="AR921" s="49"/>
      <c r="AS921" s="49"/>
      <c r="AT921" s="49"/>
      <c r="AU921" s="49"/>
      <c r="AV921" s="49"/>
      <c r="AW921" s="49"/>
      <c r="AX921" s="49"/>
      <c r="AY921" s="49"/>
      <c r="AZ921" s="49"/>
      <c r="BA921" s="49"/>
      <c r="BB921" s="49"/>
      <c r="BC921" s="49"/>
      <c r="BD921" s="49"/>
      <c r="BE921" s="49"/>
      <c r="BF921" s="336"/>
    </row>
    <row r="922" spans="1:58" s="334" customFormat="1">
      <c r="A922" s="1063"/>
      <c r="B922" s="1019"/>
      <c r="C922" s="1019"/>
      <c r="D922" s="62">
        <v>2026</v>
      </c>
      <c r="E922" s="63">
        <f>F922+G922+H922+I922+J922</f>
        <v>5</v>
      </c>
      <c r="F922" s="63">
        <v>0</v>
      </c>
      <c r="G922" s="63">
        <v>0</v>
      </c>
      <c r="H922" s="63">
        <v>5</v>
      </c>
      <c r="I922" s="63">
        <v>0</v>
      </c>
      <c r="J922" s="63">
        <v>0</v>
      </c>
      <c r="K922" s="76">
        <v>0</v>
      </c>
      <c r="L922" s="497">
        <f t="shared" si="336"/>
        <v>5</v>
      </c>
      <c r="M922" s="402"/>
      <c r="N922" s="402"/>
      <c r="O922" s="404"/>
      <c r="P922" s="843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  <c r="AO922" s="49"/>
      <c r="AP922" s="49"/>
      <c r="AQ922" s="49"/>
      <c r="AR922" s="49"/>
      <c r="AS922" s="49"/>
      <c r="AT922" s="49"/>
      <c r="AU922" s="49"/>
      <c r="AV922" s="49"/>
      <c r="AW922" s="49"/>
      <c r="AX922" s="49"/>
      <c r="AY922" s="49"/>
      <c r="AZ922" s="49"/>
      <c r="BA922" s="49"/>
      <c r="BB922" s="49"/>
      <c r="BC922" s="49"/>
      <c r="BD922" s="49"/>
      <c r="BE922" s="49"/>
      <c r="BF922" s="336"/>
    </row>
    <row r="923" spans="1:58" s="334" customFormat="1" ht="24" customHeight="1">
      <c r="A923" s="1190" t="s">
        <v>1325</v>
      </c>
      <c r="B923" s="929" t="s">
        <v>944</v>
      </c>
      <c r="C923" s="1161"/>
      <c r="D923" s="140" t="s">
        <v>16</v>
      </c>
      <c r="E923" s="141">
        <f t="shared" ref="E923:J923" si="337">SUM(E924:E935)</f>
        <v>132142.06659888051</v>
      </c>
      <c r="F923" s="141">
        <f t="shared" si="337"/>
        <v>2.2365988804812797</v>
      </c>
      <c r="G923" s="141">
        <f t="shared" si="337"/>
        <v>0</v>
      </c>
      <c r="H923" s="141">
        <f t="shared" si="337"/>
        <v>0</v>
      </c>
      <c r="I923" s="141">
        <f t="shared" si="337"/>
        <v>132139.83000000002</v>
      </c>
      <c r="J923" s="141">
        <f t="shared" si="337"/>
        <v>0</v>
      </c>
      <c r="K923" s="76">
        <v>0</v>
      </c>
      <c r="L923" s="497">
        <f t="shared" si="336"/>
        <v>132142.06659888048</v>
      </c>
      <c r="M923" s="402"/>
      <c r="N923" s="402"/>
      <c r="O923" s="404"/>
      <c r="P923" s="332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  <c r="AO923" s="49"/>
      <c r="AP923" s="49"/>
      <c r="AQ923" s="49"/>
      <c r="AR923" s="49"/>
      <c r="AS923" s="49"/>
      <c r="AT923" s="49"/>
      <c r="AU923" s="49"/>
      <c r="AV923" s="49"/>
      <c r="AW923" s="49"/>
      <c r="AX923" s="49"/>
      <c r="AY923" s="49"/>
      <c r="AZ923" s="49"/>
      <c r="BA923" s="49"/>
      <c r="BB923" s="49"/>
      <c r="BC923" s="49"/>
      <c r="BD923" s="49"/>
      <c r="BE923" s="49"/>
      <c r="BF923" s="336"/>
    </row>
    <row r="924" spans="1:58" s="334" customFormat="1">
      <c r="A924" s="1191"/>
      <c r="B924" s="868"/>
      <c r="C924" s="1125"/>
      <c r="D924" s="140">
        <v>2019</v>
      </c>
      <c r="E924" s="141">
        <f t="shared" ref="E924:J935" si="338">E937+E987+E1013+E1039</f>
        <v>28255.242699999999</v>
      </c>
      <c r="F924" s="141">
        <f t="shared" si="338"/>
        <v>6.2700000000000006E-2</v>
      </c>
      <c r="G924" s="141">
        <f t="shared" si="338"/>
        <v>0</v>
      </c>
      <c r="H924" s="141">
        <f t="shared" si="338"/>
        <v>0</v>
      </c>
      <c r="I924" s="141">
        <f t="shared" si="338"/>
        <v>28255.18</v>
      </c>
      <c r="J924" s="141">
        <f t="shared" si="338"/>
        <v>0</v>
      </c>
      <c r="K924" s="76">
        <v>0</v>
      </c>
      <c r="L924" s="497">
        <f t="shared" si="336"/>
        <v>28255.242699999999</v>
      </c>
      <c r="M924" s="577"/>
      <c r="N924" s="402"/>
      <c r="O924" s="404"/>
      <c r="P924" s="332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  <c r="AO924" s="49"/>
      <c r="AP924" s="49"/>
      <c r="AQ924" s="49"/>
      <c r="AR924" s="49"/>
      <c r="AS924" s="49"/>
      <c r="AT924" s="49"/>
      <c r="AU924" s="49"/>
      <c r="AV924" s="49"/>
      <c r="AW924" s="49"/>
      <c r="AX924" s="49"/>
      <c r="AY924" s="49"/>
      <c r="AZ924" s="49"/>
      <c r="BA924" s="49"/>
      <c r="BB924" s="49"/>
      <c r="BC924" s="49"/>
      <c r="BD924" s="49"/>
      <c r="BE924" s="49"/>
      <c r="BF924" s="336"/>
    </row>
    <row r="925" spans="1:58" s="334" customFormat="1">
      <c r="A925" s="1191"/>
      <c r="B925" s="868"/>
      <c r="C925" s="1125"/>
      <c r="D925" s="140">
        <v>2020</v>
      </c>
      <c r="E925" s="141">
        <f t="shared" si="338"/>
        <v>40983.826150000008</v>
      </c>
      <c r="F925" s="141">
        <f t="shared" si="338"/>
        <v>0.17615</v>
      </c>
      <c r="G925" s="141">
        <f t="shared" si="338"/>
        <v>0</v>
      </c>
      <c r="H925" s="141">
        <f t="shared" si="338"/>
        <v>0</v>
      </c>
      <c r="I925" s="141">
        <f t="shared" si="338"/>
        <v>40983.65</v>
      </c>
      <c r="J925" s="141">
        <f t="shared" si="338"/>
        <v>0</v>
      </c>
      <c r="K925" s="76">
        <v>0</v>
      </c>
      <c r="L925" s="497">
        <f t="shared" si="336"/>
        <v>40983.826150000001</v>
      </c>
      <c r="M925" s="577"/>
      <c r="N925" s="402"/>
      <c r="O925" s="404"/>
      <c r="P925" s="332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  <c r="AT925" s="49"/>
      <c r="AU925" s="49"/>
      <c r="AV925" s="49"/>
      <c r="AW925" s="49"/>
      <c r="AX925" s="49"/>
      <c r="AY925" s="49"/>
      <c r="AZ925" s="49"/>
      <c r="BA925" s="49"/>
      <c r="BB925" s="49"/>
      <c r="BC925" s="49"/>
      <c r="BD925" s="49"/>
      <c r="BE925" s="49"/>
      <c r="BF925" s="336"/>
    </row>
    <row r="926" spans="1:58" s="334" customFormat="1">
      <c r="A926" s="1191"/>
      <c r="B926" s="868"/>
      <c r="C926" s="1125"/>
      <c r="D926" s="140">
        <v>2021</v>
      </c>
      <c r="E926" s="141">
        <f t="shared" si="338"/>
        <v>33132.114100000006</v>
      </c>
      <c r="F926" s="141">
        <f t="shared" si="338"/>
        <v>0.11409999999999999</v>
      </c>
      <c r="G926" s="141">
        <f t="shared" si="338"/>
        <v>0</v>
      </c>
      <c r="H926" s="141">
        <f t="shared" si="338"/>
        <v>0</v>
      </c>
      <c r="I926" s="141">
        <f t="shared" si="338"/>
        <v>33132</v>
      </c>
      <c r="J926" s="141">
        <f t="shared" si="338"/>
        <v>0</v>
      </c>
      <c r="K926" s="76">
        <v>0</v>
      </c>
      <c r="L926" s="497">
        <f t="shared" si="336"/>
        <v>33132.114099999999</v>
      </c>
      <c r="M926" s="577"/>
      <c r="N926" s="402"/>
      <c r="O926" s="404"/>
      <c r="P926" s="332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  <c r="AT926" s="49"/>
      <c r="AU926" s="49"/>
      <c r="AV926" s="49"/>
      <c r="AW926" s="49"/>
      <c r="AX926" s="49"/>
      <c r="AY926" s="49"/>
      <c r="AZ926" s="49"/>
      <c r="BA926" s="49"/>
      <c r="BB926" s="49"/>
      <c r="BC926" s="49"/>
      <c r="BD926" s="49"/>
      <c r="BE926" s="49"/>
      <c r="BF926" s="336"/>
    </row>
    <row r="927" spans="1:58" s="334" customFormat="1">
      <c r="A927" s="1191"/>
      <c r="B927" s="868"/>
      <c r="C927" s="1125"/>
      <c r="D927" s="140">
        <v>2022</v>
      </c>
      <c r="E927" s="141">
        <f t="shared" si="338"/>
        <v>18329.116099999999</v>
      </c>
      <c r="F927" s="141">
        <f t="shared" si="338"/>
        <v>0.11609999999999999</v>
      </c>
      <c r="G927" s="141">
        <f t="shared" si="338"/>
        <v>0</v>
      </c>
      <c r="H927" s="141">
        <f t="shared" si="338"/>
        <v>0</v>
      </c>
      <c r="I927" s="141">
        <f t="shared" si="338"/>
        <v>18329</v>
      </c>
      <c r="J927" s="141">
        <f t="shared" si="338"/>
        <v>0</v>
      </c>
      <c r="K927" s="76">
        <v>0</v>
      </c>
      <c r="L927" s="497">
        <f t="shared" si="336"/>
        <v>18329.116099999999</v>
      </c>
      <c r="M927" s="577"/>
      <c r="N927" s="402"/>
      <c r="O927" s="404"/>
      <c r="P927" s="332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  <c r="AO927" s="49"/>
      <c r="AP927" s="49"/>
      <c r="AQ927" s="49"/>
      <c r="AR927" s="49"/>
      <c r="AS927" s="49"/>
      <c r="AT927" s="49"/>
      <c r="AU927" s="49"/>
      <c r="AV927" s="49"/>
      <c r="AW927" s="49"/>
      <c r="AX927" s="49"/>
      <c r="AY927" s="49"/>
      <c r="AZ927" s="49"/>
      <c r="BA927" s="49"/>
      <c r="BB927" s="49"/>
      <c r="BC927" s="49"/>
      <c r="BD927" s="49"/>
      <c r="BE927" s="49"/>
      <c r="BF927" s="336"/>
    </row>
    <row r="928" spans="1:58" s="334" customFormat="1">
      <c r="A928" s="1191"/>
      <c r="B928" s="868"/>
      <c r="C928" s="1125"/>
      <c r="D928" s="140">
        <v>2023</v>
      </c>
      <c r="E928" s="141">
        <f t="shared" si="338"/>
        <v>11440.113899999998</v>
      </c>
      <c r="F928" s="141">
        <f t="shared" si="338"/>
        <v>0.1139</v>
      </c>
      <c r="G928" s="141">
        <f t="shared" si="338"/>
        <v>0</v>
      </c>
      <c r="H928" s="141">
        <f t="shared" si="338"/>
        <v>0</v>
      </c>
      <c r="I928" s="141">
        <f t="shared" si="338"/>
        <v>11440</v>
      </c>
      <c r="J928" s="141">
        <f t="shared" si="338"/>
        <v>0</v>
      </c>
      <c r="K928" s="76">
        <v>0</v>
      </c>
      <c r="L928" s="497">
        <f t="shared" si="336"/>
        <v>11440.1139</v>
      </c>
      <c r="M928" s="577"/>
      <c r="N928" s="402"/>
      <c r="O928" s="404"/>
      <c r="P928" s="332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49"/>
      <c r="AU928" s="49"/>
      <c r="AV928" s="49"/>
      <c r="AW928" s="49"/>
      <c r="AX928" s="49"/>
      <c r="AY928" s="49"/>
      <c r="AZ928" s="49"/>
      <c r="BA928" s="49"/>
      <c r="BB928" s="49"/>
      <c r="BC928" s="49"/>
      <c r="BD928" s="49"/>
      <c r="BE928" s="49"/>
      <c r="BF928" s="336"/>
    </row>
    <row r="929" spans="1:58" s="334" customFormat="1">
      <c r="A929" s="1191"/>
      <c r="B929" s="868"/>
      <c r="C929" s="1125"/>
      <c r="D929" s="140">
        <v>2024</v>
      </c>
      <c r="E929" s="141">
        <f t="shared" si="338"/>
        <v>0.21138999999999999</v>
      </c>
      <c r="F929" s="141">
        <f t="shared" si="338"/>
        <v>0.21138999999999999</v>
      </c>
      <c r="G929" s="141">
        <f t="shared" si="338"/>
        <v>0</v>
      </c>
      <c r="H929" s="141">
        <f t="shared" si="338"/>
        <v>0</v>
      </c>
      <c r="I929" s="141">
        <f t="shared" si="338"/>
        <v>0</v>
      </c>
      <c r="J929" s="141">
        <f t="shared" si="338"/>
        <v>0</v>
      </c>
      <c r="K929" s="76">
        <v>0</v>
      </c>
      <c r="L929" s="497">
        <f t="shared" si="336"/>
        <v>0.21138999999999999</v>
      </c>
      <c r="M929" s="577"/>
      <c r="N929" s="402"/>
      <c r="O929" s="404"/>
      <c r="P929" s="332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  <c r="AO929" s="49"/>
      <c r="AP929" s="49"/>
      <c r="AQ929" s="49"/>
      <c r="AR929" s="49"/>
      <c r="AS929" s="49"/>
      <c r="AT929" s="49"/>
      <c r="AU929" s="49"/>
      <c r="AV929" s="49"/>
      <c r="AW929" s="49"/>
      <c r="AX929" s="49"/>
      <c r="AY929" s="49"/>
      <c r="AZ929" s="49"/>
      <c r="BA929" s="49"/>
      <c r="BB929" s="49"/>
      <c r="BC929" s="49"/>
      <c r="BD929" s="49"/>
      <c r="BE929" s="49"/>
      <c r="BF929" s="336"/>
    </row>
    <row r="930" spans="1:58" s="334" customFormat="1">
      <c r="A930" s="1191"/>
      <c r="B930" s="868"/>
      <c r="C930" s="1125"/>
      <c r="D930" s="140">
        <v>2025</v>
      </c>
      <c r="E930" s="141">
        <f t="shared" si="338"/>
        <v>0.21740000000000001</v>
      </c>
      <c r="F930" s="141">
        <f t="shared" si="338"/>
        <v>0.21740000000000001</v>
      </c>
      <c r="G930" s="141">
        <f t="shared" si="338"/>
        <v>0</v>
      </c>
      <c r="H930" s="141">
        <f t="shared" si="338"/>
        <v>0</v>
      </c>
      <c r="I930" s="141">
        <f t="shared" si="338"/>
        <v>0</v>
      </c>
      <c r="J930" s="141">
        <f t="shared" si="338"/>
        <v>0</v>
      </c>
      <c r="K930" s="76">
        <v>0</v>
      </c>
      <c r="L930" s="497">
        <f t="shared" si="336"/>
        <v>0.21740000000000001</v>
      </c>
      <c r="M930" s="577"/>
      <c r="N930" s="402"/>
      <c r="O930" s="404"/>
      <c r="P930" s="332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  <c r="AO930" s="49"/>
      <c r="AP930" s="49"/>
      <c r="AQ930" s="49"/>
      <c r="AR930" s="49"/>
      <c r="AS930" s="49"/>
      <c r="AT930" s="49"/>
      <c r="AU930" s="49"/>
      <c r="AV930" s="49"/>
      <c r="AW930" s="49"/>
      <c r="AX930" s="49"/>
      <c r="AY930" s="49"/>
      <c r="AZ930" s="49"/>
      <c r="BA930" s="49"/>
      <c r="BB930" s="49"/>
      <c r="BC930" s="49"/>
      <c r="BD930" s="49"/>
      <c r="BE930" s="49"/>
      <c r="BF930" s="336"/>
    </row>
    <row r="931" spans="1:58" s="334" customFormat="1">
      <c r="A931" s="1191"/>
      <c r="B931" s="868"/>
      <c r="C931" s="1125"/>
      <c r="D931" s="140">
        <v>2026</v>
      </c>
      <c r="E931" s="141">
        <f t="shared" si="338"/>
        <v>0.22608800000000001</v>
      </c>
      <c r="F931" s="141">
        <f t="shared" si="338"/>
        <v>0.22608800000000001</v>
      </c>
      <c r="G931" s="141">
        <f t="shared" si="338"/>
        <v>0</v>
      </c>
      <c r="H931" s="141">
        <f t="shared" si="338"/>
        <v>0</v>
      </c>
      <c r="I931" s="141">
        <f t="shared" si="338"/>
        <v>0</v>
      </c>
      <c r="J931" s="141">
        <f t="shared" si="338"/>
        <v>0</v>
      </c>
      <c r="K931" s="76">
        <v>0</v>
      </c>
      <c r="L931" s="497">
        <f t="shared" si="336"/>
        <v>0.22608800000000001</v>
      </c>
      <c r="M931" s="577"/>
      <c r="N931" s="402"/>
      <c r="O931" s="404"/>
      <c r="P931" s="332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  <c r="AO931" s="49"/>
      <c r="AP931" s="49"/>
      <c r="AQ931" s="49"/>
      <c r="AR931" s="49"/>
      <c r="AS931" s="49"/>
      <c r="AT931" s="49"/>
      <c r="AU931" s="49"/>
      <c r="AV931" s="49"/>
      <c r="AW931" s="49"/>
      <c r="AX931" s="49"/>
      <c r="AY931" s="49"/>
      <c r="AZ931" s="49"/>
      <c r="BA931" s="49"/>
      <c r="BB931" s="49"/>
      <c r="BC931" s="49"/>
      <c r="BD931" s="49"/>
      <c r="BE931" s="49"/>
      <c r="BF931" s="336"/>
    </row>
    <row r="932" spans="1:58" s="334" customFormat="1">
      <c r="A932" s="1191"/>
      <c r="B932" s="868"/>
      <c r="C932" s="1125"/>
      <c r="D932" s="140">
        <v>2027</v>
      </c>
      <c r="E932" s="141">
        <f t="shared" si="338"/>
        <v>0.23515552000000001</v>
      </c>
      <c r="F932" s="141">
        <f t="shared" si="338"/>
        <v>0.23515552000000001</v>
      </c>
      <c r="G932" s="141">
        <f t="shared" si="338"/>
        <v>0</v>
      </c>
      <c r="H932" s="141">
        <f t="shared" si="338"/>
        <v>0</v>
      </c>
      <c r="I932" s="141">
        <f t="shared" si="338"/>
        <v>0</v>
      </c>
      <c r="J932" s="141">
        <f t="shared" si="338"/>
        <v>0</v>
      </c>
      <c r="K932" s="76">
        <v>0</v>
      </c>
      <c r="L932" s="497">
        <f t="shared" si="336"/>
        <v>0.23515552000000001</v>
      </c>
      <c r="M932" s="577"/>
      <c r="N932" s="402"/>
      <c r="O932" s="404"/>
      <c r="P932" s="332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  <c r="AO932" s="49"/>
      <c r="AP932" s="49"/>
      <c r="AQ932" s="49"/>
      <c r="AR932" s="49"/>
      <c r="AS932" s="49"/>
      <c r="AT932" s="49"/>
      <c r="AU932" s="49"/>
      <c r="AV932" s="49"/>
      <c r="AW932" s="49"/>
      <c r="AX932" s="49"/>
      <c r="AY932" s="49"/>
      <c r="AZ932" s="49"/>
      <c r="BA932" s="49"/>
      <c r="BB932" s="49"/>
      <c r="BC932" s="49"/>
      <c r="BD932" s="49"/>
      <c r="BE932" s="49"/>
      <c r="BF932" s="336"/>
    </row>
    <row r="933" spans="1:58" s="334" customFormat="1">
      <c r="A933" s="1191"/>
      <c r="B933" s="868"/>
      <c r="C933" s="1125"/>
      <c r="D933" s="140">
        <v>2028</v>
      </c>
      <c r="E933" s="141">
        <f t="shared" si="338"/>
        <v>0.24460574080000003</v>
      </c>
      <c r="F933" s="141">
        <f t="shared" si="338"/>
        <v>0.24460574080000003</v>
      </c>
      <c r="G933" s="141">
        <f t="shared" si="338"/>
        <v>0</v>
      </c>
      <c r="H933" s="141">
        <f t="shared" si="338"/>
        <v>0</v>
      </c>
      <c r="I933" s="141">
        <f t="shared" si="338"/>
        <v>0</v>
      </c>
      <c r="J933" s="141">
        <f t="shared" si="338"/>
        <v>0</v>
      </c>
      <c r="K933" s="76">
        <v>0</v>
      </c>
      <c r="L933" s="497">
        <f t="shared" si="336"/>
        <v>0.24460574080000003</v>
      </c>
      <c r="M933" s="577"/>
      <c r="N933" s="402"/>
      <c r="O933" s="404"/>
      <c r="P933" s="332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  <c r="AO933" s="49"/>
      <c r="AP933" s="49"/>
      <c r="AQ933" s="49"/>
      <c r="AR933" s="49"/>
      <c r="AS933" s="49"/>
      <c r="AT933" s="49"/>
      <c r="AU933" s="49"/>
      <c r="AV933" s="49"/>
      <c r="AW933" s="49"/>
      <c r="AX933" s="49"/>
      <c r="AY933" s="49"/>
      <c r="AZ933" s="49"/>
      <c r="BA933" s="49"/>
      <c r="BB933" s="49"/>
      <c r="BC933" s="49"/>
      <c r="BD933" s="49"/>
      <c r="BE933" s="49"/>
      <c r="BF933" s="336"/>
    </row>
    <row r="934" spans="1:58" s="334" customFormat="1">
      <c r="A934" s="1191"/>
      <c r="B934" s="868"/>
      <c r="C934" s="1125"/>
      <c r="D934" s="140">
        <v>2029</v>
      </c>
      <c r="E934" s="141">
        <f t="shared" si="338"/>
        <v>0.25444197043200001</v>
      </c>
      <c r="F934" s="141">
        <f t="shared" si="338"/>
        <v>0.25444197043200001</v>
      </c>
      <c r="G934" s="141">
        <f t="shared" si="338"/>
        <v>0</v>
      </c>
      <c r="H934" s="141">
        <f t="shared" si="338"/>
        <v>0</v>
      </c>
      <c r="I934" s="141">
        <f t="shared" si="338"/>
        <v>0</v>
      </c>
      <c r="J934" s="141">
        <f t="shared" si="338"/>
        <v>0</v>
      </c>
      <c r="K934" s="76">
        <v>0</v>
      </c>
      <c r="L934" s="497">
        <f t="shared" si="336"/>
        <v>0.25444197043200001</v>
      </c>
      <c r="M934" s="577"/>
      <c r="N934" s="402"/>
      <c r="O934" s="404"/>
      <c r="P934" s="332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  <c r="AO934" s="49"/>
      <c r="AP934" s="49"/>
      <c r="AQ934" s="49"/>
      <c r="AR934" s="49"/>
      <c r="AS934" s="49"/>
      <c r="AT934" s="49"/>
      <c r="AU934" s="49"/>
      <c r="AV934" s="49"/>
      <c r="AW934" s="49"/>
      <c r="AX934" s="49"/>
      <c r="AY934" s="49"/>
      <c r="AZ934" s="49"/>
      <c r="BA934" s="49"/>
      <c r="BB934" s="49"/>
      <c r="BC934" s="49"/>
      <c r="BD934" s="49"/>
      <c r="BE934" s="49"/>
      <c r="BF934" s="336"/>
    </row>
    <row r="935" spans="1:58" s="334" customFormat="1">
      <c r="A935" s="1192"/>
      <c r="B935" s="869"/>
      <c r="C935" s="1103"/>
      <c r="D935" s="140">
        <v>2030</v>
      </c>
      <c r="E935" s="141">
        <f t="shared" si="338"/>
        <v>0.26456764924928</v>
      </c>
      <c r="F935" s="141">
        <f t="shared" si="338"/>
        <v>0.26456764924928</v>
      </c>
      <c r="G935" s="141">
        <f t="shared" si="338"/>
        <v>0</v>
      </c>
      <c r="H935" s="141">
        <f t="shared" si="338"/>
        <v>0</v>
      </c>
      <c r="I935" s="141">
        <f t="shared" si="338"/>
        <v>0</v>
      </c>
      <c r="J935" s="141">
        <f t="shared" si="338"/>
        <v>0</v>
      </c>
      <c r="K935" s="76">
        <v>0</v>
      </c>
      <c r="L935" s="497">
        <f t="shared" si="336"/>
        <v>0.26456764924928</v>
      </c>
      <c r="M935" s="577"/>
      <c r="N935" s="402"/>
      <c r="O935" s="404"/>
      <c r="P935" s="332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  <c r="AO935" s="49"/>
      <c r="AP935" s="49"/>
      <c r="AQ935" s="49"/>
      <c r="AR935" s="49"/>
      <c r="AS935" s="49"/>
      <c r="AT935" s="49"/>
      <c r="AU935" s="49"/>
      <c r="AV935" s="49"/>
      <c r="AW935" s="49"/>
      <c r="AX935" s="49"/>
      <c r="AY935" s="49"/>
      <c r="AZ935" s="49"/>
      <c r="BA935" s="49"/>
      <c r="BB935" s="49"/>
      <c r="BC935" s="49"/>
      <c r="BD935" s="49"/>
      <c r="BE935" s="49"/>
      <c r="BF935" s="336"/>
    </row>
    <row r="936" spans="1:58" s="334" customFormat="1" ht="15.75" customHeight="1">
      <c r="A936" s="972" t="s">
        <v>1326</v>
      </c>
      <c r="B936" s="1059" t="s">
        <v>946</v>
      </c>
      <c r="C936" s="1177"/>
      <c r="D936" s="284" t="s">
        <v>16</v>
      </c>
      <c r="E936" s="314">
        <f t="shared" ref="E936:J936" si="339">SUM(E937:E948)</f>
        <v>132140.39770888048</v>
      </c>
      <c r="F936" s="314">
        <f t="shared" si="339"/>
        <v>0.5677088804812801</v>
      </c>
      <c r="G936" s="314">
        <f t="shared" si="339"/>
        <v>0</v>
      </c>
      <c r="H936" s="314">
        <f t="shared" si="339"/>
        <v>0</v>
      </c>
      <c r="I936" s="314">
        <f t="shared" si="339"/>
        <v>132139.83000000002</v>
      </c>
      <c r="J936" s="314">
        <f t="shared" si="339"/>
        <v>0</v>
      </c>
      <c r="K936" s="76">
        <v>0</v>
      </c>
      <c r="L936" s="497">
        <f t="shared" si="336"/>
        <v>132140.39770888051</v>
      </c>
      <c r="M936" s="577"/>
      <c r="N936" s="143"/>
      <c r="O936" s="335"/>
      <c r="P936" s="477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  <c r="AO936" s="49"/>
      <c r="AP936" s="49"/>
      <c r="AQ936" s="49"/>
      <c r="AR936" s="49"/>
      <c r="AS936" s="49"/>
      <c r="AT936" s="49"/>
      <c r="AU936" s="49"/>
      <c r="AV936" s="49"/>
      <c r="AW936" s="49"/>
      <c r="AX936" s="49"/>
      <c r="AY936" s="49"/>
      <c r="AZ936" s="49"/>
      <c r="BA936" s="49"/>
      <c r="BB936" s="49"/>
      <c r="BC936" s="49"/>
      <c r="BD936" s="49"/>
      <c r="BE936" s="49"/>
      <c r="BF936" s="336"/>
    </row>
    <row r="937" spans="1:58" s="51" customFormat="1">
      <c r="A937" s="1205"/>
      <c r="B937" s="889"/>
      <c r="C937" s="1178"/>
      <c r="D937" s="62">
        <v>2019</v>
      </c>
      <c r="E937" s="63">
        <f t="shared" ref="E937:J937" si="340">E950+E956+E961</f>
        <v>28255.192200000001</v>
      </c>
      <c r="F937" s="63">
        <f t="shared" si="340"/>
        <v>1.2200000000000001E-2</v>
      </c>
      <c r="G937" s="63">
        <f t="shared" si="340"/>
        <v>0</v>
      </c>
      <c r="H937" s="63">
        <f t="shared" si="340"/>
        <v>0</v>
      </c>
      <c r="I937" s="63">
        <f t="shared" si="340"/>
        <v>28255.18</v>
      </c>
      <c r="J937" s="63">
        <f t="shared" si="340"/>
        <v>0</v>
      </c>
      <c r="K937" s="76">
        <v>0</v>
      </c>
      <c r="L937" s="497">
        <f t="shared" si="336"/>
        <v>28255.192200000001</v>
      </c>
      <c r="M937" s="577"/>
      <c r="N937" s="88"/>
      <c r="O937" s="301"/>
      <c r="P937" s="477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  <c r="AO937" s="49"/>
      <c r="AP937" s="49"/>
      <c r="AQ937" s="49"/>
      <c r="AR937" s="49"/>
      <c r="AS937" s="49"/>
      <c r="AT937" s="49"/>
      <c r="AU937" s="49"/>
      <c r="AV937" s="49"/>
      <c r="AW937" s="49"/>
      <c r="AX937" s="49"/>
      <c r="AY937" s="49"/>
      <c r="AZ937" s="49"/>
      <c r="BA937" s="49"/>
      <c r="BB937" s="49"/>
      <c r="BC937" s="49"/>
      <c r="BD937" s="49"/>
      <c r="BE937" s="49"/>
      <c r="BF937" s="68"/>
    </row>
    <row r="938" spans="1:58" s="51" customFormat="1">
      <c r="A938" s="1205"/>
      <c r="B938" s="889"/>
      <c r="C938" s="1178"/>
      <c r="D938" s="62">
        <v>2020</v>
      </c>
      <c r="E938" s="63">
        <f t="shared" ref="E938:J938" si="341">E951+E962+E957</f>
        <v>40983.692360000001</v>
      </c>
      <c r="F938" s="63">
        <f t="shared" si="341"/>
        <v>4.2360000000000002E-2</v>
      </c>
      <c r="G938" s="63">
        <f t="shared" si="341"/>
        <v>0</v>
      </c>
      <c r="H938" s="63">
        <f t="shared" si="341"/>
        <v>0</v>
      </c>
      <c r="I938" s="63">
        <f t="shared" si="341"/>
        <v>40983.65</v>
      </c>
      <c r="J938" s="63">
        <f t="shared" si="341"/>
        <v>0</v>
      </c>
      <c r="K938" s="76">
        <v>0</v>
      </c>
      <c r="L938" s="497">
        <f t="shared" si="336"/>
        <v>40983.692360000001</v>
      </c>
      <c r="M938" s="577"/>
      <c r="N938" s="88"/>
      <c r="O938" s="301"/>
      <c r="P938" s="477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  <c r="AO938" s="49"/>
      <c r="AP938" s="49"/>
      <c r="AQ938" s="49"/>
      <c r="AR938" s="49"/>
      <c r="AS938" s="49"/>
      <c r="AT938" s="49"/>
      <c r="AU938" s="49"/>
      <c r="AV938" s="49"/>
      <c r="AW938" s="49"/>
      <c r="AX938" s="49"/>
      <c r="AY938" s="49"/>
      <c r="AZ938" s="49"/>
      <c r="BA938" s="49"/>
      <c r="BB938" s="49"/>
      <c r="BC938" s="49"/>
      <c r="BD938" s="49"/>
      <c r="BE938" s="49"/>
      <c r="BF938" s="68"/>
    </row>
    <row r="939" spans="1:58" s="51" customFormat="1">
      <c r="A939" s="1205"/>
      <c r="B939" s="889"/>
      <c r="C939" s="1178"/>
      <c r="D939" s="62">
        <v>2021</v>
      </c>
      <c r="E939" s="63">
        <f>E952+E963+E958</f>
        <v>33132.044000000002</v>
      </c>
      <c r="F939" s="63">
        <f>F952+F963+F958</f>
        <v>4.3999999999999997E-2</v>
      </c>
      <c r="G939" s="63">
        <f>G952+G963+G958</f>
        <v>0</v>
      </c>
      <c r="H939" s="63">
        <f>H952+H963+H958</f>
        <v>0</v>
      </c>
      <c r="I939" s="63">
        <f>I952+I963+I958</f>
        <v>33132</v>
      </c>
      <c r="J939" s="63">
        <f>J952+J963</f>
        <v>0</v>
      </c>
      <c r="K939" s="76">
        <v>0</v>
      </c>
      <c r="L939" s="497">
        <f t="shared" si="336"/>
        <v>33132.044000000002</v>
      </c>
      <c r="M939" s="577"/>
      <c r="N939" s="88"/>
      <c r="O939" s="301"/>
      <c r="P939" s="477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  <c r="AO939" s="49"/>
      <c r="AP939" s="49"/>
      <c r="AQ939" s="49"/>
      <c r="AR939" s="49"/>
      <c r="AS939" s="49"/>
      <c r="AT939" s="49"/>
      <c r="AU939" s="49"/>
      <c r="AV939" s="49"/>
      <c r="AW939" s="49"/>
      <c r="AX939" s="49"/>
      <c r="AY939" s="49"/>
      <c r="AZ939" s="49"/>
      <c r="BA939" s="49"/>
      <c r="BB939" s="49"/>
      <c r="BC939" s="49"/>
      <c r="BD939" s="49"/>
      <c r="BE939" s="49"/>
      <c r="BF939" s="68"/>
    </row>
    <row r="940" spans="1:58" s="51" customFormat="1">
      <c r="A940" s="1205"/>
      <c r="B940" s="889"/>
      <c r="C940" s="1178"/>
      <c r="D940" s="62">
        <v>2022</v>
      </c>
      <c r="E940" s="63">
        <f>E953+E964</f>
        <v>18329.0458</v>
      </c>
      <c r="F940" s="63">
        <f>F953+F964</f>
        <v>4.58E-2</v>
      </c>
      <c r="G940" s="63">
        <f>G953+G964</f>
        <v>0</v>
      </c>
      <c r="H940" s="63">
        <f>H953+H964</f>
        <v>0</v>
      </c>
      <c r="I940" s="63">
        <f>I953+I964</f>
        <v>18329</v>
      </c>
      <c r="J940" s="63">
        <f>J953+J964</f>
        <v>0</v>
      </c>
      <c r="K940" s="76">
        <v>0</v>
      </c>
      <c r="L940" s="497">
        <f t="shared" si="336"/>
        <v>18329.0458</v>
      </c>
      <c r="M940" s="577"/>
      <c r="N940" s="88"/>
      <c r="O940" s="301"/>
      <c r="P940" s="477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  <c r="AO940" s="49"/>
      <c r="AP940" s="49"/>
      <c r="AQ940" s="49"/>
      <c r="AR940" s="49"/>
      <c r="AS940" s="49"/>
      <c r="AT940" s="49"/>
      <c r="AU940" s="49"/>
      <c r="AV940" s="49"/>
      <c r="AW940" s="49"/>
      <c r="AX940" s="49"/>
      <c r="AY940" s="49"/>
      <c r="AZ940" s="49"/>
      <c r="BA940" s="49"/>
      <c r="BB940" s="49"/>
      <c r="BC940" s="49"/>
      <c r="BD940" s="49"/>
      <c r="BE940" s="49"/>
      <c r="BF940" s="68"/>
    </row>
    <row r="941" spans="1:58" s="51" customFormat="1">
      <c r="A941" s="1205"/>
      <c r="B941" s="889"/>
      <c r="C941" s="1178"/>
      <c r="D941" s="62">
        <v>2023</v>
      </c>
      <c r="E941" s="63">
        <f t="shared" ref="E941:J941" si="342">E965+E954</f>
        <v>11440.045899999999</v>
      </c>
      <c r="F941" s="63">
        <f t="shared" si="342"/>
        <v>4.5900000000000003E-2</v>
      </c>
      <c r="G941" s="63">
        <f t="shared" si="342"/>
        <v>0</v>
      </c>
      <c r="H941" s="63">
        <f t="shared" si="342"/>
        <v>0</v>
      </c>
      <c r="I941" s="63">
        <f t="shared" si="342"/>
        <v>11440</v>
      </c>
      <c r="J941" s="63">
        <f t="shared" si="342"/>
        <v>0</v>
      </c>
      <c r="K941" s="76">
        <v>0</v>
      </c>
      <c r="L941" s="497">
        <f t="shared" si="336"/>
        <v>11440.045899999999</v>
      </c>
      <c r="M941" s="577"/>
      <c r="N941" s="88"/>
      <c r="O941" s="301"/>
      <c r="P941" s="477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49"/>
      <c r="AU941" s="49"/>
      <c r="AV941" s="49"/>
      <c r="AW941" s="49"/>
      <c r="AX941" s="49"/>
      <c r="AY941" s="49"/>
      <c r="AZ941" s="49"/>
      <c r="BA941" s="49"/>
      <c r="BB941" s="49"/>
      <c r="BC941" s="49"/>
      <c r="BD941" s="49"/>
      <c r="BE941" s="49"/>
      <c r="BF941" s="68"/>
    </row>
    <row r="942" spans="1:58" s="51" customFormat="1">
      <c r="A942" s="1205"/>
      <c r="B942" s="889"/>
      <c r="C942" s="1178"/>
      <c r="D942" s="62">
        <v>2024</v>
      </c>
      <c r="E942" s="63">
        <f t="shared" ref="E942:J948" si="343">E966</f>
        <v>4.7789999999999999E-2</v>
      </c>
      <c r="F942" s="63">
        <f t="shared" si="343"/>
        <v>4.7789999999999999E-2</v>
      </c>
      <c r="G942" s="63">
        <f t="shared" si="343"/>
        <v>0</v>
      </c>
      <c r="H942" s="63">
        <f t="shared" si="343"/>
        <v>0</v>
      </c>
      <c r="I942" s="63">
        <f t="shared" si="343"/>
        <v>0</v>
      </c>
      <c r="J942" s="63">
        <f t="shared" si="343"/>
        <v>0</v>
      </c>
      <c r="K942" s="76">
        <v>0</v>
      </c>
      <c r="L942" s="497">
        <f t="shared" si="336"/>
        <v>4.7789999999999999E-2</v>
      </c>
      <c r="M942" s="185"/>
      <c r="N942" s="88"/>
      <c r="O942" s="301"/>
      <c r="P942" s="477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  <c r="AO942" s="49"/>
      <c r="AP942" s="49"/>
      <c r="AQ942" s="49"/>
      <c r="AR942" s="49"/>
      <c r="AS942" s="49"/>
      <c r="AT942" s="49"/>
      <c r="AU942" s="49"/>
      <c r="AV942" s="49"/>
      <c r="AW942" s="49"/>
      <c r="AX942" s="49"/>
      <c r="AY942" s="49"/>
      <c r="AZ942" s="49"/>
      <c r="BA942" s="49"/>
      <c r="BB942" s="49"/>
      <c r="BC942" s="49"/>
      <c r="BD942" s="49"/>
      <c r="BE942" s="49"/>
      <c r="BF942" s="68"/>
    </row>
    <row r="943" spans="1:58" s="51" customFormat="1">
      <c r="A943" s="1205"/>
      <c r="B943" s="889"/>
      <c r="C943" s="1178"/>
      <c r="D943" s="62">
        <v>2025</v>
      </c>
      <c r="E943" s="63">
        <f t="shared" si="343"/>
        <v>4.9700000000000001E-2</v>
      </c>
      <c r="F943" s="63">
        <f t="shared" si="343"/>
        <v>4.9700000000000001E-2</v>
      </c>
      <c r="G943" s="63">
        <f t="shared" si="343"/>
        <v>0</v>
      </c>
      <c r="H943" s="63">
        <f t="shared" si="343"/>
        <v>0</v>
      </c>
      <c r="I943" s="63">
        <f t="shared" si="343"/>
        <v>0</v>
      </c>
      <c r="J943" s="63">
        <f t="shared" si="343"/>
        <v>0</v>
      </c>
      <c r="K943" s="76">
        <v>0</v>
      </c>
      <c r="L943" s="497">
        <f t="shared" si="336"/>
        <v>4.9700000000000001E-2</v>
      </c>
      <c r="M943" s="185"/>
      <c r="N943" s="88"/>
      <c r="O943" s="301"/>
      <c r="P943" s="477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  <c r="AO943" s="49"/>
      <c r="AP943" s="49"/>
      <c r="AQ943" s="49"/>
      <c r="AR943" s="49"/>
      <c r="AS943" s="49"/>
      <c r="AT943" s="49"/>
      <c r="AU943" s="49"/>
      <c r="AV943" s="49"/>
      <c r="AW943" s="49"/>
      <c r="AX943" s="49"/>
      <c r="AY943" s="49"/>
      <c r="AZ943" s="49"/>
      <c r="BA943" s="49"/>
      <c r="BB943" s="49"/>
      <c r="BC943" s="49"/>
      <c r="BD943" s="49"/>
      <c r="BE943" s="49"/>
      <c r="BF943" s="68"/>
    </row>
    <row r="944" spans="1:58" s="51" customFormat="1">
      <c r="A944" s="1205"/>
      <c r="B944" s="889"/>
      <c r="C944" s="1178"/>
      <c r="D944" s="62">
        <v>2026</v>
      </c>
      <c r="E944" s="63">
        <f t="shared" si="343"/>
        <v>5.1688000000000005E-2</v>
      </c>
      <c r="F944" s="63">
        <f t="shared" si="343"/>
        <v>5.1688000000000005E-2</v>
      </c>
      <c r="G944" s="63">
        <f t="shared" si="343"/>
        <v>0</v>
      </c>
      <c r="H944" s="63">
        <f t="shared" si="343"/>
        <v>0</v>
      </c>
      <c r="I944" s="63">
        <f t="shared" si="343"/>
        <v>0</v>
      </c>
      <c r="J944" s="63">
        <f t="shared" si="343"/>
        <v>0</v>
      </c>
      <c r="K944" s="76">
        <v>0</v>
      </c>
      <c r="L944" s="497">
        <f t="shared" si="336"/>
        <v>5.1688000000000005E-2</v>
      </c>
      <c r="M944" s="185"/>
      <c r="N944" s="88"/>
      <c r="O944" s="301"/>
      <c r="P944" s="477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  <c r="AO944" s="49"/>
      <c r="AP944" s="49"/>
      <c r="AQ944" s="49"/>
      <c r="AR944" s="49"/>
      <c r="AS944" s="49"/>
      <c r="AT944" s="49"/>
      <c r="AU944" s="49"/>
      <c r="AV944" s="49"/>
      <c r="AW944" s="49"/>
      <c r="AX944" s="49"/>
      <c r="AY944" s="49"/>
      <c r="AZ944" s="49"/>
      <c r="BA944" s="49"/>
      <c r="BB944" s="49"/>
      <c r="BC944" s="49"/>
      <c r="BD944" s="49"/>
      <c r="BE944" s="49"/>
      <c r="BF944" s="68"/>
    </row>
    <row r="945" spans="1:58" s="51" customFormat="1">
      <c r="A945" s="1205"/>
      <c r="B945" s="889"/>
      <c r="C945" s="1178"/>
      <c r="D945" s="62">
        <v>2027</v>
      </c>
      <c r="E945" s="63">
        <f t="shared" si="343"/>
        <v>5.3755520000000008E-2</v>
      </c>
      <c r="F945" s="63">
        <f t="shared" si="343"/>
        <v>5.3755520000000008E-2</v>
      </c>
      <c r="G945" s="63">
        <f t="shared" si="343"/>
        <v>0</v>
      </c>
      <c r="H945" s="63">
        <f t="shared" si="343"/>
        <v>0</v>
      </c>
      <c r="I945" s="63">
        <f t="shared" si="343"/>
        <v>0</v>
      </c>
      <c r="J945" s="63">
        <f t="shared" si="343"/>
        <v>0</v>
      </c>
      <c r="K945" s="76">
        <v>0</v>
      </c>
      <c r="L945" s="497">
        <f t="shared" si="336"/>
        <v>5.3755520000000008E-2</v>
      </c>
      <c r="M945" s="185"/>
      <c r="N945" s="88"/>
      <c r="O945" s="301"/>
      <c r="P945" s="477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  <c r="AO945" s="49"/>
      <c r="AP945" s="49"/>
      <c r="AQ945" s="49"/>
      <c r="AR945" s="49"/>
      <c r="AS945" s="49"/>
      <c r="AT945" s="49"/>
      <c r="AU945" s="49"/>
      <c r="AV945" s="49"/>
      <c r="AW945" s="49"/>
      <c r="AX945" s="49"/>
      <c r="AY945" s="49"/>
      <c r="AZ945" s="49"/>
      <c r="BA945" s="49"/>
      <c r="BB945" s="49"/>
      <c r="BC945" s="49"/>
      <c r="BD945" s="49"/>
      <c r="BE945" s="49"/>
      <c r="BF945" s="68"/>
    </row>
    <row r="946" spans="1:58" s="51" customFormat="1">
      <c r="A946" s="1205"/>
      <c r="B946" s="889"/>
      <c r="C946" s="1178"/>
      <c r="D946" s="62">
        <v>2028</v>
      </c>
      <c r="E946" s="63">
        <f t="shared" si="343"/>
        <v>5.5905740800000013E-2</v>
      </c>
      <c r="F946" s="63">
        <f t="shared" si="343"/>
        <v>5.5905740800000013E-2</v>
      </c>
      <c r="G946" s="63">
        <f t="shared" si="343"/>
        <v>0</v>
      </c>
      <c r="H946" s="63">
        <f t="shared" si="343"/>
        <v>0</v>
      </c>
      <c r="I946" s="63">
        <f t="shared" si="343"/>
        <v>0</v>
      </c>
      <c r="J946" s="63">
        <f t="shared" si="343"/>
        <v>0</v>
      </c>
      <c r="K946" s="76">
        <v>0</v>
      </c>
      <c r="L946" s="497">
        <f t="shared" si="336"/>
        <v>5.5905740800000013E-2</v>
      </c>
      <c r="M946" s="185"/>
      <c r="N946" s="88"/>
      <c r="O946" s="301"/>
      <c r="P946" s="477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  <c r="AO946" s="49"/>
      <c r="AP946" s="49"/>
      <c r="AQ946" s="49"/>
      <c r="AR946" s="49"/>
      <c r="AS946" s="49"/>
      <c r="AT946" s="49"/>
      <c r="AU946" s="49"/>
      <c r="AV946" s="49"/>
      <c r="AW946" s="49"/>
      <c r="AX946" s="49"/>
      <c r="AY946" s="49"/>
      <c r="AZ946" s="49"/>
      <c r="BA946" s="49"/>
      <c r="BB946" s="49"/>
      <c r="BC946" s="49"/>
      <c r="BD946" s="49"/>
      <c r="BE946" s="49"/>
      <c r="BF946" s="68"/>
    </row>
    <row r="947" spans="1:58" s="51" customFormat="1">
      <c r="A947" s="1205"/>
      <c r="B947" s="889"/>
      <c r="C947" s="1178"/>
      <c r="D947" s="62">
        <v>2029</v>
      </c>
      <c r="E947" s="63">
        <f t="shared" si="343"/>
        <v>5.8141970432000013E-2</v>
      </c>
      <c r="F947" s="63">
        <f t="shared" si="343"/>
        <v>5.8141970432000013E-2</v>
      </c>
      <c r="G947" s="63">
        <f t="shared" si="343"/>
        <v>0</v>
      </c>
      <c r="H947" s="63">
        <f t="shared" si="343"/>
        <v>0</v>
      </c>
      <c r="I947" s="63">
        <f t="shared" si="343"/>
        <v>0</v>
      </c>
      <c r="J947" s="63">
        <f t="shared" si="343"/>
        <v>0</v>
      </c>
      <c r="K947" s="76">
        <v>0</v>
      </c>
      <c r="L947" s="497">
        <f t="shared" si="336"/>
        <v>5.8141970432000013E-2</v>
      </c>
      <c r="M947" s="185"/>
      <c r="N947" s="88"/>
      <c r="O947" s="301"/>
      <c r="P947" s="477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  <c r="AO947" s="49"/>
      <c r="AP947" s="49"/>
      <c r="AQ947" s="49"/>
      <c r="AR947" s="49"/>
      <c r="AS947" s="49"/>
      <c r="AT947" s="49"/>
      <c r="AU947" s="49"/>
      <c r="AV947" s="49"/>
      <c r="AW947" s="49"/>
      <c r="AX947" s="49"/>
      <c r="AY947" s="49"/>
      <c r="AZ947" s="49"/>
      <c r="BA947" s="49"/>
      <c r="BB947" s="49"/>
      <c r="BC947" s="49"/>
      <c r="BD947" s="49"/>
      <c r="BE947" s="49"/>
      <c r="BF947" s="68"/>
    </row>
    <row r="948" spans="1:58" s="51" customFormat="1" ht="17.25" customHeight="1">
      <c r="A948" s="1206"/>
      <c r="B948" s="890"/>
      <c r="C948" s="1179"/>
      <c r="D948" s="62">
        <v>2030</v>
      </c>
      <c r="E948" s="63">
        <f t="shared" si="343"/>
        <v>6.0467649249280019E-2</v>
      </c>
      <c r="F948" s="63">
        <f t="shared" si="343"/>
        <v>6.0467649249280019E-2</v>
      </c>
      <c r="G948" s="63">
        <f t="shared" si="343"/>
        <v>0</v>
      </c>
      <c r="H948" s="63">
        <f t="shared" si="343"/>
        <v>0</v>
      </c>
      <c r="I948" s="63">
        <f t="shared" si="343"/>
        <v>0</v>
      </c>
      <c r="J948" s="63">
        <f t="shared" si="343"/>
        <v>0</v>
      </c>
      <c r="K948" s="76">
        <v>0</v>
      </c>
      <c r="L948" s="497">
        <f t="shared" si="336"/>
        <v>6.0467649249280019E-2</v>
      </c>
      <c r="M948" s="185"/>
      <c r="N948" s="88"/>
      <c r="O948" s="301"/>
      <c r="P948" s="477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  <c r="AO948" s="49"/>
      <c r="AP948" s="49"/>
      <c r="AQ948" s="49"/>
      <c r="AR948" s="49"/>
      <c r="AS948" s="49"/>
      <c r="AT948" s="49"/>
      <c r="AU948" s="49"/>
      <c r="AV948" s="49"/>
      <c r="AW948" s="49"/>
      <c r="AX948" s="49"/>
      <c r="AY948" s="49"/>
      <c r="AZ948" s="49"/>
      <c r="BA948" s="49"/>
      <c r="BB948" s="49"/>
      <c r="BC948" s="49"/>
      <c r="BD948" s="49"/>
      <c r="BE948" s="49"/>
      <c r="BF948" s="68"/>
    </row>
    <row r="949" spans="1:58" s="51" customFormat="1" ht="13.5" customHeight="1">
      <c r="A949" s="794" t="s">
        <v>1327</v>
      </c>
      <c r="B949" s="867" t="s">
        <v>233</v>
      </c>
      <c r="C949" s="881" t="s">
        <v>599</v>
      </c>
      <c r="D949" s="84" t="s">
        <v>16</v>
      </c>
      <c r="E949" s="85">
        <f t="shared" ref="E949:J949" si="344">E950+E951+E952+E953+E954</f>
        <v>57329</v>
      </c>
      <c r="F949" s="85">
        <f t="shared" si="344"/>
        <v>0</v>
      </c>
      <c r="G949" s="85">
        <f t="shared" si="344"/>
        <v>0</v>
      </c>
      <c r="H949" s="85">
        <f t="shared" si="344"/>
        <v>0</v>
      </c>
      <c r="I949" s="85">
        <f t="shared" si="344"/>
        <v>57329</v>
      </c>
      <c r="J949" s="85">
        <f t="shared" si="344"/>
        <v>0</v>
      </c>
      <c r="K949" s="76">
        <v>0</v>
      </c>
      <c r="L949" s="497">
        <f t="shared" si="336"/>
        <v>57329</v>
      </c>
      <c r="M949" s="1020" t="s">
        <v>1328</v>
      </c>
      <c r="N949" s="88"/>
      <c r="O949" s="1180">
        <v>886</v>
      </c>
      <c r="P949" s="842" t="s">
        <v>949</v>
      </c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  <c r="AO949" s="49"/>
      <c r="AP949" s="49"/>
      <c r="AQ949" s="49"/>
      <c r="AR949" s="49"/>
      <c r="AS949" s="49"/>
      <c r="AT949" s="49"/>
      <c r="AU949" s="49"/>
      <c r="AV949" s="49"/>
      <c r="AW949" s="49"/>
      <c r="AX949" s="49"/>
      <c r="AY949" s="49"/>
      <c r="AZ949" s="49"/>
      <c r="BA949" s="49"/>
      <c r="BB949" s="49"/>
      <c r="BC949" s="49"/>
      <c r="BD949" s="49"/>
      <c r="BE949" s="49"/>
      <c r="BF949" s="68"/>
    </row>
    <row r="950" spans="1:58" s="51" customFormat="1">
      <c r="A950" s="795"/>
      <c r="B950" s="872"/>
      <c r="C950" s="882"/>
      <c r="D950" s="62">
        <v>2019</v>
      </c>
      <c r="E950" s="63">
        <f>F950+G950+H950+I950+J950</f>
        <v>9396</v>
      </c>
      <c r="F950" s="63">
        <v>0</v>
      </c>
      <c r="G950" s="63">
        <v>0</v>
      </c>
      <c r="H950" s="63">
        <v>0</v>
      </c>
      <c r="I950" s="63">
        <v>9396</v>
      </c>
      <c r="J950" s="63">
        <v>0</v>
      </c>
      <c r="K950" s="76">
        <v>0</v>
      </c>
      <c r="L950" s="497">
        <f t="shared" si="336"/>
        <v>9396</v>
      </c>
      <c r="M950" s="1021"/>
      <c r="N950" s="88"/>
      <c r="O950" s="1181"/>
      <c r="P950" s="1016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  <c r="AT950" s="49"/>
      <c r="AU950" s="49"/>
      <c r="AV950" s="49"/>
      <c r="AW950" s="49"/>
      <c r="AX950" s="49"/>
      <c r="AY950" s="49"/>
      <c r="AZ950" s="49"/>
      <c r="BA950" s="49"/>
      <c r="BB950" s="49"/>
      <c r="BC950" s="49"/>
      <c r="BD950" s="49"/>
      <c r="BE950" s="49"/>
      <c r="BF950" s="68"/>
    </row>
    <row r="951" spans="1:58" s="51" customFormat="1">
      <c r="A951" s="795"/>
      <c r="B951" s="872"/>
      <c r="C951" s="882"/>
      <c r="D951" s="62">
        <v>2020</v>
      </c>
      <c r="E951" s="63">
        <f>F951+G951+H951+I951+J951</f>
        <v>6781</v>
      </c>
      <c r="F951" s="63">
        <v>0</v>
      </c>
      <c r="G951" s="63">
        <v>0</v>
      </c>
      <c r="H951" s="63">
        <v>0</v>
      </c>
      <c r="I951" s="63">
        <v>6781</v>
      </c>
      <c r="J951" s="63">
        <v>0</v>
      </c>
      <c r="K951" s="76">
        <v>0</v>
      </c>
      <c r="L951" s="497">
        <f t="shared" si="336"/>
        <v>6781</v>
      </c>
      <c r="M951" s="1021"/>
      <c r="N951" s="88"/>
      <c r="O951" s="1181"/>
      <c r="P951" s="1016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  <c r="AO951" s="49"/>
      <c r="AP951" s="49"/>
      <c r="AQ951" s="49"/>
      <c r="AR951" s="49"/>
      <c r="AS951" s="49"/>
      <c r="AT951" s="49"/>
      <c r="AU951" s="49"/>
      <c r="AV951" s="49"/>
      <c r="AW951" s="49"/>
      <c r="AX951" s="49"/>
      <c r="AY951" s="49"/>
      <c r="AZ951" s="49"/>
      <c r="BA951" s="49"/>
      <c r="BB951" s="49"/>
      <c r="BC951" s="49"/>
      <c r="BD951" s="49"/>
      <c r="BE951" s="49"/>
      <c r="BF951" s="68"/>
    </row>
    <row r="952" spans="1:58" s="51" customFormat="1">
      <c r="A952" s="795"/>
      <c r="B952" s="872"/>
      <c r="C952" s="882"/>
      <c r="D952" s="62">
        <v>2021</v>
      </c>
      <c r="E952" s="63">
        <f>F952+G952+H952+I952+J952</f>
        <v>11383</v>
      </c>
      <c r="F952" s="63">
        <v>0</v>
      </c>
      <c r="G952" s="63">
        <v>0</v>
      </c>
      <c r="H952" s="63">
        <v>0</v>
      </c>
      <c r="I952" s="63">
        <v>11383</v>
      </c>
      <c r="J952" s="63">
        <v>0</v>
      </c>
      <c r="K952" s="76">
        <v>0</v>
      </c>
      <c r="L952" s="497">
        <f t="shared" si="336"/>
        <v>11383</v>
      </c>
      <c r="M952" s="1021"/>
      <c r="N952" s="88"/>
      <c r="O952" s="1181"/>
      <c r="P952" s="1016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  <c r="AO952" s="49"/>
      <c r="AP952" s="49"/>
      <c r="AQ952" s="49"/>
      <c r="AR952" s="49"/>
      <c r="AS952" s="49"/>
      <c r="AT952" s="49"/>
      <c r="AU952" s="49"/>
      <c r="AV952" s="49"/>
      <c r="AW952" s="49"/>
      <c r="AX952" s="49"/>
      <c r="AY952" s="49"/>
      <c r="AZ952" s="49"/>
      <c r="BA952" s="49"/>
      <c r="BB952" s="49"/>
      <c r="BC952" s="49"/>
      <c r="BD952" s="49"/>
      <c r="BE952" s="49"/>
      <c r="BF952" s="68"/>
    </row>
    <row r="953" spans="1:58" s="51" customFormat="1" ht="14.25" customHeight="1">
      <c r="A953" s="795"/>
      <c r="B953" s="872"/>
      <c r="C953" s="882"/>
      <c r="D953" s="62">
        <v>2022</v>
      </c>
      <c r="E953" s="63">
        <f>F953+G953+H953+I953+J953</f>
        <v>18329</v>
      </c>
      <c r="F953" s="63">
        <v>0</v>
      </c>
      <c r="G953" s="63">
        <v>0</v>
      </c>
      <c r="H953" s="63">
        <v>0</v>
      </c>
      <c r="I953" s="63">
        <v>18329</v>
      </c>
      <c r="J953" s="63">
        <v>0</v>
      </c>
      <c r="K953" s="76">
        <v>0</v>
      </c>
      <c r="L953" s="497">
        <f t="shared" si="336"/>
        <v>18329</v>
      </c>
      <c r="M953" s="1021"/>
      <c r="N953" s="88"/>
      <c r="O953" s="1181"/>
      <c r="P953" s="1016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  <c r="AO953" s="49"/>
      <c r="AP953" s="49"/>
      <c r="AQ953" s="49"/>
      <c r="AR953" s="49"/>
      <c r="AS953" s="49"/>
      <c r="AT953" s="49"/>
      <c r="AU953" s="49"/>
      <c r="AV953" s="49"/>
      <c r="AW953" s="49"/>
      <c r="AX953" s="49"/>
      <c r="AY953" s="49"/>
      <c r="AZ953" s="49"/>
      <c r="BA953" s="49"/>
      <c r="BB953" s="49"/>
      <c r="BC953" s="49"/>
      <c r="BD953" s="49"/>
      <c r="BE953" s="49"/>
      <c r="BF953" s="68"/>
    </row>
    <row r="954" spans="1:58" s="51" customFormat="1" ht="14.25" customHeight="1">
      <c r="A954" s="795"/>
      <c r="B954" s="873"/>
      <c r="C954" s="882"/>
      <c r="D954" s="62">
        <v>2023</v>
      </c>
      <c r="E954" s="63">
        <f>F954+G954+H954+I954+J954</f>
        <v>11440</v>
      </c>
      <c r="F954" s="63">
        <v>0</v>
      </c>
      <c r="G954" s="63">
        <v>0</v>
      </c>
      <c r="H954" s="63">
        <v>0</v>
      </c>
      <c r="I954" s="63">
        <v>11440</v>
      </c>
      <c r="J954" s="63">
        <v>0</v>
      </c>
      <c r="K954" s="76">
        <v>0</v>
      </c>
      <c r="L954" s="497">
        <f t="shared" si="336"/>
        <v>11440</v>
      </c>
      <c r="M954" s="370"/>
      <c r="N954" s="88"/>
      <c r="O954" s="573"/>
      <c r="P954" s="360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49"/>
      <c r="AU954" s="49"/>
      <c r="AV954" s="49"/>
      <c r="AW954" s="49"/>
      <c r="AX954" s="49"/>
      <c r="AY954" s="49"/>
      <c r="AZ954" s="49"/>
      <c r="BA954" s="49"/>
      <c r="BB954" s="49"/>
      <c r="BC954" s="49"/>
      <c r="BD954" s="49"/>
      <c r="BE954" s="49"/>
      <c r="BF954" s="68"/>
    </row>
    <row r="955" spans="1:58" s="51" customFormat="1" ht="12.75" customHeight="1">
      <c r="A955" s="794" t="s">
        <v>1329</v>
      </c>
      <c r="B955" s="867" t="s">
        <v>1330</v>
      </c>
      <c r="C955" s="881" t="s">
        <v>599</v>
      </c>
      <c r="D955" s="84" t="s">
        <v>16</v>
      </c>
      <c r="E955" s="85">
        <f>E956+E957+E958+E959</f>
        <v>79160.680000000008</v>
      </c>
      <c r="F955" s="85">
        <f>F956+F957+F958</f>
        <v>0</v>
      </c>
      <c r="G955" s="85">
        <f>G956+G957+G958</f>
        <v>0</v>
      </c>
      <c r="H955" s="85">
        <f>H956+H957+H958</f>
        <v>0</v>
      </c>
      <c r="I955" s="85">
        <f>I956+I957+I958+I959</f>
        <v>79160.680000000008</v>
      </c>
      <c r="J955" s="85">
        <f>J956</f>
        <v>0</v>
      </c>
      <c r="K955" s="76">
        <v>0</v>
      </c>
      <c r="L955" s="497">
        <f t="shared" si="336"/>
        <v>79160.680000000008</v>
      </c>
      <c r="M955" s="995" t="s">
        <v>1331</v>
      </c>
      <c r="N955" s="88"/>
      <c r="O955" s="1180">
        <v>1159</v>
      </c>
      <c r="P955" s="1163" t="s">
        <v>952</v>
      </c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  <c r="AT955" s="49"/>
      <c r="AU955" s="49"/>
      <c r="AV955" s="49"/>
      <c r="AW955" s="49"/>
      <c r="AX955" s="49"/>
      <c r="AY955" s="49"/>
      <c r="AZ955" s="49"/>
      <c r="BA955" s="49"/>
      <c r="BB955" s="49"/>
      <c r="BC955" s="49"/>
      <c r="BD955" s="49"/>
      <c r="BE955" s="49"/>
      <c r="BF955" s="68"/>
    </row>
    <row r="956" spans="1:58" s="51" customFormat="1">
      <c r="A956" s="1064"/>
      <c r="B956" s="868"/>
      <c r="C956" s="882"/>
      <c r="D956" s="62">
        <v>2019</v>
      </c>
      <c r="E956" s="63">
        <f>F956+G956+H956+I956+J956</f>
        <v>18859.18</v>
      </c>
      <c r="F956" s="63">
        <v>0</v>
      </c>
      <c r="G956" s="63">
        <v>0</v>
      </c>
      <c r="H956" s="63">
        <v>0</v>
      </c>
      <c r="I956" s="63">
        <v>18859.18</v>
      </c>
      <c r="J956" s="63">
        <v>0</v>
      </c>
      <c r="K956" s="76">
        <v>0</v>
      </c>
      <c r="L956" s="497">
        <f t="shared" si="336"/>
        <v>18859.18</v>
      </c>
      <c r="M956" s="1030"/>
      <c r="N956" s="88"/>
      <c r="O956" s="1181"/>
      <c r="P956" s="1164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  <c r="AO956" s="49"/>
      <c r="AP956" s="49"/>
      <c r="AQ956" s="49"/>
      <c r="AR956" s="49"/>
      <c r="AS956" s="49"/>
      <c r="AT956" s="49"/>
      <c r="AU956" s="49"/>
      <c r="AV956" s="49"/>
      <c r="AW956" s="49"/>
      <c r="AX956" s="49"/>
      <c r="AY956" s="49"/>
      <c r="AZ956" s="49"/>
      <c r="BA956" s="49"/>
      <c r="BB956" s="49"/>
      <c r="BC956" s="49"/>
      <c r="BD956" s="49"/>
      <c r="BE956" s="49"/>
      <c r="BF956" s="68"/>
    </row>
    <row r="957" spans="1:58" s="51" customFormat="1" ht="14.25" customHeight="1">
      <c r="A957" s="406"/>
      <c r="B957" s="94"/>
      <c r="C957" s="190"/>
      <c r="D957" s="62">
        <v>2020</v>
      </c>
      <c r="E957" s="63">
        <f>F957+G957+H957+I957+J957</f>
        <v>34202.65</v>
      </c>
      <c r="F957" s="63">
        <v>0</v>
      </c>
      <c r="G957" s="63">
        <v>0</v>
      </c>
      <c r="H957" s="63">
        <v>0</v>
      </c>
      <c r="I957" s="63">
        <v>34202.65</v>
      </c>
      <c r="J957" s="63">
        <v>0</v>
      </c>
      <c r="K957" s="76">
        <v>0</v>
      </c>
      <c r="L957" s="497">
        <f t="shared" si="336"/>
        <v>34202.65</v>
      </c>
      <c r="M957" s="1030"/>
      <c r="N957" s="88"/>
      <c r="O957" s="1181"/>
      <c r="P957" s="555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  <c r="AO957" s="49"/>
      <c r="AP957" s="49"/>
      <c r="AQ957" s="49"/>
      <c r="AR957" s="49"/>
      <c r="AS957" s="49"/>
      <c r="AT957" s="49"/>
      <c r="AU957" s="49"/>
      <c r="AV957" s="49"/>
      <c r="AW957" s="49"/>
      <c r="AX957" s="49"/>
      <c r="AY957" s="49"/>
      <c r="AZ957" s="49"/>
      <c r="BA957" s="49"/>
      <c r="BB957" s="49"/>
      <c r="BC957" s="49"/>
      <c r="BD957" s="49"/>
      <c r="BE957" s="49"/>
      <c r="BF957" s="68"/>
    </row>
    <row r="958" spans="1:58" s="51" customFormat="1" ht="14.25" customHeight="1">
      <c r="A958" s="406"/>
      <c r="B958" s="94"/>
      <c r="C958" s="190"/>
      <c r="D958" s="62">
        <v>2021</v>
      </c>
      <c r="E958" s="63">
        <f>F958+G958+H958+I958+J958</f>
        <v>21749</v>
      </c>
      <c r="F958" s="63">
        <v>0</v>
      </c>
      <c r="G958" s="63">
        <v>0</v>
      </c>
      <c r="H958" s="63">
        <v>0</v>
      </c>
      <c r="I958" s="63">
        <v>21749</v>
      </c>
      <c r="J958" s="63">
        <v>0</v>
      </c>
      <c r="K958" s="76">
        <v>0</v>
      </c>
      <c r="L958" s="497">
        <f t="shared" si="336"/>
        <v>21749</v>
      </c>
      <c r="M958" s="1030"/>
      <c r="N958" s="88"/>
      <c r="O958" s="1181"/>
      <c r="P958" s="555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  <c r="AO958" s="49"/>
      <c r="AP958" s="49"/>
      <c r="AQ958" s="49"/>
      <c r="AR958" s="49"/>
      <c r="AS958" s="49"/>
      <c r="AT958" s="49"/>
      <c r="AU958" s="49"/>
      <c r="AV958" s="49"/>
      <c r="AW958" s="49"/>
      <c r="AX958" s="49"/>
      <c r="AY958" s="49"/>
      <c r="AZ958" s="49"/>
      <c r="BA958" s="49"/>
      <c r="BB958" s="49"/>
      <c r="BC958" s="49"/>
      <c r="BD958" s="49"/>
      <c r="BE958" s="49"/>
      <c r="BF958" s="68"/>
    </row>
    <row r="959" spans="1:58" s="51" customFormat="1" ht="14.25" customHeight="1">
      <c r="A959" s="406"/>
      <c r="B959" s="94"/>
      <c r="C959" s="190"/>
      <c r="D959" s="62">
        <v>2022</v>
      </c>
      <c r="E959" s="63">
        <f>F959+G959+H959+I959+J959</f>
        <v>4349.8500000000004</v>
      </c>
      <c r="F959" s="63">
        <v>0</v>
      </c>
      <c r="G959" s="63">
        <v>0</v>
      </c>
      <c r="H959" s="63">
        <v>0</v>
      </c>
      <c r="I959" s="63">
        <v>4349.8500000000004</v>
      </c>
      <c r="J959" s="63">
        <v>0</v>
      </c>
      <c r="K959" s="76">
        <v>0</v>
      </c>
      <c r="L959" s="497"/>
      <c r="M959" s="996"/>
      <c r="N959" s="88"/>
      <c r="O959" s="1182"/>
      <c r="P959" s="555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  <c r="AO959" s="49"/>
      <c r="AP959" s="49"/>
      <c r="AQ959" s="49"/>
      <c r="AR959" s="49"/>
      <c r="AS959" s="49"/>
      <c r="AT959" s="49"/>
      <c r="AU959" s="49"/>
      <c r="AV959" s="49"/>
      <c r="AW959" s="49"/>
      <c r="AX959" s="49"/>
      <c r="AY959" s="49"/>
      <c r="AZ959" s="49"/>
      <c r="BA959" s="49"/>
      <c r="BB959" s="49"/>
      <c r="BC959" s="49"/>
      <c r="BD959" s="49"/>
      <c r="BE959" s="49"/>
      <c r="BF959" s="68"/>
    </row>
    <row r="960" spans="1:58" s="51" customFormat="1">
      <c r="A960" s="794" t="s">
        <v>1332</v>
      </c>
      <c r="B960" s="867" t="s">
        <v>954</v>
      </c>
      <c r="C960" s="464"/>
      <c r="D960" s="84" t="s">
        <v>16</v>
      </c>
      <c r="E960" s="85">
        <f t="shared" ref="E960:J960" si="345">E961+E962+E963+E964+E966+E967+E968+E969+E970+E971+E972+E965</f>
        <v>0.5677088804812801</v>
      </c>
      <c r="F960" s="85">
        <f t="shared" si="345"/>
        <v>0.5677088804812801</v>
      </c>
      <c r="G960" s="85">
        <f t="shared" si="345"/>
        <v>0</v>
      </c>
      <c r="H960" s="85">
        <f t="shared" si="345"/>
        <v>0</v>
      </c>
      <c r="I960" s="85">
        <f t="shared" si="345"/>
        <v>0</v>
      </c>
      <c r="J960" s="85">
        <f t="shared" si="345"/>
        <v>0</v>
      </c>
      <c r="K960" s="76">
        <v>0</v>
      </c>
      <c r="L960" s="497">
        <f t="shared" ref="L960:L991" si="346">F960+G960+H960+I960+J960</f>
        <v>0.5677088804812801</v>
      </c>
      <c r="M960" s="366"/>
      <c r="N960" s="88"/>
      <c r="O960" s="580"/>
      <c r="P960" s="842" t="s">
        <v>527</v>
      </c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  <c r="AO960" s="49"/>
      <c r="AP960" s="49"/>
      <c r="AQ960" s="49"/>
      <c r="AR960" s="49"/>
      <c r="AS960" s="49"/>
      <c r="AT960" s="49"/>
      <c r="AU960" s="49"/>
      <c r="AV960" s="49"/>
      <c r="AW960" s="49"/>
      <c r="AX960" s="49"/>
      <c r="AY960" s="49"/>
      <c r="AZ960" s="49"/>
      <c r="BA960" s="49"/>
      <c r="BB960" s="49"/>
      <c r="BC960" s="49"/>
      <c r="BD960" s="49"/>
      <c r="BE960" s="49"/>
      <c r="BF960" s="68"/>
    </row>
    <row r="961" spans="1:58" s="51" customFormat="1" ht="17.25" customHeight="1">
      <c r="A961" s="1126"/>
      <c r="B961" s="868"/>
      <c r="C961" s="183" t="s">
        <v>955</v>
      </c>
      <c r="D961" s="62">
        <v>2019</v>
      </c>
      <c r="E961" s="63">
        <f t="shared" ref="E961:E972" si="347">F961+G961+H961+I961+J961</f>
        <v>1.2200000000000001E-2</v>
      </c>
      <c r="F961" s="63">
        <v>1.2200000000000001E-2</v>
      </c>
      <c r="G961" s="63">
        <v>0</v>
      </c>
      <c r="H961" s="63">
        <v>0</v>
      </c>
      <c r="I961" s="63">
        <v>0</v>
      </c>
      <c r="J961" s="63">
        <v>0</v>
      </c>
      <c r="K961" s="76">
        <v>0</v>
      </c>
      <c r="L961" s="497">
        <f t="shared" si="346"/>
        <v>1.2200000000000001E-2</v>
      </c>
      <c r="M961" s="366"/>
      <c r="N961" s="88"/>
      <c r="O961" s="580"/>
      <c r="P961" s="1125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  <c r="AO961" s="49"/>
      <c r="AP961" s="49"/>
      <c r="AQ961" s="49"/>
      <c r="AR961" s="49"/>
      <c r="AS961" s="49"/>
      <c r="AT961" s="49"/>
      <c r="AU961" s="49"/>
      <c r="AV961" s="49"/>
      <c r="AW961" s="49"/>
      <c r="AX961" s="49"/>
      <c r="AY961" s="49"/>
      <c r="AZ961" s="49"/>
      <c r="BA961" s="49"/>
      <c r="BB961" s="49"/>
      <c r="BC961" s="49"/>
      <c r="BD961" s="49"/>
      <c r="BE961" s="49"/>
      <c r="BF961" s="68"/>
    </row>
    <row r="962" spans="1:58" s="51" customFormat="1" ht="14.25" customHeight="1">
      <c r="A962" s="1126"/>
      <c r="B962" s="868"/>
      <c r="C962" s="915" t="s">
        <v>1333</v>
      </c>
      <c r="D962" s="62">
        <v>2020</v>
      </c>
      <c r="E962" s="63">
        <f t="shared" si="347"/>
        <v>4.2360000000000002E-2</v>
      </c>
      <c r="F962" s="63">
        <v>4.2360000000000002E-2</v>
      </c>
      <c r="G962" s="63">
        <v>0</v>
      </c>
      <c r="H962" s="63">
        <v>0</v>
      </c>
      <c r="I962" s="63">
        <v>0</v>
      </c>
      <c r="J962" s="63">
        <v>0</v>
      </c>
      <c r="K962" s="76">
        <v>0</v>
      </c>
      <c r="L962" s="497">
        <f t="shared" si="346"/>
        <v>4.2360000000000002E-2</v>
      </c>
      <c r="M962" s="366"/>
      <c r="N962" s="88"/>
      <c r="O962" s="580"/>
      <c r="P962" s="1125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  <c r="AO962" s="49"/>
      <c r="AP962" s="49"/>
      <c r="AQ962" s="49"/>
      <c r="AR962" s="49"/>
      <c r="AS962" s="49"/>
      <c r="AT962" s="49"/>
      <c r="AU962" s="49"/>
      <c r="AV962" s="49"/>
      <c r="AW962" s="49"/>
      <c r="AX962" s="49"/>
      <c r="AY962" s="49"/>
      <c r="AZ962" s="49"/>
      <c r="BA962" s="49"/>
      <c r="BB962" s="49"/>
      <c r="BC962" s="49"/>
      <c r="BD962" s="49"/>
      <c r="BE962" s="49"/>
      <c r="BF962" s="68"/>
    </row>
    <row r="963" spans="1:58" s="51" customFormat="1" ht="14.25" customHeight="1">
      <c r="A963" s="1126"/>
      <c r="B963" s="868"/>
      <c r="C963" s="916"/>
      <c r="D963" s="62">
        <v>2021</v>
      </c>
      <c r="E963" s="63">
        <f t="shared" si="347"/>
        <v>4.3999999999999997E-2</v>
      </c>
      <c r="F963" s="63">
        <v>4.3999999999999997E-2</v>
      </c>
      <c r="G963" s="63">
        <v>0</v>
      </c>
      <c r="H963" s="63">
        <v>0</v>
      </c>
      <c r="I963" s="63">
        <v>0</v>
      </c>
      <c r="J963" s="63">
        <v>0</v>
      </c>
      <c r="K963" s="76">
        <v>0</v>
      </c>
      <c r="L963" s="497">
        <f t="shared" si="346"/>
        <v>4.3999999999999997E-2</v>
      </c>
      <c r="M963" s="366"/>
      <c r="N963" s="88"/>
      <c r="O963" s="580"/>
      <c r="P963" s="1125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  <c r="AO963" s="49"/>
      <c r="AP963" s="49"/>
      <c r="AQ963" s="49"/>
      <c r="AR963" s="49"/>
      <c r="AS963" s="49"/>
      <c r="AT963" s="49"/>
      <c r="AU963" s="49"/>
      <c r="AV963" s="49"/>
      <c r="AW963" s="49"/>
      <c r="AX963" s="49"/>
      <c r="AY963" s="49"/>
      <c r="AZ963" s="49"/>
      <c r="BA963" s="49"/>
      <c r="BB963" s="49"/>
      <c r="BC963" s="49"/>
      <c r="BD963" s="49"/>
      <c r="BE963" s="49"/>
      <c r="BF963" s="68"/>
    </row>
    <row r="964" spans="1:58" s="51" customFormat="1" ht="14.25" customHeight="1">
      <c r="A964" s="1126"/>
      <c r="B964" s="868"/>
      <c r="C964" s="916"/>
      <c r="D964" s="62">
        <v>2022</v>
      </c>
      <c r="E964" s="63">
        <f t="shared" si="347"/>
        <v>4.58E-2</v>
      </c>
      <c r="F964" s="63">
        <v>4.58E-2</v>
      </c>
      <c r="G964" s="63">
        <v>0</v>
      </c>
      <c r="H964" s="63">
        <v>0</v>
      </c>
      <c r="I964" s="63">
        <v>0</v>
      </c>
      <c r="J964" s="63">
        <v>0</v>
      </c>
      <c r="K964" s="76">
        <v>0</v>
      </c>
      <c r="L964" s="497">
        <f t="shared" si="346"/>
        <v>4.58E-2</v>
      </c>
      <c r="M964" s="366"/>
      <c r="N964" s="88"/>
      <c r="O964" s="580"/>
      <c r="P964" s="1125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  <c r="AO964" s="49"/>
      <c r="AP964" s="49"/>
      <c r="AQ964" s="49"/>
      <c r="AR964" s="49"/>
      <c r="AS964" s="49"/>
      <c r="AT964" s="49"/>
      <c r="AU964" s="49"/>
      <c r="AV964" s="49"/>
      <c r="AW964" s="49"/>
      <c r="AX964" s="49"/>
      <c r="AY964" s="49"/>
      <c r="AZ964" s="49"/>
      <c r="BA964" s="49"/>
      <c r="BB964" s="49"/>
      <c r="BC964" s="49"/>
      <c r="BD964" s="49"/>
      <c r="BE964" s="49"/>
      <c r="BF964" s="68"/>
    </row>
    <row r="965" spans="1:58" s="51" customFormat="1" ht="14.25" customHeight="1">
      <c r="A965" s="1126"/>
      <c r="B965" s="868"/>
      <c r="C965" s="916"/>
      <c r="D965" s="62">
        <v>2023</v>
      </c>
      <c r="E965" s="63">
        <f t="shared" si="347"/>
        <v>4.5900000000000003E-2</v>
      </c>
      <c r="F965" s="63">
        <v>4.5900000000000003E-2</v>
      </c>
      <c r="G965" s="63">
        <v>0</v>
      </c>
      <c r="H965" s="63">
        <v>0</v>
      </c>
      <c r="I965" s="63">
        <v>0</v>
      </c>
      <c r="J965" s="63">
        <v>0</v>
      </c>
      <c r="K965" s="76">
        <v>0</v>
      </c>
      <c r="L965" s="497">
        <f t="shared" si="346"/>
        <v>4.5900000000000003E-2</v>
      </c>
      <c r="M965" s="366"/>
      <c r="N965" s="88"/>
      <c r="O965" s="580"/>
      <c r="P965" s="1125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  <c r="AO965" s="49"/>
      <c r="AP965" s="49"/>
      <c r="AQ965" s="49"/>
      <c r="AR965" s="49"/>
      <c r="AS965" s="49"/>
      <c r="AT965" s="49"/>
      <c r="AU965" s="49"/>
      <c r="AV965" s="49"/>
      <c r="AW965" s="49"/>
      <c r="AX965" s="49"/>
      <c r="AY965" s="49"/>
      <c r="AZ965" s="49"/>
      <c r="BA965" s="49"/>
      <c r="BB965" s="49"/>
      <c r="BC965" s="49"/>
      <c r="BD965" s="49"/>
      <c r="BE965" s="49"/>
      <c r="BF965" s="68"/>
    </row>
    <row r="966" spans="1:58" s="51" customFormat="1" ht="14.25" customHeight="1">
      <c r="A966" s="1126"/>
      <c r="B966" s="868"/>
      <c r="C966" s="916"/>
      <c r="D966" s="62">
        <v>2024</v>
      </c>
      <c r="E966" s="63">
        <f t="shared" si="347"/>
        <v>4.7789999999999999E-2</v>
      </c>
      <c r="F966" s="63">
        <v>4.7789999999999999E-2</v>
      </c>
      <c r="G966" s="63">
        <v>0</v>
      </c>
      <c r="H966" s="63">
        <v>0</v>
      </c>
      <c r="I966" s="63">
        <v>0</v>
      </c>
      <c r="J966" s="63">
        <v>0</v>
      </c>
      <c r="K966" s="76">
        <v>0</v>
      </c>
      <c r="L966" s="497">
        <f t="shared" si="346"/>
        <v>4.7789999999999999E-2</v>
      </c>
      <c r="M966" s="366"/>
      <c r="N966" s="88"/>
      <c r="O966" s="580"/>
      <c r="P966" s="1125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  <c r="AO966" s="49"/>
      <c r="AP966" s="49"/>
      <c r="AQ966" s="49"/>
      <c r="AR966" s="49"/>
      <c r="AS966" s="49"/>
      <c r="AT966" s="49"/>
      <c r="AU966" s="49"/>
      <c r="AV966" s="49"/>
      <c r="AW966" s="49"/>
      <c r="AX966" s="49"/>
      <c r="AY966" s="49"/>
      <c r="AZ966" s="49"/>
      <c r="BA966" s="49"/>
      <c r="BB966" s="49"/>
      <c r="BC966" s="49"/>
      <c r="BD966" s="49"/>
      <c r="BE966" s="49"/>
      <c r="BF966" s="68"/>
    </row>
    <row r="967" spans="1:58" s="51" customFormat="1" ht="14.25" customHeight="1">
      <c r="A967" s="1126"/>
      <c r="B967" s="868"/>
      <c r="C967" s="999"/>
      <c r="D967" s="62">
        <v>2025</v>
      </c>
      <c r="E967" s="63">
        <f t="shared" si="347"/>
        <v>4.9700000000000001E-2</v>
      </c>
      <c r="F967" s="63">
        <v>4.9700000000000001E-2</v>
      </c>
      <c r="G967" s="63">
        <v>0</v>
      </c>
      <c r="H967" s="63">
        <v>0</v>
      </c>
      <c r="I967" s="63">
        <v>0</v>
      </c>
      <c r="J967" s="63">
        <v>0</v>
      </c>
      <c r="K967" s="76">
        <v>0</v>
      </c>
      <c r="L967" s="497">
        <f t="shared" si="346"/>
        <v>4.9700000000000001E-2</v>
      </c>
      <c r="M967" s="366"/>
      <c r="N967" s="88"/>
      <c r="O967" s="580"/>
      <c r="P967" s="1125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49"/>
      <c r="AU967" s="49"/>
      <c r="AV967" s="49"/>
      <c r="AW967" s="49"/>
      <c r="AX967" s="49"/>
      <c r="AY967" s="49"/>
      <c r="AZ967" s="49"/>
      <c r="BA967" s="49"/>
      <c r="BB967" s="49"/>
      <c r="BC967" s="49"/>
      <c r="BD967" s="49"/>
      <c r="BE967" s="49"/>
      <c r="BF967" s="68"/>
    </row>
    <row r="968" spans="1:58" s="51" customFormat="1" ht="14.25" customHeight="1">
      <c r="A968" s="1126"/>
      <c r="B968" s="868"/>
      <c r="C968" s="915" t="s">
        <v>957</v>
      </c>
      <c r="D968" s="62">
        <v>2026</v>
      </c>
      <c r="E968" s="63">
        <f t="shared" si="347"/>
        <v>5.1688000000000005E-2</v>
      </c>
      <c r="F968" s="63">
        <f>F967*1.04</f>
        <v>5.1688000000000005E-2</v>
      </c>
      <c r="G968" s="63">
        <v>0</v>
      </c>
      <c r="H968" s="63">
        <v>0</v>
      </c>
      <c r="I968" s="63">
        <v>0</v>
      </c>
      <c r="J968" s="63">
        <v>0</v>
      </c>
      <c r="K968" s="76">
        <v>0</v>
      </c>
      <c r="L968" s="497">
        <f t="shared" si="346"/>
        <v>5.1688000000000005E-2</v>
      </c>
      <c r="M968" s="366"/>
      <c r="N968" s="88"/>
      <c r="O968" s="580"/>
      <c r="P968" s="1125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  <c r="AO968" s="49"/>
      <c r="AP968" s="49"/>
      <c r="AQ968" s="49"/>
      <c r="AR968" s="49"/>
      <c r="AS968" s="49"/>
      <c r="AT968" s="49"/>
      <c r="AU968" s="49"/>
      <c r="AV968" s="49"/>
      <c r="AW968" s="49"/>
      <c r="AX968" s="49"/>
      <c r="AY968" s="49"/>
      <c r="AZ968" s="49"/>
      <c r="BA968" s="49"/>
      <c r="BB968" s="49"/>
      <c r="BC968" s="49"/>
      <c r="BD968" s="49"/>
      <c r="BE968" s="49"/>
      <c r="BF968" s="68"/>
    </row>
    <row r="969" spans="1:58" s="51" customFormat="1" ht="14.25" customHeight="1">
      <c r="A969" s="1126"/>
      <c r="B969" s="868"/>
      <c r="C969" s="916"/>
      <c r="D969" s="62">
        <v>2027</v>
      </c>
      <c r="E969" s="63">
        <f t="shared" si="347"/>
        <v>5.3755520000000008E-2</v>
      </c>
      <c r="F969" s="63">
        <f>F968*1.04</f>
        <v>5.3755520000000008E-2</v>
      </c>
      <c r="G969" s="63">
        <v>0</v>
      </c>
      <c r="H969" s="63">
        <v>0</v>
      </c>
      <c r="I969" s="63">
        <v>0</v>
      </c>
      <c r="J969" s="63">
        <v>0</v>
      </c>
      <c r="K969" s="76">
        <v>0</v>
      </c>
      <c r="L969" s="497">
        <f t="shared" si="346"/>
        <v>5.3755520000000008E-2</v>
      </c>
      <c r="M969" s="366"/>
      <c r="N969" s="88"/>
      <c r="O969" s="580"/>
      <c r="P969" s="1125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  <c r="AT969" s="49"/>
      <c r="AU969" s="49"/>
      <c r="AV969" s="49"/>
      <c r="AW969" s="49"/>
      <c r="AX969" s="49"/>
      <c r="AY969" s="49"/>
      <c r="AZ969" s="49"/>
      <c r="BA969" s="49"/>
      <c r="BB969" s="49"/>
      <c r="BC969" s="49"/>
      <c r="BD969" s="49"/>
      <c r="BE969" s="49"/>
      <c r="BF969" s="68"/>
    </row>
    <row r="970" spans="1:58" s="51" customFormat="1" ht="14.25" customHeight="1">
      <c r="A970" s="1126"/>
      <c r="B970" s="868"/>
      <c r="C970" s="916"/>
      <c r="D970" s="62">
        <v>2028</v>
      </c>
      <c r="E970" s="63">
        <f t="shared" si="347"/>
        <v>5.5905740800000013E-2</v>
      </c>
      <c r="F970" s="63">
        <f>F969*1.04</f>
        <v>5.5905740800000013E-2</v>
      </c>
      <c r="G970" s="63">
        <v>0</v>
      </c>
      <c r="H970" s="63">
        <v>0</v>
      </c>
      <c r="I970" s="63">
        <v>0</v>
      </c>
      <c r="J970" s="63">
        <v>0</v>
      </c>
      <c r="K970" s="76">
        <v>0</v>
      </c>
      <c r="L970" s="497">
        <f t="shared" si="346"/>
        <v>5.5905740800000013E-2</v>
      </c>
      <c r="M970" s="366"/>
      <c r="N970" s="88"/>
      <c r="O970" s="580"/>
      <c r="P970" s="1125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  <c r="AR970" s="49"/>
      <c r="AS970" s="49"/>
      <c r="AT970" s="49"/>
      <c r="AU970" s="49"/>
      <c r="AV970" s="49"/>
      <c r="AW970" s="49"/>
      <c r="AX970" s="49"/>
      <c r="AY970" s="49"/>
      <c r="AZ970" s="49"/>
      <c r="BA970" s="49"/>
      <c r="BB970" s="49"/>
      <c r="BC970" s="49"/>
      <c r="BD970" s="49"/>
      <c r="BE970" s="49"/>
      <c r="BF970" s="68"/>
    </row>
    <row r="971" spans="1:58" s="51" customFormat="1" ht="14.25" customHeight="1">
      <c r="A971" s="1126"/>
      <c r="B971" s="868"/>
      <c r="C971" s="916"/>
      <c r="D971" s="62">
        <v>2029</v>
      </c>
      <c r="E971" s="63">
        <f t="shared" si="347"/>
        <v>5.8141970432000013E-2</v>
      </c>
      <c r="F971" s="63">
        <f>F970*1.04</f>
        <v>5.8141970432000013E-2</v>
      </c>
      <c r="G971" s="63">
        <v>0</v>
      </c>
      <c r="H971" s="63">
        <v>0</v>
      </c>
      <c r="I971" s="63">
        <v>0</v>
      </c>
      <c r="J971" s="63">
        <v>0</v>
      </c>
      <c r="K971" s="76">
        <v>0</v>
      </c>
      <c r="L971" s="497">
        <f t="shared" si="346"/>
        <v>5.8141970432000013E-2</v>
      </c>
      <c r="M971" s="366"/>
      <c r="N971" s="88"/>
      <c r="O971" s="580"/>
      <c r="P971" s="1125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  <c r="AR971" s="49"/>
      <c r="AS971" s="49"/>
      <c r="AT971" s="49"/>
      <c r="AU971" s="49"/>
      <c r="AV971" s="49"/>
      <c r="AW971" s="49"/>
      <c r="AX971" s="49"/>
      <c r="AY971" s="49"/>
      <c r="AZ971" s="49"/>
      <c r="BA971" s="49"/>
      <c r="BB971" s="49"/>
      <c r="BC971" s="49"/>
      <c r="BD971" s="49"/>
      <c r="BE971" s="49"/>
      <c r="BF971" s="68"/>
    </row>
    <row r="972" spans="1:58" s="51" customFormat="1" ht="14.25" customHeight="1">
      <c r="A972" s="1127"/>
      <c r="B972" s="869"/>
      <c r="C972" s="999"/>
      <c r="D972" s="62">
        <v>2030</v>
      </c>
      <c r="E972" s="63">
        <f t="shared" si="347"/>
        <v>6.0467649249280019E-2</v>
      </c>
      <c r="F972" s="63">
        <f>F971*1.04</f>
        <v>6.0467649249280019E-2</v>
      </c>
      <c r="G972" s="63">
        <v>0</v>
      </c>
      <c r="H972" s="63">
        <v>0</v>
      </c>
      <c r="I972" s="63">
        <v>0</v>
      </c>
      <c r="J972" s="63">
        <v>0</v>
      </c>
      <c r="K972" s="76">
        <v>0</v>
      </c>
      <c r="L972" s="497">
        <f t="shared" si="346"/>
        <v>6.0467649249280019E-2</v>
      </c>
      <c r="M972" s="366"/>
      <c r="N972" s="88"/>
      <c r="O972" s="580"/>
      <c r="P972" s="1125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  <c r="AR972" s="49"/>
      <c r="AS972" s="49"/>
      <c r="AT972" s="49"/>
      <c r="AU972" s="49"/>
      <c r="AV972" s="49"/>
      <c r="AW972" s="49"/>
      <c r="AX972" s="49"/>
      <c r="AY972" s="49"/>
      <c r="AZ972" s="49"/>
      <c r="BA972" s="49"/>
      <c r="BB972" s="49"/>
      <c r="BC972" s="49"/>
      <c r="BD972" s="49"/>
      <c r="BE972" s="49"/>
      <c r="BF972" s="68"/>
    </row>
    <row r="973" spans="1:58" s="51" customFormat="1">
      <c r="A973" s="794" t="s">
        <v>1334</v>
      </c>
      <c r="B973" s="867" t="s">
        <v>959</v>
      </c>
      <c r="C973" s="1161"/>
      <c r="D973" s="84" t="s">
        <v>16</v>
      </c>
      <c r="E973" s="85">
        <f t="shared" ref="E973:J973" si="348">SUM(E974:E985)</f>
        <v>0</v>
      </c>
      <c r="F973" s="85">
        <f t="shared" si="348"/>
        <v>0</v>
      </c>
      <c r="G973" s="85">
        <f t="shared" si="348"/>
        <v>0</v>
      </c>
      <c r="H973" s="85">
        <f t="shared" si="348"/>
        <v>0</v>
      </c>
      <c r="I973" s="85">
        <f t="shared" si="348"/>
        <v>0</v>
      </c>
      <c r="J973" s="85">
        <f t="shared" si="348"/>
        <v>0</v>
      </c>
      <c r="K973" s="76">
        <v>0</v>
      </c>
      <c r="L973" s="497">
        <f t="shared" si="346"/>
        <v>0</v>
      </c>
      <c r="M973" s="366"/>
      <c r="N973" s="88"/>
      <c r="O973" s="580"/>
      <c r="P973" s="1019" t="s">
        <v>527</v>
      </c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  <c r="AR973" s="49"/>
      <c r="AS973" s="49"/>
      <c r="AT973" s="49"/>
      <c r="AU973" s="49"/>
      <c r="AV973" s="49"/>
      <c r="AW973" s="49"/>
      <c r="AX973" s="49"/>
      <c r="AY973" s="49"/>
      <c r="AZ973" s="49"/>
      <c r="BA973" s="49"/>
      <c r="BB973" s="49"/>
      <c r="BC973" s="49"/>
      <c r="BD973" s="49"/>
      <c r="BE973" s="49"/>
      <c r="BF973" s="68"/>
    </row>
    <row r="974" spans="1:58" s="51" customFormat="1" ht="14.25" customHeight="1">
      <c r="A974" s="1126"/>
      <c r="B974" s="868"/>
      <c r="C974" s="1125"/>
      <c r="D974" s="62">
        <v>2019</v>
      </c>
      <c r="E974" s="63">
        <f t="shared" ref="E974:E985" si="349">F974+G974+H974+I974+J974</f>
        <v>0</v>
      </c>
      <c r="F974" s="63">
        <v>0</v>
      </c>
      <c r="G974" s="63">
        <v>0</v>
      </c>
      <c r="H974" s="63">
        <v>0</v>
      </c>
      <c r="I974" s="63">
        <v>0</v>
      </c>
      <c r="J974" s="63">
        <v>0</v>
      </c>
      <c r="K974" s="76">
        <v>0</v>
      </c>
      <c r="L974" s="497">
        <f t="shared" si="346"/>
        <v>0</v>
      </c>
      <c r="M974" s="366"/>
      <c r="N974" s="88"/>
      <c r="O974" s="580"/>
      <c r="P974" s="101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  <c r="AR974" s="49"/>
      <c r="AS974" s="49"/>
      <c r="AT974" s="49"/>
      <c r="AU974" s="49"/>
      <c r="AV974" s="49"/>
      <c r="AW974" s="49"/>
      <c r="AX974" s="49"/>
      <c r="AY974" s="49"/>
      <c r="AZ974" s="49"/>
      <c r="BA974" s="49"/>
      <c r="BB974" s="49"/>
      <c r="BC974" s="49"/>
      <c r="BD974" s="49"/>
      <c r="BE974" s="49"/>
      <c r="BF974" s="68"/>
    </row>
    <row r="975" spans="1:58" s="51" customFormat="1" ht="14.25" customHeight="1">
      <c r="A975" s="1126"/>
      <c r="B975" s="868"/>
      <c r="C975" s="1125"/>
      <c r="D975" s="62">
        <v>2020</v>
      </c>
      <c r="E975" s="63">
        <f t="shared" si="349"/>
        <v>0</v>
      </c>
      <c r="F975" s="63">
        <v>0</v>
      </c>
      <c r="G975" s="63">
        <v>0</v>
      </c>
      <c r="H975" s="63">
        <v>0</v>
      </c>
      <c r="I975" s="63">
        <v>0</v>
      </c>
      <c r="J975" s="63">
        <v>0</v>
      </c>
      <c r="K975" s="76">
        <v>0</v>
      </c>
      <c r="L975" s="497">
        <f t="shared" si="346"/>
        <v>0</v>
      </c>
      <c r="M975" s="366"/>
      <c r="N975" s="88"/>
      <c r="O975" s="580"/>
      <c r="P975" s="101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  <c r="AR975" s="49"/>
      <c r="AS975" s="49"/>
      <c r="AT975" s="49"/>
      <c r="AU975" s="49"/>
      <c r="AV975" s="49"/>
      <c r="AW975" s="49"/>
      <c r="AX975" s="49"/>
      <c r="AY975" s="49"/>
      <c r="AZ975" s="49"/>
      <c r="BA975" s="49"/>
      <c r="BB975" s="49"/>
      <c r="BC975" s="49"/>
      <c r="BD975" s="49"/>
      <c r="BE975" s="49"/>
      <c r="BF975" s="68"/>
    </row>
    <row r="976" spans="1:58" s="51" customFormat="1" ht="14.25" customHeight="1">
      <c r="A976" s="1126"/>
      <c r="B976" s="868"/>
      <c r="C976" s="1125"/>
      <c r="D976" s="62">
        <v>2021</v>
      </c>
      <c r="E976" s="63">
        <f t="shared" si="349"/>
        <v>0</v>
      </c>
      <c r="F976" s="63">
        <v>0</v>
      </c>
      <c r="G976" s="63">
        <v>0</v>
      </c>
      <c r="H976" s="63">
        <v>0</v>
      </c>
      <c r="I976" s="63">
        <v>0</v>
      </c>
      <c r="J976" s="63">
        <v>0</v>
      </c>
      <c r="K976" s="76">
        <v>0</v>
      </c>
      <c r="L976" s="497">
        <f t="shared" si="346"/>
        <v>0</v>
      </c>
      <c r="M976" s="366"/>
      <c r="N976" s="88"/>
      <c r="O976" s="580"/>
      <c r="P976" s="101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  <c r="AO976" s="49"/>
      <c r="AP976" s="49"/>
      <c r="AQ976" s="49"/>
      <c r="AR976" s="49"/>
      <c r="AS976" s="49"/>
      <c r="AT976" s="49"/>
      <c r="AU976" s="49"/>
      <c r="AV976" s="49"/>
      <c r="AW976" s="49"/>
      <c r="AX976" s="49"/>
      <c r="AY976" s="49"/>
      <c r="AZ976" s="49"/>
      <c r="BA976" s="49"/>
      <c r="BB976" s="49"/>
      <c r="BC976" s="49"/>
      <c r="BD976" s="49"/>
      <c r="BE976" s="49"/>
      <c r="BF976" s="68"/>
    </row>
    <row r="977" spans="1:58" s="51" customFormat="1" ht="14.25" customHeight="1">
      <c r="A977" s="1126"/>
      <c r="B977" s="868"/>
      <c r="C977" s="1125"/>
      <c r="D977" s="62">
        <v>2022</v>
      </c>
      <c r="E977" s="63">
        <f t="shared" si="349"/>
        <v>0</v>
      </c>
      <c r="F977" s="63">
        <v>0</v>
      </c>
      <c r="G977" s="63">
        <v>0</v>
      </c>
      <c r="H977" s="63">
        <v>0</v>
      </c>
      <c r="I977" s="63">
        <v>0</v>
      </c>
      <c r="J977" s="63">
        <v>0</v>
      </c>
      <c r="K977" s="76">
        <v>0</v>
      </c>
      <c r="L977" s="497">
        <f t="shared" si="346"/>
        <v>0</v>
      </c>
      <c r="M977" s="366"/>
      <c r="N977" s="88"/>
      <c r="O977" s="580"/>
      <c r="P977" s="101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  <c r="AO977" s="49"/>
      <c r="AP977" s="49"/>
      <c r="AQ977" s="49"/>
      <c r="AR977" s="49"/>
      <c r="AS977" s="49"/>
      <c r="AT977" s="49"/>
      <c r="AU977" s="49"/>
      <c r="AV977" s="49"/>
      <c r="AW977" s="49"/>
      <c r="AX977" s="49"/>
      <c r="AY977" s="49"/>
      <c r="AZ977" s="49"/>
      <c r="BA977" s="49"/>
      <c r="BB977" s="49"/>
      <c r="BC977" s="49"/>
      <c r="BD977" s="49"/>
      <c r="BE977" s="49"/>
      <c r="BF977" s="68"/>
    </row>
    <row r="978" spans="1:58" s="51" customFormat="1" ht="14.25" customHeight="1">
      <c r="A978" s="1126"/>
      <c r="B978" s="868"/>
      <c r="C978" s="1125"/>
      <c r="D978" s="62">
        <v>2023</v>
      </c>
      <c r="E978" s="63">
        <f t="shared" si="349"/>
        <v>0</v>
      </c>
      <c r="F978" s="63">
        <v>0</v>
      </c>
      <c r="G978" s="63">
        <v>0</v>
      </c>
      <c r="H978" s="63">
        <v>0</v>
      </c>
      <c r="I978" s="63">
        <v>0</v>
      </c>
      <c r="J978" s="63">
        <v>0</v>
      </c>
      <c r="K978" s="76">
        <v>0</v>
      </c>
      <c r="L978" s="497">
        <f t="shared" si="346"/>
        <v>0</v>
      </c>
      <c r="M978" s="366"/>
      <c r="N978" s="88"/>
      <c r="O978" s="580"/>
      <c r="P978" s="101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  <c r="AO978" s="49"/>
      <c r="AP978" s="49"/>
      <c r="AQ978" s="49"/>
      <c r="AR978" s="49"/>
      <c r="AS978" s="49"/>
      <c r="AT978" s="49"/>
      <c r="AU978" s="49"/>
      <c r="AV978" s="49"/>
      <c r="AW978" s="49"/>
      <c r="AX978" s="49"/>
      <c r="AY978" s="49"/>
      <c r="AZ978" s="49"/>
      <c r="BA978" s="49"/>
      <c r="BB978" s="49"/>
      <c r="BC978" s="49"/>
      <c r="BD978" s="49"/>
      <c r="BE978" s="49"/>
      <c r="BF978" s="68"/>
    </row>
    <row r="979" spans="1:58" s="51" customFormat="1" ht="14.25" customHeight="1">
      <c r="A979" s="1126"/>
      <c r="B979" s="868"/>
      <c r="C979" s="1125"/>
      <c r="D979" s="62">
        <v>2024</v>
      </c>
      <c r="E979" s="63">
        <f t="shared" si="349"/>
        <v>0</v>
      </c>
      <c r="F979" s="63">
        <v>0</v>
      </c>
      <c r="G979" s="63">
        <v>0</v>
      </c>
      <c r="H979" s="63">
        <v>0</v>
      </c>
      <c r="I979" s="63">
        <v>0</v>
      </c>
      <c r="J979" s="63">
        <v>0</v>
      </c>
      <c r="K979" s="76">
        <v>0</v>
      </c>
      <c r="L979" s="497">
        <f t="shared" si="346"/>
        <v>0</v>
      </c>
      <c r="M979" s="366"/>
      <c r="N979" s="88"/>
      <c r="O979" s="580"/>
      <c r="P979" s="101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  <c r="AO979" s="49"/>
      <c r="AP979" s="49"/>
      <c r="AQ979" s="49"/>
      <c r="AR979" s="49"/>
      <c r="AS979" s="49"/>
      <c r="AT979" s="49"/>
      <c r="AU979" s="49"/>
      <c r="AV979" s="49"/>
      <c r="AW979" s="49"/>
      <c r="AX979" s="49"/>
      <c r="AY979" s="49"/>
      <c r="AZ979" s="49"/>
      <c r="BA979" s="49"/>
      <c r="BB979" s="49"/>
      <c r="BC979" s="49"/>
      <c r="BD979" s="49"/>
      <c r="BE979" s="49"/>
      <c r="BF979" s="68"/>
    </row>
    <row r="980" spans="1:58" s="51" customFormat="1" ht="14.25" customHeight="1">
      <c r="A980" s="1126"/>
      <c r="B980" s="868"/>
      <c r="C980" s="1125"/>
      <c r="D980" s="62">
        <v>2025</v>
      </c>
      <c r="E980" s="63">
        <f t="shared" si="349"/>
        <v>0</v>
      </c>
      <c r="F980" s="63">
        <v>0</v>
      </c>
      <c r="G980" s="63">
        <v>0</v>
      </c>
      <c r="H980" s="63">
        <v>0</v>
      </c>
      <c r="I980" s="63">
        <v>0</v>
      </c>
      <c r="J980" s="63">
        <v>0</v>
      </c>
      <c r="K980" s="76">
        <v>0</v>
      </c>
      <c r="L980" s="497">
        <f t="shared" si="346"/>
        <v>0</v>
      </c>
      <c r="M980" s="366"/>
      <c r="N980" s="88"/>
      <c r="O980" s="580"/>
      <c r="P980" s="101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49"/>
      <c r="AU980" s="49"/>
      <c r="AV980" s="49"/>
      <c r="AW980" s="49"/>
      <c r="AX980" s="49"/>
      <c r="AY980" s="49"/>
      <c r="AZ980" s="49"/>
      <c r="BA980" s="49"/>
      <c r="BB980" s="49"/>
      <c r="BC980" s="49"/>
      <c r="BD980" s="49"/>
      <c r="BE980" s="49"/>
      <c r="BF980" s="68"/>
    </row>
    <row r="981" spans="1:58" s="51" customFormat="1" ht="14.25" customHeight="1">
      <c r="A981" s="1126"/>
      <c r="B981" s="868"/>
      <c r="C981" s="1125"/>
      <c r="D981" s="62">
        <v>2026</v>
      </c>
      <c r="E981" s="63">
        <f t="shared" si="349"/>
        <v>0</v>
      </c>
      <c r="F981" s="63">
        <v>0</v>
      </c>
      <c r="G981" s="63">
        <v>0</v>
      </c>
      <c r="H981" s="63">
        <v>0</v>
      </c>
      <c r="I981" s="63">
        <v>0</v>
      </c>
      <c r="J981" s="63">
        <v>0</v>
      </c>
      <c r="K981" s="76">
        <v>0</v>
      </c>
      <c r="L981" s="497">
        <f t="shared" si="346"/>
        <v>0</v>
      </c>
      <c r="M981" s="366"/>
      <c r="N981" s="88"/>
      <c r="O981" s="580"/>
      <c r="P981" s="101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  <c r="AO981" s="49"/>
      <c r="AP981" s="49"/>
      <c r="AQ981" s="49"/>
      <c r="AR981" s="49"/>
      <c r="AS981" s="49"/>
      <c r="AT981" s="49"/>
      <c r="AU981" s="49"/>
      <c r="AV981" s="49"/>
      <c r="AW981" s="49"/>
      <c r="AX981" s="49"/>
      <c r="AY981" s="49"/>
      <c r="AZ981" s="49"/>
      <c r="BA981" s="49"/>
      <c r="BB981" s="49"/>
      <c r="BC981" s="49"/>
      <c r="BD981" s="49"/>
      <c r="BE981" s="49"/>
      <c r="BF981" s="68"/>
    </row>
    <row r="982" spans="1:58" s="51" customFormat="1" ht="14.25" customHeight="1">
      <c r="A982" s="1126"/>
      <c r="B982" s="868"/>
      <c r="C982" s="1125"/>
      <c r="D982" s="62">
        <v>2027</v>
      </c>
      <c r="E982" s="63">
        <f t="shared" si="349"/>
        <v>0</v>
      </c>
      <c r="F982" s="63">
        <v>0</v>
      </c>
      <c r="G982" s="63">
        <v>0</v>
      </c>
      <c r="H982" s="63">
        <v>0</v>
      </c>
      <c r="I982" s="63">
        <v>0</v>
      </c>
      <c r="J982" s="63">
        <v>0</v>
      </c>
      <c r="K982" s="76">
        <v>0</v>
      </c>
      <c r="L982" s="497">
        <f t="shared" si="346"/>
        <v>0</v>
      </c>
      <c r="M982" s="366"/>
      <c r="N982" s="88"/>
      <c r="O982" s="580"/>
      <c r="P982" s="101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  <c r="AO982" s="49"/>
      <c r="AP982" s="49"/>
      <c r="AQ982" s="49"/>
      <c r="AR982" s="49"/>
      <c r="AS982" s="49"/>
      <c r="AT982" s="49"/>
      <c r="AU982" s="49"/>
      <c r="AV982" s="49"/>
      <c r="AW982" s="49"/>
      <c r="AX982" s="49"/>
      <c r="AY982" s="49"/>
      <c r="AZ982" s="49"/>
      <c r="BA982" s="49"/>
      <c r="BB982" s="49"/>
      <c r="BC982" s="49"/>
      <c r="BD982" s="49"/>
      <c r="BE982" s="49"/>
      <c r="BF982" s="68"/>
    </row>
    <row r="983" spans="1:58" s="51" customFormat="1" ht="14.25" customHeight="1">
      <c r="A983" s="1126"/>
      <c r="B983" s="868"/>
      <c r="C983" s="1125"/>
      <c r="D983" s="62">
        <v>2028</v>
      </c>
      <c r="E983" s="63">
        <f t="shared" si="349"/>
        <v>0</v>
      </c>
      <c r="F983" s="63">
        <v>0</v>
      </c>
      <c r="G983" s="63">
        <v>0</v>
      </c>
      <c r="H983" s="63">
        <v>0</v>
      </c>
      <c r="I983" s="63">
        <v>0</v>
      </c>
      <c r="J983" s="63">
        <v>0</v>
      </c>
      <c r="K983" s="76">
        <v>0</v>
      </c>
      <c r="L983" s="497">
        <f t="shared" si="346"/>
        <v>0</v>
      </c>
      <c r="M983" s="366"/>
      <c r="N983" s="88"/>
      <c r="O983" s="580"/>
      <c r="P983" s="101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  <c r="AO983" s="49"/>
      <c r="AP983" s="49"/>
      <c r="AQ983" s="49"/>
      <c r="AR983" s="49"/>
      <c r="AS983" s="49"/>
      <c r="AT983" s="49"/>
      <c r="AU983" s="49"/>
      <c r="AV983" s="49"/>
      <c r="AW983" s="49"/>
      <c r="AX983" s="49"/>
      <c r="AY983" s="49"/>
      <c r="AZ983" s="49"/>
      <c r="BA983" s="49"/>
      <c r="BB983" s="49"/>
      <c r="BC983" s="49"/>
      <c r="BD983" s="49"/>
      <c r="BE983" s="49"/>
      <c r="BF983" s="68"/>
    </row>
    <row r="984" spans="1:58" s="51" customFormat="1" ht="14.25" customHeight="1">
      <c r="A984" s="1126"/>
      <c r="B984" s="868"/>
      <c r="C984" s="1125"/>
      <c r="D984" s="62">
        <v>2029</v>
      </c>
      <c r="E984" s="63">
        <f t="shared" si="349"/>
        <v>0</v>
      </c>
      <c r="F984" s="63">
        <v>0</v>
      </c>
      <c r="G984" s="63">
        <v>0</v>
      </c>
      <c r="H984" s="63">
        <v>0</v>
      </c>
      <c r="I984" s="63">
        <v>0</v>
      </c>
      <c r="J984" s="63">
        <v>0</v>
      </c>
      <c r="K984" s="76">
        <v>0</v>
      </c>
      <c r="L984" s="497">
        <f t="shared" si="346"/>
        <v>0</v>
      </c>
      <c r="M984" s="366"/>
      <c r="N984" s="88"/>
      <c r="O984" s="580"/>
      <c r="P984" s="101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  <c r="AR984" s="49"/>
      <c r="AS984" s="49"/>
      <c r="AT984" s="49"/>
      <c r="AU984" s="49"/>
      <c r="AV984" s="49"/>
      <c r="AW984" s="49"/>
      <c r="AX984" s="49"/>
      <c r="AY984" s="49"/>
      <c r="AZ984" s="49"/>
      <c r="BA984" s="49"/>
      <c r="BB984" s="49"/>
      <c r="BC984" s="49"/>
      <c r="BD984" s="49"/>
      <c r="BE984" s="49"/>
      <c r="BF984" s="68"/>
    </row>
    <row r="985" spans="1:58" s="51" customFormat="1" ht="14.25" customHeight="1">
      <c r="A985" s="1127"/>
      <c r="B985" s="869"/>
      <c r="C985" s="1103"/>
      <c r="D985" s="62">
        <v>2030</v>
      </c>
      <c r="E985" s="63">
        <f t="shared" si="349"/>
        <v>0</v>
      </c>
      <c r="F985" s="63">
        <v>0</v>
      </c>
      <c r="G985" s="63">
        <v>0</v>
      </c>
      <c r="H985" s="63">
        <v>0</v>
      </c>
      <c r="I985" s="63">
        <v>0</v>
      </c>
      <c r="J985" s="63">
        <v>0</v>
      </c>
      <c r="K985" s="76">
        <v>0</v>
      </c>
      <c r="L985" s="497">
        <f t="shared" si="346"/>
        <v>0</v>
      </c>
      <c r="M985" s="366"/>
      <c r="N985" s="88"/>
      <c r="O985" s="580"/>
      <c r="P985" s="101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  <c r="AO985" s="49"/>
      <c r="AP985" s="49"/>
      <c r="AQ985" s="49"/>
      <c r="AR985" s="49"/>
      <c r="AS985" s="49"/>
      <c r="AT985" s="49"/>
      <c r="AU985" s="49"/>
      <c r="AV985" s="49"/>
      <c r="AW985" s="49"/>
      <c r="AX985" s="49"/>
      <c r="AY985" s="49"/>
      <c r="AZ985" s="49"/>
      <c r="BA985" s="49"/>
      <c r="BB985" s="49"/>
      <c r="BC985" s="49"/>
      <c r="BD985" s="49"/>
      <c r="BE985" s="49"/>
      <c r="BF985" s="68"/>
    </row>
    <row r="986" spans="1:58" s="51" customFormat="1" ht="14.25" customHeight="1">
      <c r="A986" s="794" t="s">
        <v>1335</v>
      </c>
      <c r="B986" s="929" t="s">
        <v>961</v>
      </c>
      <c r="C986" s="881"/>
      <c r="D986" s="84" t="s">
        <v>16</v>
      </c>
      <c r="E986" s="85">
        <f t="shared" ref="E986:J986" si="350">E999</f>
        <v>0.63089999999999991</v>
      </c>
      <c r="F986" s="85">
        <f t="shared" si="350"/>
        <v>0.63089999999999991</v>
      </c>
      <c r="G986" s="85">
        <f t="shared" si="350"/>
        <v>0</v>
      </c>
      <c r="H986" s="85">
        <f t="shared" si="350"/>
        <v>0</v>
      </c>
      <c r="I986" s="85">
        <f t="shared" si="350"/>
        <v>0</v>
      </c>
      <c r="J986" s="85">
        <f t="shared" si="350"/>
        <v>0</v>
      </c>
      <c r="K986" s="76">
        <v>0</v>
      </c>
      <c r="L986" s="497">
        <f t="shared" si="346"/>
        <v>0.63089999999999991</v>
      </c>
      <c r="M986" s="366"/>
      <c r="N986" s="88"/>
      <c r="O986" s="580"/>
      <c r="P986" s="556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  <c r="AO986" s="49"/>
      <c r="AP986" s="49"/>
      <c r="AQ986" s="49"/>
      <c r="AR986" s="49"/>
      <c r="AS986" s="49"/>
      <c r="AT986" s="49"/>
      <c r="AU986" s="49"/>
      <c r="AV986" s="49"/>
      <c r="AW986" s="49"/>
      <c r="AX986" s="49"/>
      <c r="AY986" s="49"/>
      <c r="AZ986" s="49"/>
      <c r="BA986" s="49"/>
      <c r="BB986" s="49"/>
      <c r="BC986" s="49"/>
      <c r="BD986" s="49"/>
      <c r="BE986" s="49"/>
      <c r="BF986" s="68"/>
    </row>
    <row r="987" spans="1:58" s="51" customFormat="1" ht="14.25" customHeight="1">
      <c r="A987" s="1126"/>
      <c r="B987" s="868"/>
      <c r="C987" s="1125"/>
      <c r="D987" s="62">
        <v>2019</v>
      </c>
      <c r="E987" s="63">
        <f>F987+G987+H987+I987+J987</f>
        <v>4.4999999999999998E-2</v>
      </c>
      <c r="F987" s="63">
        <f t="shared" ref="F987:J988" si="351">F1000</f>
        <v>4.4999999999999998E-2</v>
      </c>
      <c r="G987" s="63">
        <f t="shared" si="351"/>
        <v>0</v>
      </c>
      <c r="H987" s="63">
        <f t="shared" si="351"/>
        <v>0</v>
      </c>
      <c r="I987" s="63">
        <f t="shared" si="351"/>
        <v>0</v>
      </c>
      <c r="J987" s="63">
        <f t="shared" si="351"/>
        <v>0</v>
      </c>
      <c r="K987" s="76">
        <v>0</v>
      </c>
      <c r="L987" s="497">
        <f t="shared" si="346"/>
        <v>4.4999999999999998E-2</v>
      </c>
      <c r="M987" s="411"/>
      <c r="N987" s="88"/>
      <c r="O987" s="580"/>
      <c r="P987" s="556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  <c r="AO987" s="49"/>
      <c r="AP987" s="49"/>
      <c r="AQ987" s="49"/>
      <c r="AR987" s="49"/>
      <c r="AS987" s="49"/>
      <c r="AT987" s="49"/>
      <c r="AU987" s="49"/>
      <c r="AV987" s="49"/>
      <c r="AW987" s="49"/>
      <c r="AX987" s="49"/>
      <c r="AY987" s="49"/>
      <c r="AZ987" s="49"/>
      <c r="BA987" s="49"/>
      <c r="BB987" s="49"/>
      <c r="BC987" s="49"/>
      <c r="BD987" s="49"/>
      <c r="BE987" s="49"/>
      <c r="BF987" s="68"/>
    </row>
    <row r="988" spans="1:58" s="51" customFormat="1" ht="14.25" customHeight="1">
      <c r="A988" s="1126"/>
      <c r="B988" s="868"/>
      <c r="C988" s="1125"/>
      <c r="D988" s="62">
        <v>2020</v>
      </c>
      <c r="E988" s="63">
        <f t="shared" ref="E988:E998" si="352">E1001</f>
        <v>0.05</v>
      </c>
      <c r="F988" s="63">
        <f t="shared" si="351"/>
        <v>0.05</v>
      </c>
      <c r="G988" s="63">
        <f t="shared" si="351"/>
        <v>0</v>
      </c>
      <c r="H988" s="63">
        <f t="shared" si="351"/>
        <v>0</v>
      </c>
      <c r="I988" s="63">
        <f t="shared" si="351"/>
        <v>0</v>
      </c>
      <c r="J988" s="63">
        <f t="shared" si="351"/>
        <v>0</v>
      </c>
      <c r="K988" s="76">
        <v>0</v>
      </c>
      <c r="L988" s="497">
        <f t="shared" si="346"/>
        <v>0.05</v>
      </c>
      <c r="M988" s="543"/>
      <c r="N988" s="88"/>
      <c r="O988" s="580"/>
      <c r="P988" s="556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  <c r="AO988" s="49"/>
      <c r="AP988" s="49"/>
      <c r="AQ988" s="49"/>
      <c r="AR988" s="49"/>
      <c r="AS988" s="49"/>
      <c r="AT988" s="49"/>
      <c r="AU988" s="49"/>
      <c r="AV988" s="49"/>
      <c r="AW988" s="49"/>
      <c r="AX988" s="49"/>
      <c r="AY988" s="49"/>
      <c r="AZ988" s="49"/>
      <c r="BA988" s="49"/>
      <c r="BB988" s="49"/>
      <c r="BC988" s="49"/>
      <c r="BD988" s="49"/>
      <c r="BE988" s="49"/>
      <c r="BF988" s="68"/>
    </row>
    <row r="989" spans="1:58" s="51" customFormat="1" ht="14.25" customHeight="1">
      <c r="A989" s="1126"/>
      <c r="B989" s="868"/>
      <c r="C989" s="1125"/>
      <c r="D989" s="62">
        <v>2021</v>
      </c>
      <c r="E989" s="63">
        <f t="shared" si="352"/>
        <v>5.1999999999999998E-2</v>
      </c>
      <c r="F989" s="63">
        <v>5.1999999999999998E-2</v>
      </c>
      <c r="G989" s="63">
        <f t="shared" ref="G989:J998" si="353">G1002</f>
        <v>0</v>
      </c>
      <c r="H989" s="63">
        <f t="shared" si="353"/>
        <v>0</v>
      </c>
      <c r="I989" s="63">
        <f t="shared" si="353"/>
        <v>0</v>
      </c>
      <c r="J989" s="63">
        <f t="shared" si="353"/>
        <v>0</v>
      </c>
      <c r="K989" s="76">
        <v>0</v>
      </c>
      <c r="L989" s="497">
        <f t="shared" si="346"/>
        <v>5.1999999999999998E-2</v>
      </c>
      <c r="M989" s="366"/>
      <c r="N989" s="88"/>
      <c r="O989" s="580"/>
      <c r="P989" s="556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  <c r="AO989" s="49"/>
      <c r="AP989" s="49"/>
      <c r="AQ989" s="49"/>
      <c r="AR989" s="49"/>
      <c r="AS989" s="49"/>
      <c r="AT989" s="49"/>
      <c r="AU989" s="49"/>
      <c r="AV989" s="49"/>
      <c r="AW989" s="49"/>
      <c r="AX989" s="49"/>
      <c r="AY989" s="49"/>
      <c r="AZ989" s="49"/>
      <c r="BA989" s="49"/>
      <c r="BB989" s="49"/>
      <c r="BC989" s="49"/>
      <c r="BD989" s="49"/>
      <c r="BE989" s="49"/>
      <c r="BF989" s="68"/>
    </row>
    <row r="990" spans="1:58" s="51" customFormat="1" ht="14.25" customHeight="1">
      <c r="A990" s="1126"/>
      <c r="B990" s="868"/>
      <c r="C990" s="1125"/>
      <c r="D990" s="62">
        <v>2022</v>
      </c>
      <c r="E990" s="63">
        <f t="shared" si="352"/>
        <v>5.1999999999999998E-2</v>
      </c>
      <c r="F990" s="63">
        <v>5.1999999999999998E-2</v>
      </c>
      <c r="G990" s="63">
        <f t="shared" si="353"/>
        <v>0</v>
      </c>
      <c r="H990" s="63">
        <f t="shared" si="353"/>
        <v>0</v>
      </c>
      <c r="I990" s="63">
        <f t="shared" si="353"/>
        <v>0</v>
      </c>
      <c r="J990" s="63">
        <f t="shared" si="353"/>
        <v>0</v>
      </c>
      <c r="K990" s="76">
        <v>0</v>
      </c>
      <c r="L990" s="497">
        <f t="shared" si="346"/>
        <v>5.1999999999999998E-2</v>
      </c>
      <c r="M990" s="366"/>
      <c r="N990" s="88"/>
      <c r="O990" s="580"/>
      <c r="P990" s="556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  <c r="AO990" s="49"/>
      <c r="AP990" s="49"/>
      <c r="AQ990" s="49"/>
      <c r="AR990" s="49"/>
      <c r="AS990" s="49"/>
      <c r="AT990" s="49"/>
      <c r="AU990" s="49"/>
      <c r="AV990" s="49"/>
      <c r="AW990" s="49"/>
      <c r="AX990" s="49"/>
      <c r="AY990" s="49"/>
      <c r="AZ990" s="49"/>
      <c r="BA990" s="49"/>
      <c r="BB990" s="49"/>
      <c r="BC990" s="49"/>
      <c r="BD990" s="49"/>
      <c r="BE990" s="49"/>
      <c r="BF990" s="68"/>
    </row>
    <row r="991" spans="1:58" s="51" customFormat="1" ht="14.25" customHeight="1">
      <c r="A991" s="1126"/>
      <c r="B991" s="868"/>
      <c r="C991" s="1125"/>
      <c r="D991" s="62">
        <v>2023</v>
      </c>
      <c r="E991" s="63">
        <f t="shared" si="352"/>
        <v>0.05</v>
      </c>
      <c r="F991" s="63">
        <f>F1004</f>
        <v>0.05</v>
      </c>
      <c r="G991" s="63">
        <f t="shared" si="353"/>
        <v>0</v>
      </c>
      <c r="H991" s="63">
        <f t="shared" si="353"/>
        <v>0</v>
      </c>
      <c r="I991" s="63">
        <f t="shared" si="353"/>
        <v>0</v>
      </c>
      <c r="J991" s="63">
        <f t="shared" si="353"/>
        <v>0</v>
      </c>
      <c r="K991" s="76">
        <v>0</v>
      </c>
      <c r="L991" s="497">
        <f t="shared" si="346"/>
        <v>0.05</v>
      </c>
      <c r="M991" s="366"/>
      <c r="N991" s="88"/>
      <c r="O991" s="580"/>
      <c r="P991" s="556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  <c r="AO991" s="49"/>
      <c r="AP991" s="49"/>
      <c r="AQ991" s="49"/>
      <c r="AR991" s="49"/>
      <c r="AS991" s="49"/>
      <c r="AT991" s="49"/>
      <c r="AU991" s="49"/>
      <c r="AV991" s="49"/>
      <c r="AW991" s="49"/>
      <c r="AX991" s="49"/>
      <c r="AY991" s="49"/>
      <c r="AZ991" s="49"/>
      <c r="BA991" s="49"/>
      <c r="BB991" s="49"/>
      <c r="BC991" s="49"/>
      <c r="BD991" s="49"/>
      <c r="BE991" s="49"/>
      <c r="BF991" s="68"/>
    </row>
    <row r="992" spans="1:58" s="51" customFormat="1" ht="14.25" customHeight="1">
      <c r="A992" s="1126"/>
      <c r="B992" s="868"/>
      <c r="C992" s="1125"/>
      <c r="D992" s="62">
        <v>2024</v>
      </c>
      <c r="E992" s="63">
        <f t="shared" si="352"/>
        <v>0.05</v>
      </c>
      <c r="F992" s="63">
        <f>F1005</f>
        <v>0.05</v>
      </c>
      <c r="G992" s="63">
        <f t="shared" si="353"/>
        <v>0</v>
      </c>
      <c r="H992" s="63">
        <f t="shared" si="353"/>
        <v>0</v>
      </c>
      <c r="I992" s="63">
        <f t="shared" si="353"/>
        <v>0</v>
      </c>
      <c r="J992" s="63">
        <f t="shared" si="353"/>
        <v>0</v>
      </c>
      <c r="K992" s="76">
        <v>0</v>
      </c>
      <c r="L992" s="497">
        <f t="shared" ref="L992:L1015" si="354">F992+G992+H992+I992+J992</f>
        <v>0.05</v>
      </c>
      <c r="M992" s="366"/>
      <c r="N992" s="88"/>
      <c r="O992" s="580"/>
      <c r="P992" s="556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  <c r="AO992" s="49"/>
      <c r="AP992" s="49"/>
      <c r="AQ992" s="49"/>
      <c r="AR992" s="49"/>
      <c r="AS992" s="49"/>
      <c r="AT992" s="49"/>
      <c r="AU992" s="49"/>
      <c r="AV992" s="49"/>
      <c r="AW992" s="49"/>
      <c r="AX992" s="49"/>
      <c r="AY992" s="49"/>
      <c r="AZ992" s="49"/>
      <c r="BA992" s="49"/>
      <c r="BB992" s="49"/>
      <c r="BC992" s="49"/>
      <c r="BD992" s="49"/>
      <c r="BE992" s="49"/>
      <c r="BF992" s="68"/>
    </row>
    <row r="993" spans="1:58" s="51" customFormat="1" ht="14.25" customHeight="1">
      <c r="A993" s="1126"/>
      <c r="B993" s="868"/>
      <c r="C993" s="1125"/>
      <c r="D993" s="62">
        <v>2025</v>
      </c>
      <c r="E993" s="63">
        <f t="shared" si="352"/>
        <v>0.05</v>
      </c>
      <c r="F993" s="63">
        <f>F1006</f>
        <v>0.05</v>
      </c>
      <c r="G993" s="63">
        <f t="shared" si="353"/>
        <v>0</v>
      </c>
      <c r="H993" s="63">
        <f t="shared" si="353"/>
        <v>0</v>
      </c>
      <c r="I993" s="63">
        <f t="shared" si="353"/>
        <v>0</v>
      </c>
      <c r="J993" s="63">
        <f t="shared" si="353"/>
        <v>0</v>
      </c>
      <c r="K993" s="76">
        <v>0</v>
      </c>
      <c r="L993" s="497">
        <f t="shared" si="354"/>
        <v>0.05</v>
      </c>
      <c r="M993" s="366"/>
      <c r="N993" s="88"/>
      <c r="O993" s="580"/>
      <c r="P993" s="556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49"/>
      <c r="AU993" s="49"/>
      <c r="AV993" s="49"/>
      <c r="AW993" s="49"/>
      <c r="AX993" s="49"/>
      <c r="AY993" s="49"/>
      <c r="AZ993" s="49"/>
      <c r="BA993" s="49"/>
      <c r="BB993" s="49"/>
      <c r="BC993" s="49"/>
      <c r="BD993" s="49"/>
      <c r="BE993" s="49"/>
      <c r="BF993" s="68"/>
    </row>
    <row r="994" spans="1:58" s="51" customFormat="1" ht="14.25" customHeight="1">
      <c r="A994" s="1126"/>
      <c r="B994" s="868"/>
      <c r="C994" s="1125"/>
      <c r="D994" s="62">
        <v>2026</v>
      </c>
      <c r="E994" s="63">
        <f t="shared" si="352"/>
        <v>5.1999999999999998E-2</v>
      </c>
      <c r="F994" s="63">
        <v>5.1999999999999998E-2</v>
      </c>
      <c r="G994" s="63">
        <f t="shared" si="353"/>
        <v>0</v>
      </c>
      <c r="H994" s="63">
        <f t="shared" si="353"/>
        <v>0</v>
      </c>
      <c r="I994" s="63">
        <f t="shared" si="353"/>
        <v>0</v>
      </c>
      <c r="J994" s="63">
        <f t="shared" si="353"/>
        <v>0</v>
      </c>
      <c r="K994" s="76">
        <v>0</v>
      </c>
      <c r="L994" s="497">
        <f t="shared" si="354"/>
        <v>5.1999999999999998E-2</v>
      </c>
      <c r="M994" s="366"/>
      <c r="N994" s="88"/>
      <c r="O994" s="580"/>
      <c r="P994" s="556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  <c r="AO994" s="49"/>
      <c r="AP994" s="49"/>
      <c r="AQ994" s="49"/>
      <c r="AR994" s="49"/>
      <c r="AS994" s="49"/>
      <c r="AT994" s="49"/>
      <c r="AU994" s="49"/>
      <c r="AV994" s="49"/>
      <c r="AW994" s="49"/>
      <c r="AX994" s="49"/>
      <c r="AY994" s="49"/>
      <c r="AZ994" s="49"/>
      <c r="BA994" s="49"/>
      <c r="BB994" s="49"/>
      <c r="BC994" s="49"/>
      <c r="BD994" s="49"/>
      <c r="BE994" s="49"/>
      <c r="BF994" s="68"/>
    </row>
    <row r="995" spans="1:58" s="51" customFormat="1" ht="14.25" customHeight="1">
      <c r="A995" s="1126"/>
      <c r="B995" s="868"/>
      <c r="C995" s="1125"/>
      <c r="D995" s="62">
        <v>2027</v>
      </c>
      <c r="E995" s="63">
        <f t="shared" si="352"/>
        <v>5.4100000000000002E-2</v>
      </c>
      <c r="F995" s="63">
        <v>5.4100000000000002E-2</v>
      </c>
      <c r="G995" s="63">
        <f t="shared" si="353"/>
        <v>0</v>
      </c>
      <c r="H995" s="63">
        <f t="shared" si="353"/>
        <v>0</v>
      </c>
      <c r="I995" s="63">
        <f t="shared" si="353"/>
        <v>0</v>
      </c>
      <c r="J995" s="63">
        <f t="shared" si="353"/>
        <v>0</v>
      </c>
      <c r="K995" s="76">
        <v>0</v>
      </c>
      <c r="L995" s="497">
        <f t="shared" si="354"/>
        <v>5.4100000000000002E-2</v>
      </c>
      <c r="M995" s="366"/>
      <c r="N995" s="88"/>
      <c r="O995" s="580"/>
      <c r="P995" s="556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  <c r="AO995" s="49"/>
      <c r="AP995" s="49"/>
      <c r="AQ995" s="49"/>
      <c r="AR995" s="49"/>
      <c r="AS995" s="49"/>
      <c r="AT995" s="49"/>
      <c r="AU995" s="49"/>
      <c r="AV995" s="49"/>
      <c r="AW995" s="49"/>
      <c r="AX995" s="49"/>
      <c r="AY995" s="49"/>
      <c r="AZ995" s="49"/>
      <c r="BA995" s="49"/>
      <c r="BB995" s="49"/>
      <c r="BC995" s="49"/>
      <c r="BD995" s="49"/>
      <c r="BE995" s="49"/>
      <c r="BF995" s="68"/>
    </row>
    <row r="996" spans="1:58" s="51" customFormat="1" ht="14.25" customHeight="1">
      <c r="A996" s="1126"/>
      <c r="B996" s="868"/>
      <c r="C996" s="1125"/>
      <c r="D996" s="62">
        <v>2028</v>
      </c>
      <c r="E996" s="63">
        <f t="shared" si="352"/>
        <v>5.6300000000000003E-2</v>
      </c>
      <c r="F996" s="63">
        <v>5.6300000000000003E-2</v>
      </c>
      <c r="G996" s="63">
        <f t="shared" si="353"/>
        <v>0</v>
      </c>
      <c r="H996" s="63">
        <f t="shared" si="353"/>
        <v>0</v>
      </c>
      <c r="I996" s="63">
        <f t="shared" si="353"/>
        <v>0</v>
      </c>
      <c r="J996" s="63">
        <f t="shared" si="353"/>
        <v>0</v>
      </c>
      <c r="K996" s="76">
        <v>0</v>
      </c>
      <c r="L996" s="497">
        <f t="shared" si="354"/>
        <v>5.6300000000000003E-2</v>
      </c>
      <c r="M996" s="366"/>
      <c r="N996" s="88"/>
      <c r="O996" s="580"/>
      <c r="P996" s="556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  <c r="AO996" s="49"/>
      <c r="AP996" s="49"/>
      <c r="AQ996" s="49"/>
      <c r="AR996" s="49"/>
      <c r="AS996" s="49"/>
      <c r="AT996" s="49"/>
      <c r="AU996" s="49"/>
      <c r="AV996" s="49"/>
      <c r="AW996" s="49"/>
      <c r="AX996" s="49"/>
      <c r="AY996" s="49"/>
      <c r="AZ996" s="49"/>
      <c r="BA996" s="49"/>
      <c r="BB996" s="49"/>
      <c r="BC996" s="49"/>
      <c r="BD996" s="49"/>
      <c r="BE996" s="49"/>
      <c r="BF996" s="68"/>
    </row>
    <row r="997" spans="1:58" s="51" customFormat="1" ht="14.25" customHeight="1">
      <c r="A997" s="1126"/>
      <c r="B997" s="868"/>
      <c r="C997" s="1125"/>
      <c r="D997" s="62">
        <v>2029</v>
      </c>
      <c r="E997" s="63">
        <f t="shared" si="352"/>
        <v>5.8599999999999999E-2</v>
      </c>
      <c r="F997" s="63">
        <v>5.8599999999999999E-2</v>
      </c>
      <c r="G997" s="63">
        <f t="shared" si="353"/>
        <v>0</v>
      </c>
      <c r="H997" s="63">
        <f t="shared" si="353"/>
        <v>0</v>
      </c>
      <c r="I997" s="63">
        <f t="shared" si="353"/>
        <v>0</v>
      </c>
      <c r="J997" s="63">
        <f t="shared" si="353"/>
        <v>0</v>
      </c>
      <c r="K997" s="76">
        <v>0</v>
      </c>
      <c r="L997" s="497">
        <f t="shared" si="354"/>
        <v>5.8599999999999999E-2</v>
      </c>
      <c r="M997" s="366"/>
      <c r="N997" s="88"/>
      <c r="O997" s="580"/>
      <c r="P997" s="556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  <c r="AO997" s="49"/>
      <c r="AP997" s="49"/>
      <c r="AQ997" s="49"/>
      <c r="AR997" s="49"/>
      <c r="AS997" s="49"/>
      <c r="AT997" s="49"/>
      <c r="AU997" s="49"/>
      <c r="AV997" s="49"/>
      <c r="AW997" s="49"/>
      <c r="AX997" s="49"/>
      <c r="AY997" s="49"/>
      <c r="AZ997" s="49"/>
      <c r="BA997" s="49"/>
      <c r="BB997" s="49"/>
      <c r="BC997" s="49"/>
      <c r="BD997" s="49"/>
      <c r="BE997" s="49"/>
      <c r="BF997" s="68"/>
    </row>
    <row r="998" spans="1:58" s="51" customFormat="1" ht="14.25" customHeight="1">
      <c r="A998" s="1127"/>
      <c r="B998" s="869"/>
      <c r="C998" s="1103"/>
      <c r="D998" s="62">
        <v>2030</v>
      </c>
      <c r="E998" s="63">
        <f t="shared" si="352"/>
        <v>6.0900000000000003E-2</v>
      </c>
      <c r="F998" s="63">
        <v>6.0900000000000003E-2</v>
      </c>
      <c r="G998" s="63">
        <f t="shared" si="353"/>
        <v>0</v>
      </c>
      <c r="H998" s="63">
        <f t="shared" si="353"/>
        <v>0</v>
      </c>
      <c r="I998" s="63">
        <f t="shared" si="353"/>
        <v>0</v>
      </c>
      <c r="J998" s="63">
        <f t="shared" si="353"/>
        <v>0</v>
      </c>
      <c r="K998" s="76">
        <v>0</v>
      </c>
      <c r="L998" s="497">
        <f t="shared" si="354"/>
        <v>6.0900000000000003E-2</v>
      </c>
      <c r="M998" s="366"/>
      <c r="N998" s="88"/>
      <c r="O998" s="580"/>
      <c r="P998" s="556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  <c r="AO998" s="49"/>
      <c r="AP998" s="49"/>
      <c r="AQ998" s="49"/>
      <c r="AR998" s="49"/>
      <c r="AS998" s="49"/>
      <c r="AT998" s="49"/>
      <c r="AU998" s="49"/>
      <c r="AV998" s="49"/>
      <c r="AW998" s="49"/>
      <c r="AX998" s="49"/>
      <c r="AY998" s="49"/>
      <c r="AZ998" s="49"/>
      <c r="BA998" s="49"/>
      <c r="BB998" s="49"/>
      <c r="BC998" s="49"/>
      <c r="BD998" s="49"/>
      <c r="BE998" s="49"/>
      <c r="BF998" s="68"/>
    </row>
    <row r="999" spans="1:58" s="51" customFormat="1" ht="14.25" customHeight="1">
      <c r="A999" s="794" t="s">
        <v>1336</v>
      </c>
      <c r="B999" s="867" t="s">
        <v>963</v>
      </c>
      <c r="C999" s="188"/>
      <c r="D999" s="84" t="s">
        <v>16</v>
      </c>
      <c r="E999" s="85">
        <f t="shared" ref="E999:J999" si="355">E1000+E1001+E1002+E1003+E1004+E1005+E1006+E1007+E1008+E1009+E1010+E1011</f>
        <v>0.63089999999999991</v>
      </c>
      <c r="F999" s="85">
        <f t="shared" si="355"/>
        <v>0.63089999999999991</v>
      </c>
      <c r="G999" s="85">
        <f t="shared" si="355"/>
        <v>0</v>
      </c>
      <c r="H999" s="85">
        <f t="shared" si="355"/>
        <v>0</v>
      </c>
      <c r="I999" s="85">
        <f t="shared" si="355"/>
        <v>0</v>
      </c>
      <c r="J999" s="85">
        <f t="shared" si="355"/>
        <v>0</v>
      </c>
      <c r="K999" s="76">
        <v>0</v>
      </c>
      <c r="L999" s="497">
        <f t="shared" si="354"/>
        <v>0.63089999999999991</v>
      </c>
      <c r="M999" s="366"/>
      <c r="N999" s="88"/>
      <c r="O999" s="580"/>
      <c r="P999" s="842" t="s">
        <v>527</v>
      </c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  <c r="AO999" s="49"/>
      <c r="AP999" s="49"/>
      <c r="AQ999" s="49"/>
      <c r="AR999" s="49"/>
      <c r="AS999" s="49"/>
      <c r="AT999" s="49"/>
      <c r="AU999" s="49"/>
      <c r="AV999" s="49"/>
      <c r="AW999" s="49"/>
      <c r="AX999" s="49"/>
      <c r="AY999" s="49"/>
      <c r="AZ999" s="49"/>
      <c r="BA999" s="49"/>
      <c r="BB999" s="49"/>
      <c r="BC999" s="49"/>
      <c r="BD999" s="49"/>
      <c r="BE999" s="49"/>
      <c r="BF999" s="68"/>
    </row>
    <row r="1000" spans="1:58" s="51" customFormat="1" ht="14.25" customHeight="1">
      <c r="A1000" s="1126"/>
      <c r="B1000" s="872"/>
      <c r="C1000" s="358" t="s">
        <v>955</v>
      </c>
      <c r="D1000" s="62">
        <v>2019</v>
      </c>
      <c r="E1000" s="63">
        <f t="shared" ref="E1000:E1011" si="356">F1000+G1000+H1000+I1000+J1000</f>
        <v>4.4999999999999998E-2</v>
      </c>
      <c r="F1000" s="63">
        <v>4.4999999999999998E-2</v>
      </c>
      <c r="G1000" s="63">
        <v>0</v>
      </c>
      <c r="H1000" s="63">
        <v>0</v>
      </c>
      <c r="I1000" s="63">
        <v>0</v>
      </c>
      <c r="J1000" s="63">
        <v>0</v>
      </c>
      <c r="K1000" s="76">
        <v>0</v>
      </c>
      <c r="L1000" s="497">
        <f t="shared" si="354"/>
        <v>4.4999999999999998E-2</v>
      </c>
      <c r="M1000" s="366"/>
      <c r="N1000" s="88"/>
      <c r="O1000" s="580"/>
      <c r="P1000" s="1016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  <c r="AO1000" s="49"/>
      <c r="AP1000" s="49"/>
      <c r="AQ1000" s="49"/>
      <c r="AR1000" s="49"/>
      <c r="AS1000" s="49"/>
      <c r="AT1000" s="49"/>
      <c r="AU1000" s="49"/>
      <c r="AV1000" s="49"/>
      <c r="AW1000" s="49"/>
      <c r="AX1000" s="49"/>
      <c r="AY1000" s="49"/>
      <c r="AZ1000" s="49"/>
      <c r="BA1000" s="49"/>
      <c r="BB1000" s="49"/>
      <c r="BC1000" s="49"/>
      <c r="BD1000" s="49"/>
      <c r="BE1000" s="49"/>
      <c r="BF1000" s="68"/>
    </row>
    <row r="1001" spans="1:58" s="51" customFormat="1" ht="13.5" customHeight="1">
      <c r="A1001" s="1126"/>
      <c r="B1001" s="872"/>
      <c r="C1001" s="881" t="s">
        <v>1333</v>
      </c>
      <c r="D1001" s="62">
        <v>2020</v>
      </c>
      <c r="E1001" s="63">
        <f t="shared" si="356"/>
        <v>0.05</v>
      </c>
      <c r="F1001" s="63">
        <v>0.05</v>
      </c>
      <c r="G1001" s="63">
        <v>0</v>
      </c>
      <c r="H1001" s="63">
        <v>0</v>
      </c>
      <c r="I1001" s="63">
        <v>0</v>
      </c>
      <c r="J1001" s="63">
        <v>0</v>
      </c>
      <c r="K1001" s="76">
        <v>0</v>
      </c>
      <c r="L1001" s="497">
        <f t="shared" si="354"/>
        <v>0.05</v>
      </c>
      <c r="M1001" s="366"/>
      <c r="N1001" s="88"/>
      <c r="O1001" s="580"/>
      <c r="P1001" s="1016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  <c r="AK1001" s="49"/>
      <c r="AL1001" s="49"/>
      <c r="AM1001" s="49"/>
      <c r="AN1001" s="49"/>
      <c r="AO1001" s="49"/>
      <c r="AP1001" s="49"/>
      <c r="AQ1001" s="49"/>
      <c r="AR1001" s="49"/>
      <c r="AS1001" s="49"/>
      <c r="AT1001" s="49"/>
      <c r="AU1001" s="49"/>
      <c r="AV1001" s="49"/>
      <c r="AW1001" s="49"/>
      <c r="AX1001" s="49"/>
      <c r="AY1001" s="49"/>
      <c r="AZ1001" s="49"/>
      <c r="BA1001" s="49"/>
      <c r="BB1001" s="49"/>
      <c r="BC1001" s="49"/>
      <c r="BD1001" s="49"/>
      <c r="BE1001" s="49"/>
      <c r="BF1001" s="68"/>
    </row>
    <row r="1002" spans="1:58" s="51" customFormat="1" ht="14.25" customHeight="1">
      <c r="A1002" s="1126"/>
      <c r="B1002" s="872"/>
      <c r="C1002" s="882"/>
      <c r="D1002" s="62">
        <v>2021</v>
      </c>
      <c r="E1002" s="63">
        <f t="shared" si="356"/>
        <v>5.1999999999999998E-2</v>
      </c>
      <c r="F1002" s="63">
        <v>5.1999999999999998E-2</v>
      </c>
      <c r="G1002" s="63">
        <v>0</v>
      </c>
      <c r="H1002" s="63">
        <v>0</v>
      </c>
      <c r="I1002" s="63">
        <v>0</v>
      </c>
      <c r="J1002" s="63">
        <v>0</v>
      </c>
      <c r="K1002" s="76">
        <v>0</v>
      </c>
      <c r="L1002" s="497">
        <f t="shared" si="354"/>
        <v>5.1999999999999998E-2</v>
      </c>
      <c r="M1002" s="366"/>
      <c r="N1002" s="88"/>
      <c r="O1002" s="580"/>
      <c r="P1002" s="1016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  <c r="AL1002" s="49"/>
      <c r="AM1002" s="49"/>
      <c r="AN1002" s="49"/>
      <c r="AO1002" s="49"/>
      <c r="AP1002" s="49"/>
      <c r="AQ1002" s="49"/>
      <c r="AR1002" s="49"/>
      <c r="AS1002" s="49"/>
      <c r="AT1002" s="49"/>
      <c r="AU1002" s="49"/>
      <c r="AV1002" s="49"/>
      <c r="AW1002" s="49"/>
      <c r="AX1002" s="49"/>
      <c r="AY1002" s="49"/>
      <c r="AZ1002" s="49"/>
      <c r="BA1002" s="49"/>
      <c r="BB1002" s="49"/>
      <c r="BC1002" s="49"/>
      <c r="BD1002" s="49"/>
      <c r="BE1002" s="49"/>
      <c r="BF1002" s="68"/>
    </row>
    <row r="1003" spans="1:58" s="51" customFormat="1" ht="14.25" customHeight="1">
      <c r="A1003" s="1126"/>
      <c r="B1003" s="872"/>
      <c r="C1003" s="882"/>
      <c r="D1003" s="62">
        <v>2022</v>
      </c>
      <c r="E1003" s="63">
        <f t="shared" si="356"/>
        <v>5.1999999999999998E-2</v>
      </c>
      <c r="F1003" s="63">
        <v>5.1999999999999998E-2</v>
      </c>
      <c r="G1003" s="63">
        <v>0</v>
      </c>
      <c r="H1003" s="63">
        <v>0</v>
      </c>
      <c r="I1003" s="63">
        <v>0</v>
      </c>
      <c r="J1003" s="63">
        <v>0</v>
      </c>
      <c r="K1003" s="76">
        <v>0</v>
      </c>
      <c r="L1003" s="497">
        <f t="shared" si="354"/>
        <v>5.1999999999999998E-2</v>
      </c>
      <c r="M1003" s="366"/>
      <c r="N1003" s="88"/>
      <c r="O1003" s="580"/>
      <c r="P1003" s="1016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  <c r="AK1003" s="49"/>
      <c r="AL1003" s="49"/>
      <c r="AM1003" s="49"/>
      <c r="AN1003" s="49"/>
      <c r="AO1003" s="49"/>
      <c r="AP1003" s="49"/>
      <c r="AQ1003" s="49"/>
      <c r="AR1003" s="49"/>
      <c r="AS1003" s="49"/>
      <c r="AT1003" s="49"/>
      <c r="AU1003" s="49"/>
      <c r="AV1003" s="49"/>
      <c r="AW1003" s="49"/>
      <c r="AX1003" s="49"/>
      <c r="AY1003" s="49"/>
      <c r="AZ1003" s="49"/>
      <c r="BA1003" s="49"/>
      <c r="BB1003" s="49"/>
      <c r="BC1003" s="49"/>
      <c r="BD1003" s="49"/>
      <c r="BE1003" s="49"/>
      <c r="BF1003" s="68"/>
    </row>
    <row r="1004" spans="1:58" s="51" customFormat="1" ht="14.25" customHeight="1">
      <c r="A1004" s="1126"/>
      <c r="B1004" s="872"/>
      <c r="C1004" s="882"/>
      <c r="D1004" s="62">
        <v>2023</v>
      </c>
      <c r="E1004" s="63">
        <f t="shared" si="356"/>
        <v>0.05</v>
      </c>
      <c r="F1004" s="63">
        <v>0.05</v>
      </c>
      <c r="G1004" s="63">
        <v>0</v>
      </c>
      <c r="H1004" s="63">
        <v>0</v>
      </c>
      <c r="I1004" s="63">
        <v>0</v>
      </c>
      <c r="J1004" s="63">
        <v>0</v>
      </c>
      <c r="K1004" s="76">
        <v>0</v>
      </c>
      <c r="L1004" s="497">
        <f t="shared" si="354"/>
        <v>0.05</v>
      </c>
      <c r="M1004" s="366"/>
      <c r="N1004" s="88"/>
      <c r="O1004" s="580"/>
      <c r="P1004" s="1016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  <c r="AK1004" s="49"/>
      <c r="AL1004" s="49"/>
      <c r="AM1004" s="49"/>
      <c r="AN1004" s="49"/>
      <c r="AO1004" s="49"/>
      <c r="AP1004" s="49"/>
      <c r="AQ1004" s="49"/>
      <c r="AR1004" s="49"/>
      <c r="AS1004" s="49"/>
      <c r="AT1004" s="49"/>
      <c r="AU1004" s="49"/>
      <c r="AV1004" s="49"/>
      <c r="AW1004" s="49"/>
      <c r="AX1004" s="49"/>
      <c r="AY1004" s="49"/>
      <c r="AZ1004" s="49"/>
      <c r="BA1004" s="49"/>
      <c r="BB1004" s="49"/>
      <c r="BC1004" s="49"/>
      <c r="BD1004" s="49"/>
      <c r="BE1004" s="49"/>
      <c r="BF1004" s="68"/>
    </row>
    <row r="1005" spans="1:58" s="51" customFormat="1" ht="14.25" customHeight="1">
      <c r="A1005" s="1126"/>
      <c r="B1005" s="872"/>
      <c r="C1005" s="882"/>
      <c r="D1005" s="62">
        <v>2024</v>
      </c>
      <c r="E1005" s="63">
        <f t="shared" si="356"/>
        <v>0.05</v>
      </c>
      <c r="F1005" s="63">
        <v>0.05</v>
      </c>
      <c r="G1005" s="63">
        <v>0</v>
      </c>
      <c r="H1005" s="63">
        <v>0</v>
      </c>
      <c r="I1005" s="63">
        <v>0</v>
      </c>
      <c r="J1005" s="63">
        <v>0</v>
      </c>
      <c r="K1005" s="76">
        <v>0</v>
      </c>
      <c r="L1005" s="497">
        <f t="shared" si="354"/>
        <v>0.05</v>
      </c>
      <c r="M1005" s="366"/>
      <c r="N1005" s="88"/>
      <c r="O1005" s="580"/>
      <c r="P1005" s="1016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  <c r="AK1005" s="49"/>
      <c r="AL1005" s="49"/>
      <c r="AM1005" s="49"/>
      <c r="AN1005" s="49"/>
      <c r="AO1005" s="49"/>
      <c r="AP1005" s="49"/>
      <c r="AQ1005" s="49"/>
      <c r="AR1005" s="49"/>
      <c r="AS1005" s="49"/>
      <c r="AT1005" s="49"/>
      <c r="AU1005" s="49"/>
      <c r="AV1005" s="49"/>
      <c r="AW1005" s="49"/>
      <c r="AX1005" s="49"/>
      <c r="AY1005" s="49"/>
      <c r="AZ1005" s="49"/>
      <c r="BA1005" s="49"/>
      <c r="BB1005" s="49"/>
      <c r="BC1005" s="49"/>
      <c r="BD1005" s="49"/>
      <c r="BE1005" s="49"/>
      <c r="BF1005" s="68"/>
    </row>
    <row r="1006" spans="1:58" s="51" customFormat="1" ht="14.25" customHeight="1">
      <c r="A1006" s="1126"/>
      <c r="B1006" s="872"/>
      <c r="C1006" s="964"/>
      <c r="D1006" s="62">
        <v>2025</v>
      </c>
      <c r="E1006" s="63">
        <f t="shared" si="356"/>
        <v>0.05</v>
      </c>
      <c r="F1006" s="63">
        <v>0.05</v>
      </c>
      <c r="G1006" s="63">
        <v>0</v>
      </c>
      <c r="H1006" s="63">
        <v>0</v>
      </c>
      <c r="I1006" s="63">
        <v>0</v>
      </c>
      <c r="J1006" s="63">
        <v>0</v>
      </c>
      <c r="K1006" s="76">
        <v>0</v>
      </c>
      <c r="L1006" s="497">
        <f t="shared" si="354"/>
        <v>0.05</v>
      </c>
      <c r="M1006" s="366"/>
      <c r="N1006" s="88"/>
      <c r="O1006" s="580"/>
      <c r="P1006" s="1016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49"/>
      <c r="AU1006" s="49"/>
      <c r="AV1006" s="49"/>
      <c r="AW1006" s="49"/>
      <c r="AX1006" s="49"/>
      <c r="AY1006" s="49"/>
      <c r="AZ1006" s="49"/>
      <c r="BA1006" s="49"/>
      <c r="BB1006" s="49"/>
      <c r="BC1006" s="49"/>
      <c r="BD1006" s="49"/>
      <c r="BE1006" s="49"/>
      <c r="BF1006" s="68"/>
    </row>
    <row r="1007" spans="1:58" s="51" customFormat="1" ht="14.25" customHeight="1">
      <c r="A1007" s="1126"/>
      <c r="B1007" s="872"/>
      <c r="C1007" s="881" t="s">
        <v>957</v>
      </c>
      <c r="D1007" s="62">
        <v>2026</v>
      </c>
      <c r="E1007" s="63">
        <f t="shared" si="356"/>
        <v>5.1999999999999998E-2</v>
      </c>
      <c r="F1007" s="63">
        <v>5.1999999999999998E-2</v>
      </c>
      <c r="G1007" s="63">
        <v>0</v>
      </c>
      <c r="H1007" s="63">
        <v>0</v>
      </c>
      <c r="I1007" s="63">
        <v>0</v>
      </c>
      <c r="J1007" s="63">
        <v>0</v>
      </c>
      <c r="K1007" s="76">
        <v>0</v>
      </c>
      <c r="L1007" s="497">
        <f t="shared" si="354"/>
        <v>5.1999999999999998E-2</v>
      </c>
      <c r="M1007" s="366"/>
      <c r="N1007" s="88"/>
      <c r="O1007" s="580"/>
      <c r="P1007" s="1016"/>
      <c r="Q1007" s="49"/>
      <c r="R1007" s="49"/>
      <c r="S1007" s="49"/>
      <c r="T1007" s="49"/>
      <c r="U1007" s="49"/>
      <c r="V1007" s="49"/>
      <c r="W1007" s="49"/>
      <c r="X1007" s="49"/>
      <c r="Y1007" s="49"/>
      <c r="Z1007" s="49"/>
      <c r="AA1007" s="49"/>
      <c r="AB1007" s="49"/>
      <c r="AC1007" s="49"/>
      <c r="AD1007" s="49"/>
      <c r="AE1007" s="49"/>
      <c r="AF1007" s="49"/>
      <c r="AG1007" s="49"/>
      <c r="AH1007" s="49"/>
      <c r="AI1007" s="49"/>
      <c r="AJ1007" s="49"/>
      <c r="AK1007" s="49"/>
      <c r="AL1007" s="49"/>
      <c r="AM1007" s="49"/>
      <c r="AN1007" s="49"/>
      <c r="AO1007" s="49"/>
      <c r="AP1007" s="49"/>
      <c r="AQ1007" s="49"/>
      <c r="AR1007" s="49"/>
      <c r="AS1007" s="49"/>
      <c r="AT1007" s="49"/>
      <c r="AU1007" s="49"/>
      <c r="AV1007" s="49"/>
      <c r="AW1007" s="49"/>
      <c r="AX1007" s="49"/>
      <c r="AY1007" s="49"/>
      <c r="AZ1007" s="49"/>
      <c r="BA1007" s="49"/>
      <c r="BB1007" s="49"/>
      <c r="BC1007" s="49"/>
      <c r="BD1007" s="49"/>
      <c r="BE1007" s="49"/>
      <c r="BF1007" s="68"/>
    </row>
    <row r="1008" spans="1:58" s="51" customFormat="1" ht="14.25" customHeight="1">
      <c r="A1008" s="1126"/>
      <c r="B1008" s="872"/>
      <c r="C1008" s="1125"/>
      <c r="D1008" s="62">
        <v>2027</v>
      </c>
      <c r="E1008" s="63">
        <f t="shared" si="356"/>
        <v>5.4100000000000002E-2</v>
      </c>
      <c r="F1008" s="63">
        <v>5.4100000000000002E-2</v>
      </c>
      <c r="G1008" s="63">
        <v>0</v>
      </c>
      <c r="H1008" s="63">
        <v>0</v>
      </c>
      <c r="I1008" s="63">
        <v>0</v>
      </c>
      <c r="J1008" s="63">
        <v>0</v>
      </c>
      <c r="K1008" s="76">
        <v>0</v>
      </c>
      <c r="L1008" s="497">
        <f t="shared" si="354"/>
        <v>5.4100000000000002E-2</v>
      </c>
      <c r="M1008" s="366"/>
      <c r="N1008" s="88"/>
      <c r="O1008" s="580"/>
      <c r="P1008" s="1016"/>
      <c r="Q1008" s="49"/>
      <c r="R1008" s="49"/>
      <c r="S1008" s="49"/>
      <c r="T1008" s="49"/>
      <c r="U1008" s="49"/>
      <c r="V1008" s="49"/>
      <c r="W1008" s="49"/>
      <c r="X1008" s="49"/>
      <c r="Y1008" s="49"/>
      <c r="Z1008" s="49"/>
      <c r="AA1008" s="49"/>
      <c r="AB1008" s="49"/>
      <c r="AC1008" s="49"/>
      <c r="AD1008" s="49"/>
      <c r="AE1008" s="49"/>
      <c r="AF1008" s="49"/>
      <c r="AG1008" s="49"/>
      <c r="AH1008" s="49"/>
      <c r="AI1008" s="49"/>
      <c r="AJ1008" s="49"/>
      <c r="AK1008" s="49"/>
      <c r="AL1008" s="49"/>
      <c r="AM1008" s="49"/>
      <c r="AN1008" s="49"/>
      <c r="AO1008" s="49"/>
      <c r="AP1008" s="49"/>
      <c r="AQ1008" s="49"/>
      <c r="AR1008" s="49"/>
      <c r="AS1008" s="49"/>
      <c r="AT1008" s="49"/>
      <c r="AU1008" s="49"/>
      <c r="AV1008" s="49"/>
      <c r="AW1008" s="49"/>
      <c r="AX1008" s="49"/>
      <c r="AY1008" s="49"/>
      <c r="AZ1008" s="49"/>
      <c r="BA1008" s="49"/>
      <c r="BB1008" s="49"/>
      <c r="BC1008" s="49"/>
      <c r="BD1008" s="49"/>
      <c r="BE1008" s="49"/>
      <c r="BF1008" s="68"/>
    </row>
    <row r="1009" spans="1:58" s="51" customFormat="1" ht="14.25" customHeight="1">
      <c r="A1009" s="1126"/>
      <c r="B1009" s="872"/>
      <c r="C1009" s="1125"/>
      <c r="D1009" s="62">
        <v>2028</v>
      </c>
      <c r="E1009" s="63">
        <f t="shared" si="356"/>
        <v>5.6300000000000003E-2</v>
      </c>
      <c r="F1009" s="63">
        <v>5.6300000000000003E-2</v>
      </c>
      <c r="G1009" s="63">
        <v>0</v>
      </c>
      <c r="H1009" s="63">
        <v>0</v>
      </c>
      <c r="I1009" s="63">
        <v>0</v>
      </c>
      <c r="J1009" s="63">
        <v>0</v>
      </c>
      <c r="K1009" s="76">
        <v>0</v>
      </c>
      <c r="L1009" s="497">
        <f t="shared" si="354"/>
        <v>5.6300000000000003E-2</v>
      </c>
      <c r="M1009" s="366"/>
      <c r="N1009" s="88"/>
      <c r="O1009" s="580"/>
      <c r="P1009" s="1016"/>
      <c r="Q1009" s="49"/>
      <c r="R1009" s="49"/>
      <c r="S1009" s="49"/>
      <c r="T1009" s="49"/>
      <c r="U1009" s="49"/>
      <c r="V1009" s="49"/>
      <c r="W1009" s="49"/>
      <c r="X1009" s="49"/>
      <c r="Y1009" s="49"/>
      <c r="Z1009" s="49"/>
      <c r="AA1009" s="49"/>
      <c r="AB1009" s="49"/>
      <c r="AC1009" s="49"/>
      <c r="AD1009" s="49"/>
      <c r="AE1009" s="49"/>
      <c r="AF1009" s="49"/>
      <c r="AG1009" s="49"/>
      <c r="AH1009" s="49"/>
      <c r="AI1009" s="49"/>
      <c r="AJ1009" s="49"/>
      <c r="AK1009" s="49"/>
      <c r="AL1009" s="49"/>
      <c r="AM1009" s="49"/>
      <c r="AN1009" s="49"/>
      <c r="AO1009" s="49"/>
      <c r="AP1009" s="49"/>
      <c r="AQ1009" s="49"/>
      <c r="AR1009" s="49"/>
      <c r="AS1009" s="49"/>
      <c r="AT1009" s="49"/>
      <c r="AU1009" s="49"/>
      <c r="AV1009" s="49"/>
      <c r="AW1009" s="49"/>
      <c r="AX1009" s="49"/>
      <c r="AY1009" s="49"/>
      <c r="AZ1009" s="49"/>
      <c r="BA1009" s="49"/>
      <c r="BB1009" s="49"/>
      <c r="BC1009" s="49"/>
      <c r="BD1009" s="49"/>
      <c r="BE1009" s="49"/>
      <c r="BF1009" s="68"/>
    </row>
    <row r="1010" spans="1:58" s="51" customFormat="1" ht="14.25" customHeight="1">
      <c r="A1010" s="1126"/>
      <c r="B1010" s="872"/>
      <c r="C1010" s="1125"/>
      <c r="D1010" s="62">
        <v>2029</v>
      </c>
      <c r="E1010" s="63">
        <f t="shared" si="356"/>
        <v>5.8599999999999999E-2</v>
      </c>
      <c r="F1010" s="63">
        <v>5.8599999999999999E-2</v>
      </c>
      <c r="G1010" s="63">
        <v>0</v>
      </c>
      <c r="H1010" s="63">
        <v>0</v>
      </c>
      <c r="I1010" s="63">
        <v>0</v>
      </c>
      <c r="J1010" s="63">
        <v>0</v>
      </c>
      <c r="K1010" s="76">
        <v>0</v>
      </c>
      <c r="L1010" s="497">
        <f t="shared" si="354"/>
        <v>5.8599999999999999E-2</v>
      </c>
      <c r="M1010" s="366"/>
      <c r="N1010" s="88"/>
      <c r="O1010" s="580"/>
      <c r="P1010" s="1016"/>
      <c r="Q1010" s="49"/>
      <c r="R1010" s="49"/>
      <c r="S1010" s="49"/>
      <c r="T1010" s="49"/>
      <c r="U1010" s="49"/>
      <c r="V1010" s="49"/>
      <c r="W1010" s="49"/>
      <c r="X1010" s="49"/>
      <c r="Y1010" s="49"/>
      <c r="Z1010" s="49"/>
      <c r="AA1010" s="49"/>
      <c r="AB1010" s="49"/>
      <c r="AC1010" s="49"/>
      <c r="AD1010" s="49"/>
      <c r="AE1010" s="49"/>
      <c r="AF1010" s="49"/>
      <c r="AG1010" s="49"/>
      <c r="AH1010" s="49"/>
      <c r="AI1010" s="49"/>
      <c r="AJ1010" s="49"/>
      <c r="AK1010" s="49"/>
      <c r="AL1010" s="49"/>
      <c r="AM1010" s="49"/>
      <c r="AN1010" s="49"/>
      <c r="AO1010" s="49"/>
      <c r="AP1010" s="49"/>
      <c r="AQ1010" s="49"/>
      <c r="AR1010" s="49"/>
      <c r="AS1010" s="49"/>
      <c r="AT1010" s="49"/>
      <c r="AU1010" s="49"/>
      <c r="AV1010" s="49"/>
      <c r="AW1010" s="49"/>
      <c r="AX1010" s="49"/>
      <c r="AY1010" s="49"/>
      <c r="AZ1010" s="49"/>
      <c r="BA1010" s="49"/>
      <c r="BB1010" s="49"/>
      <c r="BC1010" s="49"/>
      <c r="BD1010" s="49"/>
      <c r="BE1010" s="49"/>
      <c r="BF1010" s="68"/>
    </row>
    <row r="1011" spans="1:58" s="51" customFormat="1" ht="14.25" customHeight="1">
      <c r="A1011" s="1127"/>
      <c r="B1011" s="873"/>
      <c r="C1011" s="1103"/>
      <c r="D1011" s="62">
        <v>2030</v>
      </c>
      <c r="E1011" s="63">
        <f t="shared" si="356"/>
        <v>6.0900000000000003E-2</v>
      </c>
      <c r="F1011" s="63">
        <v>6.0900000000000003E-2</v>
      </c>
      <c r="G1011" s="63">
        <v>0</v>
      </c>
      <c r="H1011" s="63">
        <v>0</v>
      </c>
      <c r="I1011" s="63">
        <v>0</v>
      </c>
      <c r="J1011" s="63">
        <v>0</v>
      </c>
      <c r="K1011" s="76">
        <v>0</v>
      </c>
      <c r="L1011" s="497">
        <f t="shared" si="354"/>
        <v>6.0900000000000003E-2</v>
      </c>
      <c r="M1011" s="366"/>
      <c r="N1011" s="88"/>
      <c r="O1011" s="580"/>
      <c r="P1011" s="843"/>
      <c r="Q1011" s="49"/>
      <c r="R1011" s="49"/>
      <c r="S1011" s="49"/>
      <c r="T1011" s="49"/>
      <c r="U1011" s="49"/>
      <c r="V1011" s="49"/>
      <c r="W1011" s="49"/>
      <c r="X1011" s="49"/>
      <c r="Y1011" s="49"/>
      <c r="Z1011" s="49"/>
      <c r="AA1011" s="49"/>
      <c r="AB1011" s="49"/>
      <c r="AC1011" s="49"/>
      <c r="AD1011" s="49"/>
      <c r="AE1011" s="49"/>
      <c r="AF1011" s="49"/>
      <c r="AG1011" s="49"/>
      <c r="AH1011" s="49"/>
      <c r="AI1011" s="49"/>
      <c r="AJ1011" s="49"/>
      <c r="AK1011" s="49"/>
      <c r="AL1011" s="49"/>
      <c r="AM1011" s="49"/>
      <c r="AN1011" s="49"/>
      <c r="AO1011" s="49"/>
      <c r="AP1011" s="49"/>
      <c r="AQ1011" s="49"/>
      <c r="AR1011" s="49"/>
      <c r="AS1011" s="49"/>
      <c r="AT1011" s="49"/>
      <c r="AU1011" s="49"/>
      <c r="AV1011" s="49"/>
      <c r="AW1011" s="49"/>
      <c r="AX1011" s="49"/>
      <c r="AY1011" s="49"/>
      <c r="AZ1011" s="49"/>
      <c r="BA1011" s="49"/>
      <c r="BB1011" s="49"/>
      <c r="BC1011" s="49"/>
      <c r="BD1011" s="49"/>
      <c r="BE1011" s="49"/>
      <c r="BF1011" s="68"/>
    </row>
    <row r="1012" spans="1:58" s="51" customFormat="1" ht="14.25" customHeight="1">
      <c r="A1012" s="794" t="s">
        <v>1337</v>
      </c>
      <c r="B1012" s="929" t="s">
        <v>201</v>
      </c>
      <c r="C1012" s="881"/>
      <c r="D1012" s="84" t="s">
        <v>16</v>
      </c>
      <c r="E1012" s="85">
        <f t="shared" ref="E1012:E1024" si="357">E1025</f>
        <v>0.11747</v>
      </c>
      <c r="F1012" s="85">
        <f>F1013+F1014+F1015+F1016+F1017+F1018+F1019+F1020+F1021+F1022+F1023+F1024</f>
        <v>0.11747</v>
      </c>
      <c r="G1012" s="85">
        <f t="shared" ref="G1012:J1024" si="358">G1025</f>
        <v>0</v>
      </c>
      <c r="H1012" s="85">
        <f t="shared" si="358"/>
        <v>0</v>
      </c>
      <c r="I1012" s="85">
        <f t="shared" si="358"/>
        <v>0</v>
      </c>
      <c r="J1012" s="85">
        <f t="shared" si="358"/>
        <v>0</v>
      </c>
      <c r="K1012" s="76">
        <v>0</v>
      </c>
      <c r="L1012" s="497">
        <f t="shared" si="354"/>
        <v>0.11747</v>
      </c>
      <c r="M1012" s="366"/>
      <c r="N1012" s="88"/>
      <c r="O1012" s="580"/>
      <c r="P1012" s="556"/>
      <c r="Q1012" s="49"/>
      <c r="R1012" s="49"/>
      <c r="S1012" s="49"/>
      <c r="T1012" s="49"/>
      <c r="U1012" s="49"/>
      <c r="V1012" s="49"/>
      <c r="W1012" s="49"/>
      <c r="X1012" s="49"/>
      <c r="Y1012" s="49"/>
      <c r="Z1012" s="49"/>
      <c r="AA1012" s="49"/>
      <c r="AB1012" s="49"/>
      <c r="AC1012" s="49"/>
      <c r="AD1012" s="49"/>
      <c r="AE1012" s="49"/>
      <c r="AF1012" s="49"/>
      <c r="AG1012" s="49"/>
      <c r="AH1012" s="49"/>
      <c r="AI1012" s="49"/>
      <c r="AJ1012" s="49"/>
      <c r="AK1012" s="49"/>
      <c r="AL1012" s="49"/>
      <c r="AM1012" s="49"/>
      <c r="AN1012" s="49"/>
      <c r="AO1012" s="49"/>
      <c r="AP1012" s="49"/>
      <c r="AQ1012" s="49"/>
      <c r="AR1012" s="49"/>
      <c r="AS1012" s="49"/>
      <c r="AT1012" s="49"/>
      <c r="AU1012" s="49"/>
      <c r="AV1012" s="49"/>
      <c r="AW1012" s="49"/>
      <c r="AX1012" s="49"/>
      <c r="AY1012" s="49"/>
      <c r="AZ1012" s="49"/>
      <c r="BA1012" s="49"/>
      <c r="BB1012" s="49"/>
      <c r="BC1012" s="49"/>
      <c r="BD1012" s="49"/>
      <c r="BE1012" s="49"/>
      <c r="BF1012" s="68"/>
    </row>
    <row r="1013" spans="1:58" s="51" customFormat="1" ht="14.25" customHeight="1">
      <c r="A1013" s="1126"/>
      <c r="B1013" s="868"/>
      <c r="C1013" s="1125"/>
      <c r="D1013" s="62">
        <v>2019</v>
      </c>
      <c r="E1013" s="63">
        <f t="shared" si="357"/>
        <v>0</v>
      </c>
      <c r="F1013" s="63">
        <f>F1026</f>
        <v>0</v>
      </c>
      <c r="G1013" s="63">
        <f t="shared" si="358"/>
        <v>0</v>
      </c>
      <c r="H1013" s="63">
        <f t="shared" si="358"/>
        <v>0</v>
      </c>
      <c r="I1013" s="63">
        <f t="shared" si="358"/>
        <v>0</v>
      </c>
      <c r="J1013" s="63">
        <f t="shared" si="358"/>
        <v>0</v>
      </c>
      <c r="K1013" s="76">
        <v>0</v>
      </c>
      <c r="L1013" s="497">
        <f t="shared" si="354"/>
        <v>0</v>
      </c>
      <c r="M1013" s="366"/>
      <c r="N1013" s="88"/>
      <c r="O1013" s="580"/>
      <c r="P1013" s="556"/>
      <c r="Q1013" s="49"/>
      <c r="R1013" s="49"/>
      <c r="S1013" s="49"/>
      <c r="T1013" s="49"/>
      <c r="U1013" s="49"/>
      <c r="V1013" s="49"/>
      <c r="W1013" s="49"/>
      <c r="X1013" s="49"/>
      <c r="Y1013" s="49"/>
      <c r="Z1013" s="49"/>
      <c r="AA1013" s="49"/>
      <c r="AB1013" s="49"/>
      <c r="AC1013" s="49"/>
      <c r="AD1013" s="49"/>
      <c r="AE1013" s="49"/>
      <c r="AF1013" s="49"/>
      <c r="AG1013" s="49"/>
      <c r="AH1013" s="49"/>
      <c r="AI1013" s="49"/>
      <c r="AJ1013" s="49"/>
      <c r="AK1013" s="49"/>
      <c r="AL1013" s="49"/>
      <c r="AM1013" s="49"/>
      <c r="AN1013" s="49"/>
      <c r="AO1013" s="49"/>
      <c r="AP1013" s="49"/>
      <c r="AQ1013" s="49"/>
      <c r="AR1013" s="49"/>
      <c r="AS1013" s="49"/>
      <c r="AT1013" s="49"/>
      <c r="AU1013" s="49"/>
      <c r="AV1013" s="49"/>
      <c r="AW1013" s="49"/>
      <c r="AX1013" s="49"/>
      <c r="AY1013" s="49"/>
      <c r="AZ1013" s="49"/>
      <c r="BA1013" s="49"/>
      <c r="BB1013" s="49"/>
      <c r="BC1013" s="49"/>
      <c r="BD1013" s="49"/>
      <c r="BE1013" s="49"/>
      <c r="BF1013" s="68"/>
    </row>
    <row r="1014" spans="1:58" s="51" customFormat="1" ht="14.25" customHeight="1">
      <c r="A1014" s="1126"/>
      <c r="B1014" s="868"/>
      <c r="C1014" s="1125"/>
      <c r="D1014" s="62">
        <v>2020</v>
      </c>
      <c r="E1014" s="504">
        <f t="shared" si="357"/>
        <v>1.0370000000000001E-2</v>
      </c>
      <c r="F1014" s="504">
        <f>F1027</f>
        <v>1.0370000000000001E-2</v>
      </c>
      <c r="G1014" s="504">
        <f t="shared" si="358"/>
        <v>0</v>
      </c>
      <c r="H1014" s="504">
        <f t="shared" si="358"/>
        <v>0</v>
      </c>
      <c r="I1014" s="504">
        <f t="shared" si="358"/>
        <v>0</v>
      </c>
      <c r="J1014" s="504">
        <f t="shared" si="358"/>
        <v>0</v>
      </c>
      <c r="K1014" s="76">
        <v>0</v>
      </c>
      <c r="L1014" s="497">
        <f t="shared" si="354"/>
        <v>1.0370000000000001E-2</v>
      </c>
      <c r="M1014" s="366"/>
      <c r="N1014" s="88"/>
      <c r="O1014" s="580"/>
      <c r="P1014" s="556"/>
      <c r="Q1014" s="49"/>
      <c r="R1014" s="49"/>
      <c r="S1014" s="49"/>
      <c r="T1014" s="49"/>
      <c r="U1014" s="49"/>
      <c r="V1014" s="49"/>
      <c r="W1014" s="49"/>
      <c r="X1014" s="49"/>
      <c r="Y1014" s="49"/>
      <c r="Z1014" s="49"/>
      <c r="AA1014" s="49"/>
      <c r="AB1014" s="49"/>
      <c r="AC1014" s="49"/>
      <c r="AD1014" s="49"/>
      <c r="AE1014" s="49"/>
      <c r="AF1014" s="49"/>
      <c r="AG1014" s="49"/>
      <c r="AH1014" s="49"/>
      <c r="AI1014" s="49"/>
      <c r="AJ1014" s="49"/>
      <c r="AK1014" s="49"/>
      <c r="AL1014" s="49"/>
      <c r="AM1014" s="49"/>
      <c r="AN1014" s="49"/>
      <c r="AO1014" s="49"/>
      <c r="AP1014" s="49"/>
      <c r="AQ1014" s="49"/>
      <c r="AR1014" s="49"/>
      <c r="AS1014" s="49"/>
      <c r="AT1014" s="49"/>
      <c r="AU1014" s="49"/>
      <c r="AV1014" s="49"/>
      <c r="AW1014" s="49"/>
      <c r="AX1014" s="49"/>
      <c r="AY1014" s="49"/>
      <c r="AZ1014" s="49"/>
      <c r="BA1014" s="49"/>
      <c r="BB1014" s="49"/>
      <c r="BC1014" s="49"/>
      <c r="BD1014" s="49"/>
      <c r="BE1014" s="49"/>
      <c r="BF1014" s="68"/>
    </row>
    <row r="1015" spans="1:58" s="51" customFormat="1" ht="14.25" customHeight="1">
      <c r="A1015" s="1126"/>
      <c r="B1015" s="868"/>
      <c r="C1015" s="1125"/>
      <c r="D1015" s="62">
        <v>2021</v>
      </c>
      <c r="E1015" s="63">
        <f t="shared" si="357"/>
        <v>1.04E-2</v>
      </c>
      <c r="F1015" s="63">
        <f>F1028</f>
        <v>1.04E-2</v>
      </c>
      <c r="G1015" s="63">
        <f t="shared" si="358"/>
        <v>0</v>
      </c>
      <c r="H1015" s="63">
        <f t="shared" si="358"/>
        <v>0</v>
      </c>
      <c r="I1015" s="63">
        <f t="shared" si="358"/>
        <v>0</v>
      </c>
      <c r="J1015" s="63">
        <f t="shared" si="358"/>
        <v>0</v>
      </c>
      <c r="K1015" s="76">
        <v>0</v>
      </c>
      <c r="L1015" s="497">
        <f t="shared" si="354"/>
        <v>1.04E-2</v>
      </c>
      <c r="M1015" s="366"/>
      <c r="N1015" s="88"/>
      <c r="O1015" s="580"/>
      <c r="P1015" s="556"/>
      <c r="Q1015" s="49"/>
      <c r="R1015" s="49"/>
      <c r="S1015" s="49"/>
      <c r="T1015" s="49"/>
      <c r="U1015" s="49"/>
      <c r="V1015" s="49"/>
      <c r="W1015" s="49"/>
      <c r="X1015" s="49"/>
      <c r="Y1015" s="49"/>
      <c r="Z1015" s="49"/>
      <c r="AA1015" s="49"/>
      <c r="AB1015" s="49"/>
      <c r="AC1015" s="49"/>
      <c r="AD1015" s="49"/>
      <c r="AE1015" s="49"/>
      <c r="AF1015" s="49"/>
      <c r="AG1015" s="49"/>
      <c r="AH1015" s="49"/>
      <c r="AI1015" s="49"/>
      <c r="AJ1015" s="49"/>
      <c r="AK1015" s="49"/>
      <c r="AL1015" s="49"/>
      <c r="AM1015" s="49"/>
      <c r="AN1015" s="49"/>
      <c r="AO1015" s="49"/>
      <c r="AP1015" s="49"/>
      <c r="AQ1015" s="49"/>
      <c r="AR1015" s="49"/>
      <c r="AS1015" s="49"/>
      <c r="AT1015" s="49"/>
      <c r="AU1015" s="49"/>
      <c r="AV1015" s="49"/>
      <c r="AW1015" s="49"/>
      <c r="AX1015" s="49"/>
      <c r="AY1015" s="49"/>
      <c r="AZ1015" s="49"/>
      <c r="BA1015" s="49"/>
      <c r="BB1015" s="49"/>
      <c r="BC1015" s="49"/>
      <c r="BD1015" s="49"/>
      <c r="BE1015" s="49"/>
      <c r="BF1015" s="68"/>
    </row>
    <row r="1016" spans="1:58" s="51" customFormat="1" ht="14.25" customHeight="1">
      <c r="A1016" s="1126"/>
      <c r="B1016" s="868"/>
      <c r="C1016" s="1125"/>
      <c r="D1016" s="62">
        <v>2022</v>
      </c>
      <c r="E1016" s="63">
        <f t="shared" si="357"/>
        <v>1.04E-2</v>
      </c>
      <c r="F1016" s="63">
        <f>F1029</f>
        <v>1.04E-2</v>
      </c>
      <c r="G1016" s="63">
        <f t="shared" si="358"/>
        <v>0</v>
      </c>
      <c r="H1016" s="63">
        <f t="shared" si="358"/>
        <v>0</v>
      </c>
      <c r="I1016" s="63">
        <f t="shared" si="358"/>
        <v>0</v>
      </c>
      <c r="J1016" s="63">
        <f t="shared" si="358"/>
        <v>0</v>
      </c>
      <c r="K1016" s="76">
        <v>0</v>
      </c>
      <c r="L1016" s="511">
        <f>L1029</f>
        <v>1.04E-2</v>
      </c>
      <c r="M1016" s="366"/>
      <c r="N1016" s="88"/>
      <c r="O1016" s="580"/>
      <c r="P1016" s="556"/>
      <c r="Q1016" s="49"/>
      <c r="R1016" s="49"/>
      <c r="S1016" s="49"/>
      <c r="T1016" s="49"/>
      <c r="U1016" s="49"/>
      <c r="V1016" s="49"/>
      <c r="W1016" s="49"/>
      <c r="X1016" s="49"/>
      <c r="Y1016" s="49"/>
      <c r="Z1016" s="49"/>
      <c r="AA1016" s="49"/>
      <c r="AB1016" s="49"/>
      <c r="AC1016" s="49"/>
      <c r="AD1016" s="49"/>
      <c r="AE1016" s="49"/>
      <c r="AF1016" s="49"/>
      <c r="AG1016" s="49"/>
      <c r="AH1016" s="49"/>
      <c r="AI1016" s="49"/>
      <c r="AJ1016" s="49"/>
      <c r="AK1016" s="49"/>
      <c r="AL1016" s="49"/>
      <c r="AM1016" s="49"/>
      <c r="AN1016" s="49"/>
      <c r="AO1016" s="49"/>
      <c r="AP1016" s="49"/>
      <c r="AQ1016" s="49"/>
      <c r="AR1016" s="49"/>
      <c r="AS1016" s="49"/>
      <c r="AT1016" s="49"/>
      <c r="AU1016" s="49"/>
      <c r="AV1016" s="49"/>
      <c r="AW1016" s="49"/>
      <c r="AX1016" s="49"/>
      <c r="AY1016" s="49"/>
      <c r="AZ1016" s="49"/>
      <c r="BA1016" s="49"/>
      <c r="BB1016" s="49"/>
      <c r="BC1016" s="49"/>
      <c r="BD1016" s="49"/>
      <c r="BE1016" s="49"/>
      <c r="BF1016" s="68"/>
    </row>
    <row r="1017" spans="1:58" s="51" customFormat="1" ht="14.25" customHeight="1">
      <c r="A1017" s="1126"/>
      <c r="B1017" s="868"/>
      <c r="C1017" s="1125"/>
      <c r="D1017" s="62">
        <v>2023</v>
      </c>
      <c r="E1017" s="63">
        <f t="shared" si="357"/>
        <v>0.01</v>
      </c>
      <c r="F1017" s="63">
        <f>F1030</f>
        <v>0.01</v>
      </c>
      <c r="G1017" s="63">
        <f t="shared" si="358"/>
        <v>0</v>
      </c>
      <c r="H1017" s="63">
        <f t="shared" si="358"/>
        <v>0</v>
      </c>
      <c r="I1017" s="63">
        <f t="shared" si="358"/>
        <v>0</v>
      </c>
      <c r="J1017" s="63">
        <f t="shared" si="358"/>
        <v>0</v>
      </c>
      <c r="K1017" s="76">
        <v>0</v>
      </c>
      <c r="L1017" s="497">
        <f t="shared" ref="L1017:L1048" si="359">F1017+G1017+H1017+I1017+J1017</f>
        <v>0.01</v>
      </c>
      <c r="M1017" s="366"/>
      <c r="N1017" s="88"/>
      <c r="O1017" s="580"/>
      <c r="P1017" s="556"/>
      <c r="Q1017" s="49"/>
      <c r="R1017" s="49"/>
      <c r="S1017" s="49"/>
      <c r="T1017" s="49"/>
      <c r="U1017" s="49"/>
      <c r="V1017" s="49"/>
      <c r="W1017" s="49"/>
      <c r="X1017" s="49"/>
      <c r="Y1017" s="49"/>
      <c r="Z1017" s="49"/>
      <c r="AA1017" s="49"/>
      <c r="AB1017" s="49"/>
      <c r="AC1017" s="49"/>
      <c r="AD1017" s="49"/>
      <c r="AE1017" s="49"/>
      <c r="AF1017" s="49"/>
      <c r="AG1017" s="49"/>
      <c r="AH1017" s="49"/>
      <c r="AI1017" s="49"/>
      <c r="AJ1017" s="49"/>
      <c r="AK1017" s="49"/>
      <c r="AL1017" s="49"/>
      <c r="AM1017" s="49"/>
      <c r="AN1017" s="49"/>
      <c r="AO1017" s="49"/>
      <c r="AP1017" s="49"/>
      <c r="AQ1017" s="49"/>
      <c r="AR1017" s="49"/>
      <c r="AS1017" s="49"/>
      <c r="AT1017" s="49"/>
      <c r="AU1017" s="49"/>
      <c r="AV1017" s="49"/>
      <c r="AW1017" s="49"/>
      <c r="AX1017" s="49"/>
      <c r="AY1017" s="49"/>
      <c r="AZ1017" s="49"/>
      <c r="BA1017" s="49"/>
      <c r="BB1017" s="49"/>
      <c r="BC1017" s="49"/>
      <c r="BD1017" s="49"/>
      <c r="BE1017" s="49"/>
      <c r="BF1017" s="68"/>
    </row>
    <row r="1018" spans="1:58" s="51" customFormat="1" ht="14.25" customHeight="1">
      <c r="A1018" s="1126"/>
      <c r="B1018" s="868"/>
      <c r="C1018" s="1125"/>
      <c r="D1018" s="62">
        <v>2024</v>
      </c>
      <c r="E1018" s="63">
        <f t="shared" si="357"/>
        <v>0.01</v>
      </c>
      <c r="F1018" s="63">
        <v>0.01</v>
      </c>
      <c r="G1018" s="63">
        <f t="shared" si="358"/>
        <v>0</v>
      </c>
      <c r="H1018" s="63">
        <f t="shared" si="358"/>
        <v>0</v>
      </c>
      <c r="I1018" s="63">
        <f t="shared" si="358"/>
        <v>0</v>
      </c>
      <c r="J1018" s="63">
        <f t="shared" si="358"/>
        <v>0</v>
      </c>
      <c r="K1018" s="76">
        <v>0</v>
      </c>
      <c r="L1018" s="497">
        <f t="shared" si="359"/>
        <v>0.01</v>
      </c>
      <c r="M1018" s="366"/>
      <c r="N1018" s="88"/>
      <c r="O1018" s="580"/>
      <c r="P1018" s="556"/>
      <c r="Q1018" s="49"/>
      <c r="R1018" s="49"/>
      <c r="S1018" s="49"/>
      <c r="T1018" s="49"/>
      <c r="U1018" s="49"/>
      <c r="V1018" s="49"/>
      <c r="W1018" s="49"/>
      <c r="X1018" s="49"/>
      <c r="Y1018" s="49"/>
      <c r="Z1018" s="49"/>
      <c r="AA1018" s="49"/>
      <c r="AB1018" s="49"/>
      <c r="AC1018" s="49"/>
      <c r="AD1018" s="49"/>
      <c r="AE1018" s="49"/>
      <c r="AF1018" s="49"/>
      <c r="AG1018" s="49"/>
      <c r="AH1018" s="49"/>
      <c r="AI1018" s="49"/>
      <c r="AJ1018" s="49"/>
      <c r="AK1018" s="49"/>
      <c r="AL1018" s="49"/>
      <c r="AM1018" s="49"/>
      <c r="AN1018" s="49"/>
      <c r="AO1018" s="49"/>
      <c r="AP1018" s="49"/>
      <c r="AQ1018" s="49"/>
      <c r="AR1018" s="49"/>
      <c r="AS1018" s="49"/>
      <c r="AT1018" s="49"/>
      <c r="AU1018" s="49"/>
      <c r="AV1018" s="49"/>
      <c r="AW1018" s="49"/>
      <c r="AX1018" s="49"/>
      <c r="AY1018" s="49"/>
      <c r="AZ1018" s="49"/>
      <c r="BA1018" s="49"/>
      <c r="BB1018" s="49"/>
      <c r="BC1018" s="49"/>
      <c r="BD1018" s="49"/>
      <c r="BE1018" s="49"/>
      <c r="BF1018" s="68"/>
    </row>
    <row r="1019" spans="1:58" s="51" customFormat="1" ht="14.25" customHeight="1">
      <c r="A1019" s="1126"/>
      <c r="B1019" s="868"/>
      <c r="C1019" s="1125"/>
      <c r="D1019" s="62">
        <v>2025</v>
      </c>
      <c r="E1019" s="63">
        <f t="shared" si="357"/>
        <v>0.01</v>
      </c>
      <c r="F1019" s="63">
        <v>0.01</v>
      </c>
      <c r="G1019" s="63">
        <f t="shared" si="358"/>
        <v>0</v>
      </c>
      <c r="H1019" s="63">
        <f t="shared" si="358"/>
        <v>0</v>
      </c>
      <c r="I1019" s="63">
        <f t="shared" si="358"/>
        <v>0</v>
      </c>
      <c r="J1019" s="63">
        <f t="shared" si="358"/>
        <v>0</v>
      </c>
      <c r="K1019" s="76">
        <v>0</v>
      </c>
      <c r="L1019" s="497">
        <f t="shared" si="359"/>
        <v>0.01</v>
      </c>
      <c r="M1019" s="366"/>
      <c r="N1019" s="88"/>
      <c r="O1019" s="580"/>
      <c r="P1019" s="556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49"/>
      <c r="AU1019" s="49"/>
      <c r="AV1019" s="49"/>
      <c r="AW1019" s="49"/>
      <c r="AX1019" s="49"/>
      <c r="AY1019" s="49"/>
      <c r="AZ1019" s="49"/>
      <c r="BA1019" s="49"/>
      <c r="BB1019" s="49"/>
      <c r="BC1019" s="49"/>
      <c r="BD1019" s="49"/>
      <c r="BE1019" s="49"/>
      <c r="BF1019" s="68"/>
    </row>
    <row r="1020" spans="1:58" s="51" customFormat="1" ht="14.25" customHeight="1">
      <c r="A1020" s="1126"/>
      <c r="B1020" s="868"/>
      <c r="C1020" s="1125"/>
      <c r="D1020" s="62">
        <v>2026</v>
      </c>
      <c r="E1020" s="63">
        <f t="shared" si="357"/>
        <v>1.04E-2</v>
      </c>
      <c r="F1020" s="63">
        <f>F1033</f>
        <v>1.04E-2</v>
      </c>
      <c r="G1020" s="63">
        <f t="shared" si="358"/>
        <v>0</v>
      </c>
      <c r="H1020" s="63">
        <f t="shared" si="358"/>
        <v>0</v>
      </c>
      <c r="I1020" s="63">
        <f t="shared" si="358"/>
        <v>0</v>
      </c>
      <c r="J1020" s="63">
        <f t="shared" si="358"/>
        <v>0</v>
      </c>
      <c r="K1020" s="76">
        <v>0</v>
      </c>
      <c r="L1020" s="497">
        <f t="shared" si="359"/>
        <v>1.04E-2</v>
      </c>
      <c r="M1020" s="366"/>
      <c r="N1020" s="88"/>
      <c r="O1020" s="580"/>
      <c r="P1020" s="556"/>
      <c r="Q1020" s="49"/>
      <c r="R1020" s="49"/>
      <c r="S1020" s="49"/>
      <c r="T1020" s="49"/>
      <c r="U1020" s="49"/>
      <c r="V1020" s="49"/>
      <c r="W1020" s="49"/>
      <c r="X1020" s="49"/>
      <c r="Y1020" s="49"/>
      <c r="Z1020" s="49"/>
      <c r="AA1020" s="49"/>
      <c r="AB1020" s="49"/>
      <c r="AC1020" s="49"/>
      <c r="AD1020" s="49"/>
      <c r="AE1020" s="49"/>
      <c r="AF1020" s="49"/>
      <c r="AG1020" s="49"/>
      <c r="AH1020" s="49"/>
      <c r="AI1020" s="49"/>
      <c r="AJ1020" s="49"/>
      <c r="AK1020" s="49"/>
      <c r="AL1020" s="49"/>
      <c r="AM1020" s="49"/>
      <c r="AN1020" s="49"/>
      <c r="AO1020" s="49"/>
      <c r="AP1020" s="49"/>
      <c r="AQ1020" s="49"/>
      <c r="AR1020" s="49"/>
      <c r="AS1020" s="49"/>
      <c r="AT1020" s="49"/>
      <c r="AU1020" s="49"/>
      <c r="AV1020" s="49"/>
      <c r="AW1020" s="49"/>
      <c r="AX1020" s="49"/>
      <c r="AY1020" s="49"/>
      <c r="AZ1020" s="49"/>
      <c r="BA1020" s="49"/>
      <c r="BB1020" s="49"/>
      <c r="BC1020" s="49"/>
      <c r="BD1020" s="49"/>
      <c r="BE1020" s="49"/>
      <c r="BF1020" s="68"/>
    </row>
    <row r="1021" spans="1:58" s="51" customFormat="1" ht="14.25" customHeight="1">
      <c r="A1021" s="1126"/>
      <c r="B1021" s="868"/>
      <c r="C1021" s="1125"/>
      <c r="D1021" s="62">
        <v>2027</v>
      </c>
      <c r="E1021" s="63">
        <f t="shared" si="357"/>
        <v>1.0800000000000001E-2</v>
      </c>
      <c r="F1021" s="63">
        <f>F1034</f>
        <v>1.0800000000000001E-2</v>
      </c>
      <c r="G1021" s="63">
        <f t="shared" si="358"/>
        <v>0</v>
      </c>
      <c r="H1021" s="63">
        <f t="shared" si="358"/>
        <v>0</v>
      </c>
      <c r="I1021" s="63">
        <f t="shared" si="358"/>
        <v>0</v>
      </c>
      <c r="J1021" s="63">
        <f t="shared" si="358"/>
        <v>0</v>
      </c>
      <c r="K1021" s="76">
        <v>0</v>
      </c>
      <c r="L1021" s="497">
        <f t="shared" si="359"/>
        <v>1.0800000000000001E-2</v>
      </c>
      <c r="M1021" s="366"/>
      <c r="N1021" s="88"/>
      <c r="O1021" s="580"/>
      <c r="P1021" s="556"/>
      <c r="Q1021" s="49"/>
      <c r="R1021" s="49"/>
      <c r="S1021" s="49"/>
      <c r="T1021" s="49"/>
      <c r="U1021" s="49"/>
      <c r="V1021" s="49"/>
      <c r="W1021" s="49"/>
      <c r="X1021" s="49"/>
      <c r="Y1021" s="49"/>
      <c r="Z1021" s="49"/>
      <c r="AA1021" s="49"/>
      <c r="AB1021" s="49"/>
      <c r="AC1021" s="49"/>
      <c r="AD1021" s="49"/>
      <c r="AE1021" s="49"/>
      <c r="AF1021" s="49"/>
      <c r="AG1021" s="49"/>
      <c r="AH1021" s="49"/>
      <c r="AI1021" s="49"/>
      <c r="AJ1021" s="49"/>
      <c r="AK1021" s="49"/>
      <c r="AL1021" s="49"/>
      <c r="AM1021" s="49"/>
      <c r="AN1021" s="49"/>
      <c r="AO1021" s="49"/>
      <c r="AP1021" s="49"/>
      <c r="AQ1021" s="49"/>
      <c r="AR1021" s="49"/>
      <c r="AS1021" s="49"/>
      <c r="AT1021" s="49"/>
      <c r="AU1021" s="49"/>
      <c r="AV1021" s="49"/>
      <c r="AW1021" s="49"/>
      <c r="AX1021" s="49"/>
      <c r="AY1021" s="49"/>
      <c r="AZ1021" s="49"/>
      <c r="BA1021" s="49"/>
      <c r="BB1021" s="49"/>
      <c r="BC1021" s="49"/>
      <c r="BD1021" s="49"/>
      <c r="BE1021" s="49"/>
      <c r="BF1021" s="68"/>
    </row>
    <row r="1022" spans="1:58" s="51" customFormat="1" ht="14.25" customHeight="1">
      <c r="A1022" s="1126"/>
      <c r="B1022" s="868"/>
      <c r="C1022" s="1125"/>
      <c r="D1022" s="62">
        <v>2028</v>
      </c>
      <c r="E1022" s="63">
        <f t="shared" si="357"/>
        <v>1.12E-2</v>
      </c>
      <c r="F1022" s="63">
        <f>F1035</f>
        <v>1.12E-2</v>
      </c>
      <c r="G1022" s="63">
        <f t="shared" si="358"/>
        <v>0</v>
      </c>
      <c r="H1022" s="63">
        <f t="shared" si="358"/>
        <v>0</v>
      </c>
      <c r="I1022" s="63">
        <f t="shared" si="358"/>
        <v>0</v>
      </c>
      <c r="J1022" s="63">
        <f t="shared" si="358"/>
        <v>0</v>
      </c>
      <c r="K1022" s="76">
        <v>0</v>
      </c>
      <c r="L1022" s="497">
        <f t="shared" si="359"/>
        <v>1.12E-2</v>
      </c>
      <c r="M1022" s="366"/>
      <c r="N1022" s="88"/>
      <c r="O1022" s="580"/>
      <c r="P1022" s="556"/>
      <c r="Q1022" s="49"/>
      <c r="R1022" s="49"/>
      <c r="S1022" s="49"/>
      <c r="T1022" s="49"/>
      <c r="U1022" s="49"/>
      <c r="V1022" s="49"/>
      <c r="W1022" s="49"/>
      <c r="X1022" s="49"/>
      <c r="Y1022" s="49"/>
      <c r="Z1022" s="49"/>
      <c r="AA1022" s="49"/>
      <c r="AB1022" s="49"/>
      <c r="AC1022" s="49"/>
      <c r="AD1022" s="49"/>
      <c r="AE1022" s="49"/>
      <c r="AF1022" s="49"/>
      <c r="AG1022" s="49"/>
      <c r="AH1022" s="49"/>
      <c r="AI1022" s="49"/>
      <c r="AJ1022" s="49"/>
      <c r="AK1022" s="49"/>
      <c r="AL1022" s="49"/>
      <c r="AM1022" s="49"/>
      <c r="AN1022" s="49"/>
      <c r="AO1022" s="49"/>
      <c r="AP1022" s="49"/>
      <c r="AQ1022" s="49"/>
      <c r="AR1022" s="49"/>
      <c r="AS1022" s="49"/>
      <c r="AT1022" s="49"/>
      <c r="AU1022" s="49"/>
      <c r="AV1022" s="49"/>
      <c r="AW1022" s="49"/>
      <c r="AX1022" s="49"/>
      <c r="AY1022" s="49"/>
      <c r="AZ1022" s="49"/>
      <c r="BA1022" s="49"/>
      <c r="BB1022" s="49"/>
      <c r="BC1022" s="49"/>
      <c r="BD1022" s="49"/>
      <c r="BE1022" s="49"/>
      <c r="BF1022" s="68"/>
    </row>
    <row r="1023" spans="1:58" s="51" customFormat="1" ht="14.25" customHeight="1">
      <c r="A1023" s="1126"/>
      <c r="B1023" s="868"/>
      <c r="C1023" s="1125"/>
      <c r="D1023" s="62">
        <v>2029</v>
      </c>
      <c r="E1023" s="63">
        <f t="shared" si="357"/>
        <v>1.17E-2</v>
      </c>
      <c r="F1023" s="63">
        <f>F1036</f>
        <v>1.17E-2</v>
      </c>
      <c r="G1023" s="63">
        <f t="shared" si="358"/>
        <v>0</v>
      </c>
      <c r="H1023" s="63">
        <f t="shared" si="358"/>
        <v>0</v>
      </c>
      <c r="I1023" s="63">
        <f t="shared" si="358"/>
        <v>0</v>
      </c>
      <c r="J1023" s="63">
        <f t="shared" si="358"/>
        <v>0</v>
      </c>
      <c r="K1023" s="76">
        <v>0</v>
      </c>
      <c r="L1023" s="497">
        <f t="shared" si="359"/>
        <v>1.17E-2</v>
      </c>
      <c r="M1023" s="366"/>
      <c r="N1023" s="88"/>
      <c r="O1023" s="580"/>
      <c r="P1023" s="556"/>
      <c r="Q1023" s="49"/>
      <c r="R1023" s="49"/>
      <c r="S1023" s="49"/>
      <c r="T1023" s="49"/>
      <c r="U1023" s="49"/>
      <c r="V1023" s="49"/>
      <c r="W1023" s="49"/>
      <c r="X1023" s="49"/>
      <c r="Y1023" s="49"/>
      <c r="Z1023" s="49"/>
      <c r="AA1023" s="49"/>
      <c r="AB1023" s="49"/>
      <c r="AC1023" s="49"/>
      <c r="AD1023" s="49"/>
      <c r="AE1023" s="49"/>
      <c r="AF1023" s="49"/>
      <c r="AG1023" s="49"/>
      <c r="AH1023" s="49"/>
      <c r="AI1023" s="49"/>
      <c r="AJ1023" s="49"/>
      <c r="AK1023" s="49"/>
      <c r="AL1023" s="49"/>
      <c r="AM1023" s="49"/>
      <c r="AN1023" s="49"/>
      <c r="AO1023" s="49"/>
      <c r="AP1023" s="49"/>
      <c r="AQ1023" s="49"/>
      <c r="AR1023" s="49"/>
      <c r="AS1023" s="49"/>
      <c r="AT1023" s="49"/>
      <c r="AU1023" s="49"/>
      <c r="AV1023" s="49"/>
      <c r="AW1023" s="49"/>
      <c r="AX1023" s="49"/>
      <c r="AY1023" s="49"/>
      <c r="AZ1023" s="49"/>
      <c r="BA1023" s="49"/>
      <c r="BB1023" s="49"/>
      <c r="BC1023" s="49"/>
      <c r="BD1023" s="49"/>
      <c r="BE1023" s="49"/>
      <c r="BF1023" s="68"/>
    </row>
    <row r="1024" spans="1:58" s="51" customFormat="1" ht="14.25" customHeight="1">
      <c r="A1024" s="1127"/>
      <c r="B1024" s="869"/>
      <c r="C1024" s="1103"/>
      <c r="D1024" s="62">
        <v>2030</v>
      </c>
      <c r="E1024" s="63">
        <f t="shared" si="357"/>
        <v>1.2200000000000001E-2</v>
      </c>
      <c r="F1024" s="63">
        <f>F1037</f>
        <v>1.2200000000000001E-2</v>
      </c>
      <c r="G1024" s="63">
        <f t="shared" si="358"/>
        <v>0</v>
      </c>
      <c r="H1024" s="63">
        <f t="shared" si="358"/>
        <v>0</v>
      </c>
      <c r="I1024" s="63">
        <f t="shared" si="358"/>
        <v>0</v>
      </c>
      <c r="J1024" s="63">
        <f t="shared" si="358"/>
        <v>0</v>
      </c>
      <c r="K1024" s="76">
        <v>0</v>
      </c>
      <c r="L1024" s="497">
        <f t="shared" si="359"/>
        <v>1.2200000000000001E-2</v>
      </c>
      <c r="M1024" s="366"/>
      <c r="N1024" s="88"/>
      <c r="O1024" s="580"/>
      <c r="P1024" s="556"/>
      <c r="Q1024" s="49"/>
      <c r="R1024" s="49"/>
      <c r="S1024" s="49"/>
      <c r="T1024" s="49"/>
      <c r="U1024" s="49"/>
      <c r="V1024" s="49"/>
      <c r="W1024" s="49"/>
      <c r="X1024" s="49"/>
      <c r="Y1024" s="49"/>
      <c r="Z1024" s="49"/>
      <c r="AA1024" s="49"/>
      <c r="AB1024" s="49"/>
      <c r="AC1024" s="49"/>
      <c r="AD1024" s="49"/>
      <c r="AE1024" s="49"/>
      <c r="AF1024" s="49"/>
      <c r="AG1024" s="49"/>
      <c r="AH1024" s="49"/>
      <c r="AI1024" s="49"/>
      <c r="AJ1024" s="49"/>
      <c r="AK1024" s="49"/>
      <c r="AL1024" s="49"/>
      <c r="AM1024" s="49"/>
      <c r="AN1024" s="49"/>
      <c r="AO1024" s="49"/>
      <c r="AP1024" s="49"/>
      <c r="AQ1024" s="49"/>
      <c r="AR1024" s="49"/>
      <c r="AS1024" s="49"/>
      <c r="AT1024" s="49"/>
      <c r="AU1024" s="49"/>
      <c r="AV1024" s="49"/>
      <c r="AW1024" s="49"/>
      <c r="AX1024" s="49"/>
      <c r="AY1024" s="49"/>
      <c r="AZ1024" s="49"/>
      <c r="BA1024" s="49"/>
      <c r="BB1024" s="49"/>
      <c r="BC1024" s="49"/>
      <c r="BD1024" s="49"/>
      <c r="BE1024" s="49"/>
      <c r="BF1024" s="68"/>
    </row>
    <row r="1025" spans="1:58" s="51" customFormat="1" ht="14.25" customHeight="1">
      <c r="A1025" s="794" t="s">
        <v>1338</v>
      </c>
      <c r="B1025" s="867" t="s">
        <v>966</v>
      </c>
      <c r="C1025" s="188"/>
      <c r="D1025" s="84" t="s">
        <v>16</v>
      </c>
      <c r="E1025" s="85">
        <f t="shared" ref="E1025:J1025" si="360">E1026+E1027+E1028+E1029+E1030+E1031+E1032+E1033+E1034+E1035+E1036+E1037</f>
        <v>0.11747</v>
      </c>
      <c r="F1025" s="85">
        <f t="shared" si="360"/>
        <v>0.11747</v>
      </c>
      <c r="G1025" s="85">
        <f t="shared" si="360"/>
        <v>0</v>
      </c>
      <c r="H1025" s="85">
        <f t="shared" si="360"/>
        <v>0</v>
      </c>
      <c r="I1025" s="85">
        <f t="shared" si="360"/>
        <v>0</v>
      </c>
      <c r="J1025" s="85">
        <f t="shared" si="360"/>
        <v>0</v>
      </c>
      <c r="K1025" s="76">
        <v>0</v>
      </c>
      <c r="L1025" s="497">
        <f t="shared" si="359"/>
        <v>0.11747</v>
      </c>
      <c r="M1025" s="366"/>
      <c r="N1025" s="88"/>
      <c r="O1025" s="580"/>
      <c r="P1025" s="842" t="s">
        <v>527</v>
      </c>
      <c r="Q1025" s="49"/>
      <c r="R1025" s="49"/>
      <c r="S1025" s="49"/>
      <c r="T1025" s="49"/>
      <c r="U1025" s="49"/>
      <c r="V1025" s="49"/>
      <c r="W1025" s="49"/>
      <c r="X1025" s="49"/>
      <c r="Y1025" s="49"/>
      <c r="Z1025" s="49"/>
      <c r="AA1025" s="49"/>
      <c r="AB1025" s="49"/>
      <c r="AC1025" s="49"/>
      <c r="AD1025" s="49"/>
      <c r="AE1025" s="49"/>
      <c r="AF1025" s="49"/>
      <c r="AG1025" s="49"/>
      <c r="AH1025" s="49"/>
      <c r="AI1025" s="49"/>
      <c r="AJ1025" s="49"/>
      <c r="AK1025" s="49"/>
      <c r="AL1025" s="49"/>
      <c r="AM1025" s="49"/>
      <c r="AN1025" s="49"/>
      <c r="AO1025" s="49"/>
      <c r="AP1025" s="49"/>
      <c r="AQ1025" s="49"/>
      <c r="AR1025" s="49"/>
      <c r="AS1025" s="49"/>
      <c r="AT1025" s="49"/>
      <c r="AU1025" s="49"/>
      <c r="AV1025" s="49"/>
      <c r="AW1025" s="49"/>
      <c r="AX1025" s="49"/>
      <c r="AY1025" s="49"/>
      <c r="AZ1025" s="49"/>
      <c r="BA1025" s="49"/>
      <c r="BB1025" s="49"/>
      <c r="BC1025" s="49"/>
      <c r="BD1025" s="49"/>
      <c r="BE1025" s="49"/>
      <c r="BF1025" s="68"/>
    </row>
    <row r="1026" spans="1:58" s="51" customFormat="1" ht="14.25" customHeight="1">
      <c r="A1026" s="1126"/>
      <c r="B1026" s="868"/>
      <c r="C1026" s="358" t="s">
        <v>955</v>
      </c>
      <c r="D1026" s="62">
        <v>2019</v>
      </c>
      <c r="E1026" s="63">
        <f t="shared" ref="E1026:E1037" si="361">F1026+G1026+H1026+I1026+J1026</f>
        <v>0</v>
      </c>
      <c r="F1026" s="63">
        <v>0</v>
      </c>
      <c r="G1026" s="63">
        <v>0</v>
      </c>
      <c r="H1026" s="63">
        <v>0</v>
      </c>
      <c r="I1026" s="63">
        <v>0</v>
      </c>
      <c r="J1026" s="63">
        <v>0</v>
      </c>
      <c r="K1026" s="76">
        <v>0</v>
      </c>
      <c r="L1026" s="497">
        <f t="shared" si="359"/>
        <v>0</v>
      </c>
      <c r="M1026" s="366"/>
      <c r="N1026" s="88"/>
      <c r="O1026" s="580"/>
      <c r="P1026" s="1016"/>
      <c r="Q1026" s="49"/>
      <c r="R1026" s="49"/>
      <c r="S1026" s="49"/>
      <c r="T1026" s="49"/>
      <c r="U1026" s="49"/>
      <c r="V1026" s="49"/>
      <c r="W1026" s="49"/>
      <c r="X1026" s="49"/>
      <c r="Y1026" s="49"/>
      <c r="Z1026" s="49"/>
      <c r="AA1026" s="49"/>
      <c r="AB1026" s="49"/>
      <c r="AC1026" s="49"/>
      <c r="AD1026" s="49"/>
      <c r="AE1026" s="49"/>
      <c r="AF1026" s="49"/>
      <c r="AG1026" s="49"/>
      <c r="AH1026" s="49"/>
      <c r="AI1026" s="49"/>
      <c r="AJ1026" s="49"/>
      <c r="AK1026" s="49"/>
      <c r="AL1026" s="49"/>
      <c r="AM1026" s="49"/>
      <c r="AN1026" s="49"/>
      <c r="AO1026" s="49"/>
      <c r="AP1026" s="49"/>
      <c r="AQ1026" s="49"/>
      <c r="AR1026" s="49"/>
      <c r="AS1026" s="49"/>
      <c r="AT1026" s="49"/>
      <c r="AU1026" s="49"/>
      <c r="AV1026" s="49"/>
      <c r="AW1026" s="49"/>
      <c r="AX1026" s="49"/>
      <c r="AY1026" s="49"/>
      <c r="AZ1026" s="49"/>
      <c r="BA1026" s="49"/>
      <c r="BB1026" s="49"/>
      <c r="BC1026" s="49"/>
      <c r="BD1026" s="49"/>
      <c r="BE1026" s="49"/>
      <c r="BF1026" s="68"/>
    </row>
    <row r="1027" spans="1:58" s="51" customFormat="1" ht="14.25" customHeight="1">
      <c r="A1027" s="1126"/>
      <c r="B1027" s="868"/>
      <c r="C1027" s="881" t="s">
        <v>1333</v>
      </c>
      <c r="D1027" s="62">
        <v>2020</v>
      </c>
      <c r="E1027" s="63">
        <f t="shared" si="361"/>
        <v>1.0370000000000001E-2</v>
      </c>
      <c r="F1027" s="63">
        <v>1.0370000000000001E-2</v>
      </c>
      <c r="G1027" s="63">
        <v>0</v>
      </c>
      <c r="H1027" s="63">
        <v>0</v>
      </c>
      <c r="I1027" s="63">
        <v>0</v>
      </c>
      <c r="J1027" s="63">
        <v>0</v>
      </c>
      <c r="K1027" s="76">
        <v>0</v>
      </c>
      <c r="L1027" s="497">
        <f t="shared" si="359"/>
        <v>1.0370000000000001E-2</v>
      </c>
      <c r="M1027" s="366"/>
      <c r="N1027" s="88"/>
      <c r="O1027" s="580"/>
      <c r="P1027" s="1016"/>
      <c r="Q1027" s="49"/>
      <c r="R1027" s="49"/>
      <c r="S1027" s="49"/>
      <c r="T1027" s="49"/>
      <c r="U1027" s="49"/>
      <c r="V1027" s="49"/>
      <c r="W1027" s="49"/>
      <c r="X1027" s="49"/>
      <c r="Y1027" s="49"/>
      <c r="Z1027" s="49"/>
      <c r="AA1027" s="49"/>
      <c r="AB1027" s="49"/>
      <c r="AC1027" s="49"/>
      <c r="AD1027" s="49"/>
      <c r="AE1027" s="49"/>
      <c r="AF1027" s="49"/>
      <c r="AG1027" s="49"/>
      <c r="AH1027" s="49"/>
      <c r="AI1027" s="49"/>
      <c r="AJ1027" s="49"/>
      <c r="AK1027" s="49"/>
      <c r="AL1027" s="49"/>
      <c r="AM1027" s="49"/>
      <c r="AN1027" s="49"/>
      <c r="AO1027" s="49"/>
      <c r="AP1027" s="49"/>
      <c r="AQ1027" s="49"/>
      <c r="AR1027" s="49"/>
      <c r="AS1027" s="49"/>
      <c r="AT1027" s="49"/>
      <c r="AU1027" s="49"/>
      <c r="AV1027" s="49"/>
      <c r="AW1027" s="49"/>
      <c r="AX1027" s="49"/>
      <c r="AY1027" s="49"/>
      <c r="AZ1027" s="49"/>
      <c r="BA1027" s="49"/>
      <c r="BB1027" s="49"/>
      <c r="BC1027" s="49"/>
      <c r="BD1027" s="49"/>
      <c r="BE1027" s="49"/>
      <c r="BF1027" s="68"/>
    </row>
    <row r="1028" spans="1:58" s="51" customFormat="1" ht="14.25" customHeight="1">
      <c r="A1028" s="1126"/>
      <c r="B1028" s="868"/>
      <c r="C1028" s="882"/>
      <c r="D1028" s="62">
        <v>2021</v>
      </c>
      <c r="E1028" s="63">
        <f t="shared" si="361"/>
        <v>1.04E-2</v>
      </c>
      <c r="F1028" s="63">
        <v>1.04E-2</v>
      </c>
      <c r="G1028" s="63">
        <v>0</v>
      </c>
      <c r="H1028" s="63">
        <v>0</v>
      </c>
      <c r="I1028" s="63">
        <v>0</v>
      </c>
      <c r="J1028" s="63">
        <v>0</v>
      </c>
      <c r="K1028" s="76">
        <v>0</v>
      </c>
      <c r="L1028" s="497">
        <f t="shared" si="359"/>
        <v>1.04E-2</v>
      </c>
      <c r="M1028" s="366"/>
      <c r="N1028" s="88"/>
      <c r="O1028" s="580"/>
      <c r="P1028" s="1016"/>
      <c r="Q1028" s="49"/>
      <c r="R1028" s="49"/>
      <c r="S1028" s="49"/>
      <c r="T1028" s="49"/>
      <c r="U1028" s="49"/>
      <c r="V1028" s="49"/>
      <c r="W1028" s="49"/>
      <c r="X1028" s="49"/>
      <c r="Y1028" s="49"/>
      <c r="Z1028" s="49"/>
      <c r="AA1028" s="49"/>
      <c r="AB1028" s="49"/>
      <c r="AC1028" s="49"/>
      <c r="AD1028" s="49"/>
      <c r="AE1028" s="49"/>
      <c r="AF1028" s="49"/>
      <c r="AG1028" s="49"/>
      <c r="AH1028" s="49"/>
      <c r="AI1028" s="49"/>
      <c r="AJ1028" s="49"/>
      <c r="AK1028" s="49"/>
      <c r="AL1028" s="49"/>
      <c r="AM1028" s="49"/>
      <c r="AN1028" s="49"/>
      <c r="AO1028" s="49"/>
      <c r="AP1028" s="49"/>
      <c r="AQ1028" s="49"/>
      <c r="AR1028" s="49"/>
      <c r="AS1028" s="49"/>
      <c r="AT1028" s="49"/>
      <c r="AU1028" s="49"/>
      <c r="AV1028" s="49"/>
      <c r="AW1028" s="49"/>
      <c r="AX1028" s="49"/>
      <c r="AY1028" s="49"/>
      <c r="AZ1028" s="49"/>
      <c r="BA1028" s="49"/>
      <c r="BB1028" s="49"/>
      <c r="BC1028" s="49"/>
      <c r="BD1028" s="49"/>
      <c r="BE1028" s="49"/>
      <c r="BF1028" s="68"/>
    </row>
    <row r="1029" spans="1:58" s="51" customFormat="1" ht="14.25" customHeight="1">
      <c r="A1029" s="1126"/>
      <c r="B1029" s="868"/>
      <c r="C1029" s="882"/>
      <c r="D1029" s="62">
        <v>2022</v>
      </c>
      <c r="E1029" s="63">
        <f t="shared" si="361"/>
        <v>1.04E-2</v>
      </c>
      <c r="F1029" s="63">
        <v>1.04E-2</v>
      </c>
      <c r="G1029" s="63">
        <v>0</v>
      </c>
      <c r="H1029" s="63">
        <v>0</v>
      </c>
      <c r="I1029" s="63">
        <v>0</v>
      </c>
      <c r="J1029" s="63">
        <v>0</v>
      </c>
      <c r="K1029" s="76">
        <v>0</v>
      </c>
      <c r="L1029" s="497">
        <f t="shared" si="359"/>
        <v>1.04E-2</v>
      </c>
      <c r="M1029" s="366"/>
      <c r="N1029" s="88"/>
      <c r="O1029" s="580"/>
      <c r="P1029" s="1016"/>
      <c r="Q1029" s="49"/>
      <c r="R1029" s="49"/>
      <c r="S1029" s="49"/>
      <c r="T1029" s="49"/>
      <c r="U1029" s="49"/>
      <c r="V1029" s="49"/>
      <c r="W1029" s="49"/>
      <c r="X1029" s="49"/>
      <c r="Y1029" s="49"/>
      <c r="Z1029" s="49"/>
      <c r="AA1029" s="49"/>
      <c r="AB1029" s="49"/>
      <c r="AC1029" s="49"/>
      <c r="AD1029" s="49"/>
      <c r="AE1029" s="49"/>
      <c r="AF1029" s="49"/>
      <c r="AG1029" s="49"/>
      <c r="AH1029" s="49"/>
      <c r="AI1029" s="49"/>
      <c r="AJ1029" s="49"/>
      <c r="AK1029" s="49"/>
      <c r="AL1029" s="49"/>
      <c r="AM1029" s="49"/>
      <c r="AN1029" s="49"/>
      <c r="AO1029" s="49"/>
      <c r="AP1029" s="49"/>
      <c r="AQ1029" s="49"/>
      <c r="AR1029" s="49"/>
      <c r="AS1029" s="49"/>
      <c r="AT1029" s="49"/>
      <c r="AU1029" s="49"/>
      <c r="AV1029" s="49"/>
      <c r="AW1029" s="49"/>
      <c r="AX1029" s="49"/>
      <c r="AY1029" s="49"/>
      <c r="AZ1029" s="49"/>
      <c r="BA1029" s="49"/>
      <c r="BB1029" s="49"/>
      <c r="BC1029" s="49"/>
      <c r="BD1029" s="49"/>
      <c r="BE1029" s="49"/>
      <c r="BF1029" s="68"/>
    </row>
    <row r="1030" spans="1:58" s="51" customFormat="1" ht="14.25" customHeight="1">
      <c r="A1030" s="1126"/>
      <c r="B1030" s="868"/>
      <c r="C1030" s="882"/>
      <c r="D1030" s="62">
        <v>2023</v>
      </c>
      <c r="E1030" s="63">
        <f t="shared" si="361"/>
        <v>0.01</v>
      </c>
      <c r="F1030" s="63">
        <v>0.01</v>
      </c>
      <c r="G1030" s="63">
        <v>0</v>
      </c>
      <c r="H1030" s="63">
        <v>0</v>
      </c>
      <c r="I1030" s="63">
        <v>0</v>
      </c>
      <c r="J1030" s="63">
        <v>0</v>
      </c>
      <c r="K1030" s="76">
        <v>0</v>
      </c>
      <c r="L1030" s="497">
        <f t="shared" si="359"/>
        <v>0.01</v>
      </c>
      <c r="M1030" s="366"/>
      <c r="N1030" s="88"/>
      <c r="O1030" s="580"/>
      <c r="P1030" s="1016"/>
      <c r="Q1030" s="49"/>
      <c r="R1030" s="49"/>
      <c r="S1030" s="49"/>
      <c r="T1030" s="49"/>
      <c r="U1030" s="49"/>
      <c r="V1030" s="49"/>
      <c r="W1030" s="49"/>
      <c r="X1030" s="49"/>
      <c r="Y1030" s="49"/>
      <c r="Z1030" s="49"/>
      <c r="AA1030" s="49"/>
      <c r="AB1030" s="49"/>
      <c r="AC1030" s="49"/>
      <c r="AD1030" s="49"/>
      <c r="AE1030" s="49"/>
      <c r="AF1030" s="49"/>
      <c r="AG1030" s="49"/>
      <c r="AH1030" s="49"/>
      <c r="AI1030" s="49"/>
      <c r="AJ1030" s="49"/>
      <c r="AK1030" s="49"/>
      <c r="AL1030" s="49"/>
      <c r="AM1030" s="49"/>
      <c r="AN1030" s="49"/>
      <c r="AO1030" s="49"/>
      <c r="AP1030" s="49"/>
      <c r="AQ1030" s="49"/>
      <c r="AR1030" s="49"/>
      <c r="AS1030" s="49"/>
      <c r="AT1030" s="49"/>
      <c r="AU1030" s="49"/>
      <c r="AV1030" s="49"/>
      <c r="AW1030" s="49"/>
      <c r="AX1030" s="49"/>
      <c r="AY1030" s="49"/>
      <c r="AZ1030" s="49"/>
      <c r="BA1030" s="49"/>
      <c r="BB1030" s="49"/>
      <c r="BC1030" s="49"/>
      <c r="BD1030" s="49"/>
      <c r="BE1030" s="49"/>
      <c r="BF1030" s="68"/>
    </row>
    <row r="1031" spans="1:58" s="51" customFormat="1" ht="14.25" customHeight="1">
      <c r="A1031" s="1126"/>
      <c r="B1031" s="868"/>
      <c r="C1031" s="882"/>
      <c r="D1031" s="62">
        <v>2024</v>
      </c>
      <c r="E1031" s="63">
        <f t="shared" si="361"/>
        <v>0.01</v>
      </c>
      <c r="F1031" s="63">
        <v>0.01</v>
      </c>
      <c r="G1031" s="63">
        <v>0</v>
      </c>
      <c r="H1031" s="63">
        <v>0</v>
      </c>
      <c r="I1031" s="63">
        <v>0</v>
      </c>
      <c r="J1031" s="63">
        <v>0</v>
      </c>
      <c r="K1031" s="76">
        <v>0</v>
      </c>
      <c r="L1031" s="497">
        <f t="shared" si="359"/>
        <v>0.01</v>
      </c>
      <c r="M1031" s="366"/>
      <c r="N1031" s="88"/>
      <c r="O1031" s="580"/>
      <c r="P1031" s="1016"/>
      <c r="Q1031" s="49"/>
      <c r="R1031" s="49"/>
      <c r="S1031" s="49"/>
      <c r="T1031" s="49"/>
      <c r="U1031" s="49"/>
      <c r="V1031" s="49"/>
      <c r="W1031" s="49"/>
      <c r="X1031" s="49"/>
      <c r="Y1031" s="49"/>
      <c r="Z1031" s="49"/>
      <c r="AA1031" s="49"/>
      <c r="AB1031" s="49"/>
      <c r="AC1031" s="49"/>
      <c r="AD1031" s="49"/>
      <c r="AE1031" s="49"/>
      <c r="AF1031" s="49"/>
      <c r="AG1031" s="49"/>
      <c r="AH1031" s="49"/>
      <c r="AI1031" s="49"/>
      <c r="AJ1031" s="49"/>
      <c r="AK1031" s="49"/>
      <c r="AL1031" s="49"/>
      <c r="AM1031" s="49"/>
      <c r="AN1031" s="49"/>
      <c r="AO1031" s="49"/>
      <c r="AP1031" s="49"/>
      <c r="AQ1031" s="49"/>
      <c r="AR1031" s="49"/>
      <c r="AS1031" s="49"/>
      <c r="AT1031" s="49"/>
      <c r="AU1031" s="49"/>
      <c r="AV1031" s="49"/>
      <c r="AW1031" s="49"/>
      <c r="AX1031" s="49"/>
      <c r="AY1031" s="49"/>
      <c r="AZ1031" s="49"/>
      <c r="BA1031" s="49"/>
      <c r="BB1031" s="49"/>
      <c r="BC1031" s="49"/>
      <c r="BD1031" s="49"/>
      <c r="BE1031" s="49"/>
      <c r="BF1031" s="68"/>
    </row>
    <row r="1032" spans="1:58" s="51" customFormat="1" ht="14.25" customHeight="1">
      <c r="A1032" s="1126"/>
      <c r="B1032" s="868"/>
      <c r="C1032" s="964"/>
      <c r="D1032" s="62">
        <v>2025</v>
      </c>
      <c r="E1032" s="63">
        <f t="shared" si="361"/>
        <v>0.01</v>
      </c>
      <c r="F1032" s="63">
        <v>0.01</v>
      </c>
      <c r="G1032" s="63">
        <v>0</v>
      </c>
      <c r="H1032" s="63">
        <v>0</v>
      </c>
      <c r="I1032" s="63">
        <v>0</v>
      </c>
      <c r="J1032" s="63">
        <v>0</v>
      </c>
      <c r="K1032" s="76">
        <v>0</v>
      </c>
      <c r="L1032" s="497">
        <f t="shared" si="359"/>
        <v>0.01</v>
      </c>
      <c r="M1032" s="366"/>
      <c r="N1032" s="88"/>
      <c r="O1032" s="580"/>
      <c r="P1032" s="1016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49"/>
      <c r="AU1032" s="49"/>
      <c r="AV1032" s="49"/>
      <c r="AW1032" s="49"/>
      <c r="AX1032" s="49"/>
      <c r="AY1032" s="49"/>
      <c r="AZ1032" s="49"/>
      <c r="BA1032" s="49"/>
      <c r="BB1032" s="49"/>
      <c r="BC1032" s="49"/>
      <c r="BD1032" s="49"/>
      <c r="BE1032" s="49"/>
      <c r="BF1032" s="68"/>
    </row>
    <row r="1033" spans="1:58" s="51" customFormat="1" ht="14.25" customHeight="1">
      <c r="A1033" s="1126"/>
      <c r="B1033" s="868"/>
      <c r="C1033" s="881" t="s">
        <v>967</v>
      </c>
      <c r="D1033" s="62">
        <v>2026</v>
      </c>
      <c r="E1033" s="63">
        <f t="shared" si="361"/>
        <v>1.04E-2</v>
      </c>
      <c r="F1033" s="63">
        <v>1.04E-2</v>
      </c>
      <c r="G1033" s="63">
        <v>0</v>
      </c>
      <c r="H1033" s="63">
        <v>0</v>
      </c>
      <c r="I1033" s="63">
        <v>0</v>
      </c>
      <c r="J1033" s="63">
        <v>0</v>
      </c>
      <c r="K1033" s="76">
        <v>0</v>
      </c>
      <c r="L1033" s="497">
        <f t="shared" si="359"/>
        <v>1.04E-2</v>
      </c>
      <c r="M1033" s="366"/>
      <c r="N1033" s="88"/>
      <c r="O1033" s="580"/>
      <c r="P1033" s="1016"/>
      <c r="Q1033" s="49"/>
      <c r="R1033" s="49"/>
      <c r="S1033" s="49"/>
      <c r="T1033" s="49"/>
      <c r="U1033" s="49"/>
      <c r="V1033" s="49"/>
      <c r="W1033" s="49"/>
      <c r="X1033" s="49"/>
      <c r="Y1033" s="49"/>
      <c r="Z1033" s="49"/>
      <c r="AA1033" s="49"/>
      <c r="AB1033" s="49"/>
      <c r="AC1033" s="49"/>
      <c r="AD1033" s="49"/>
      <c r="AE1033" s="49"/>
      <c r="AF1033" s="49"/>
      <c r="AG1033" s="49"/>
      <c r="AH1033" s="49"/>
      <c r="AI1033" s="49"/>
      <c r="AJ1033" s="49"/>
      <c r="AK1033" s="49"/>
      <c r="AL1033" s="49"/>
      <c r="AM1033" s="49"/>
      <c r="AN1033" s="49"/>
      <c r="AO1033" s="49"/>
      <c r="AP1033" s="49"/>
      <c r="AQ1033" s="49"/>
      <c r="AR1033" s="49"/>
      <c r="AS1033" s="49"/>
      <c r="AT1033" s="49"/>
      <c r="AU1033" s="49"/>
      <c r="AV1033" s="49"/>
      <c r="AW1033" s="49"/>
      <c r="AX1033" s="49"/>
      <c r="AY1033" s="49"/>
      <c r="AZ1033" s="49"/>
      <c r="BA1033" s="49"/>
      <c r="BB1033" s="49"/>
      <c r="BC1033" s="49"/>
      <c r="BD1033" s="49"/>
      <c r="BE1033" s="49"/>
      <c r="BF1033" s="68"/>
    </row>
    <row r="1034" spans="1:58" s="51" customFormat="1" ht="14.25" customHeight="1">
      <c r="A1034" s="1126"/>
      <c r="B1034" s="868"/>
      <c r="C1034" s="1125"/>
      <c r="D1034" s="62">
        <v>2027</v>
      </c>
      <c r="E1034" s="63">
        <f t="shared" si="361"/>
        <v>1.0800000000000001E-2</v>
      </c>
      <c r="F1034" s="63">
        <v>1.0800000000000001E-2</v>
      </c>
      <c r="G1034" s="63">
        <v>0</v>
      </c>
      <c r="H1034" s="63">
        <v>0</v>
      </c>
      <c r="I1034" s="63">
        <v>0</v>
      </c>
      <c r="J1034" s="63">
        <v>0</v>
      </c>
      <c r="K1034" s="76">
        <v>0</v>
      </c>
      <c r="L1034" s="497">
        <f t="shared" si="359"/>
        <v>1.0800000000000001E-2</v>
      </c>
      <c r="M1034" s="366"/>
      <c r="N1034" s="88"/>
      <c r="O1034" s="580"/>
      <c r="P1034" s="1016"/>
      <c r="Q1034" s="49"/>
      <c r="R1034" s="49"/>
      <c r="S1034" s="49"/>
      <c r="T1034" s="49"/>
      <c r="U1034" s="49"/>
      <c r="V1034" s="49"/>
      <c r="W1034" s="49"/>
      <c r="X1034" s="49"/>
      <c r="Y1034" s="49"/>
      <c r="Z1034" s="49"/>
      <c r="AA1034" s="49"/>
      <c r="AB1034" s="49"/>
      <c r="AC1034" s="49"/>
      <c r="AD1034" s="49"/>
      <c r="AE1034" s="49"/>
      <c r="AF1034" s="49"/>
      <c r="AG1034" s="49"/>
      <c r="AH1034" s="49"/>
      <c r="AI1034" s="49"/>
      <c r="AJ1034" s="49"/>
      <c r="AK1034" s="49"/>
      <c r="AL1034" s="49"/>
      <c r="AM1034" s="49"/>
      <c r="AN1034" s="49"/>
      <c r="AO1034" s="49"/>
      <c r="AP1034" s="49"/>
      <c r="AQ1034" s="49"/>
      <c r="AR1034" s="49"/>
      <c r="AS1034" s="49"/>
      <c r="AT1034" s="49"/>
      <c r="AU1034" s="49"/>
      <c r="AV1034" s="49"/>
      <c r="AW1034" s="49"/>
      <c r="AX1034" s="49"/>
      <c r="AY1034" s="49"/>
      <c r="AZ1034" s="49"/>
      <c r="BA1034" s="49"/>
      <c r="BB1034" s="49"/>
      <c r="BC1034" s="49"/>
      <c r="BD1034" s="49"/>
      <c r="BE1034" s="49"/>
      <c r="BF1034" s="68"/>
    </row>
    <row r="1035" spans="1:58" s="51" customFormat="1" ht="14.25" customHeight="1">
      <c r="A1035" s="1126"/>
      <c r="B1035" s="868"/>
      <c r="C1035" s="1125"/>
      <c r="D1035" s="62">
        <v>2028</v>
      </c>
      <c r="E1035" s="63">
        <f t="shared" si="361"/>
        <v>1.12E-2</v>
      </c>
      <c r="F1035" s="63">
        <v>1.12E-2</v>
      </c>
      <c r="G1035" s="63">
        <v>0</v>
      </c>
      <c r="H1035" s="63">
        <v>0</v>
      </c>
      <c r="I1035" s="63">
        <v>0</v>
      </c>
      <c r="J1035" s="63">
        <v>0</v>
      </c>
      <c r="K1035" s="76">
        <v>0</v>
      </c>
      <c r="L1035" s="497">
        <f t="shared" si="359"/>
        <v>1.12E-2</v>
      </c>
      <c r="M1035" s="366"/>
      <c r="N1035" s="88"/>
      <c r="O1035" s="580"/>
      <c r="P1035" s="1016"/>
      <c r="Q1035" s="49"/>
      <c r="R1035" s="49"/>
      <c r="S1035" s="49"/>
      <c r="T1035" s="49"/>
      <c r="U1035" s="49"/>
      <c r="V1035" s="49"/>
      <c r="W1035" s="49"/>
      <c r="X1035" s="49"/>
      <c r="Y1035" s="49"/>
      <c r="Z1035" s="49"/>
      <c r="AA1035" s="49"/>
      <c r="AB1035" s="49"/>
      <c r="AC1035" s="49"/>
      <c r="AD1035" s="49"/>
      <c r="AE1035" s="49"/>
      <c r="AF1035" s="49"/>
      <c r="AG1035" s="49"/>
      <c r="AH1035" s="49"/>
      <c r="AI1035" s="49"/>
      <c r="AJ1035" s="49"/>
      <c r="AK1035" s="49"/>
      <c r="AL1035" s="49"/>
      <c r="AM1035" s="49"/>
      <c r="AN1035" s="49"/>
      <c r="AO1035" s="49"/>
      <c r="AP1035" s="49"/>
      <c r="AQ1035" s="49"/>
      <c r="AR1035" s="49"/>
      <c r="AS1035" s="49"/>
      <c r="AT1035" s="49"/>
      <c r="AU1035" s="49"/>
      <c r="AV1035" s="49"/>
      <c r="AW1035" s="49"/>
      <c r="AX1035" s="49"/>
      <c r="AY1035" s="49"/>
      <c r="AZ1035" s="49"/>
      <c r="BA1035" s="49"/>
      <c r="BB1035" s="49"/>
      <c r="BC1035" s="49"/>
      <c r="BD1035" s="49"/>
      <c r="BE1035" s="49"/>
      <c r="BF1035" s="68"/>
    </row>
    <row r="1036" spans="1:58" s="51" customFormat="1" ht="14.25" customHeight="1">
      <c r="A1036" s="1126"/>
      <c r="B1036" s="868"/>
      <c r="C1036" s="1125"/>
      <c r="D1036" s="62">
        <v>2029</v>
      </c>
      <c r="E1036" s="63">
        <f t="shared" si="361"/>
        <v>1.17E-2</v>
      </c>
      <c r="F1036" s="63">
        <v>1.17E-2</v>
      </c>
      <c r="G1036" s="63">
        <v>0</v>
      </c>
      <c r="H1036" s="63">
        <v>0</v>
      </c>
      <c r="I1036" s="63">
        <v>0</v>
      </c>
      <c r="J1036" s="63">
        <v>0</v>
      </c>
      <c r="K1036" s="76">
        <v>0</v>
      </c>
      <c r="L1036" s="497">
        <f t="shared" si="359"/>
        <v>1.17E-2</v>
      </c>
      <c r="M1036" s="366"/>
      <c r="N1036" s="88"/>
      <c r="O1036" s="580"/>
      <c r="P1036" s="1016"/>
      <c r="Q1036" s="49"/>
      <c r="R1036" s="49"/>
      <c r="S1036" s="49"/>
      <c r="T1036" s="49"/>
      <c r="U1036" s="49"/>
      <c r="V1036" s="49"/>
      <c r="W1036" s="49"/>
      <c r="X1036" s="49"/>
      <c r="Y1036" s="49"/>
      <c r="Z1036" s="49"/>
      <c r="AA1036" s="49"/>
      <c r="AB1036" s="49"/>
      <c r="AC1036" s="49"/>
      <c r="AD1036" s="49"/>
      <c r="AE1036" s="49"/>
      <c r="AF1036" s="49"/>
      <c r="AG1036" s="49"/>
      <c r="AH1036" s="49"/>
      <c r="AI1036" s="49"/>
      <c r="AJ1036" s="49"/>
      <c r="AK1036" s="49"/>
      <c r="AL1036" s="49"/>
      <c r="AM1036" s="49"/>
      <c r="AN1036" s="49"/>
      <c r="AO1036" s="49"/>
      <c r="AP1036" s="49"/>
      <c r="AQ1036" s="49"/>
      <c r="AR1036" s="49"/>
      <c r="AS1036" s="49"/>
      <c r="AT1036" s="49"/>
      <c r="AU1036" s="49"/>
      <c r="AV1036" s="49"/>
      <c r="AW1036" s="49"/>
      <c r="AX1036" s="49"/>
      <c r="AY1036" s="49"/>
      <c r="AZ1036" s="49"/>
      <c r="BA1036" s="49"/>
      <c r="BB1036" s="49"/>
      <c r="BC1036" s="49"/>
      <c r="BD1036" s="49"/>
      <c r="BE1036" s="49"/>
      <c r="BF1036" s="68"/>
    </row>
    <row r="1037" spans="1:58" s="51" customFormat="1" ht="14.25" customHeight="1">
      <c r="A1037" s="1127"/>
      <c r="B1037" s="869"/>
      <c r="C1037" s="1103"/>
      <c r="D1037" s="62">
        <v>2030</v>
      </c>
      <c r="E1037" s="63">
        <f t="shared" si="361"/>
        <v>1.2200000000000001E-2</v>
      </c>
      <c r="F1037" s="63">
        <v>1.2200000000000001E-2</v>
      </c>
      <c r="G1037" s="63">
        <v>0</v>
      </c>
      <c r="H1037" s="63">
        <v>0</v>
      </c>
      <c r="I1037" s="63">
        <v>0</v>
      </c>
      <c r="J1037" s="63">
        <v>0</v>
      </c>
      <c r="K1037" s="76">
        <v>0</v>
      </c>
      <c r="L1037" s="497">
        <f t="shared" si="359"/>
        <v>1.2200000000000001E-2</v>
      </c>
      <c r="M1037" s="366"/>
      <c r="N1037" s="88"/>
      <c r="O1037" s="580"/>
      <c r="P1037" s="843"/>
      <c r="Q1037" s="49"/>
      <c r="R1037" s="49"/>
      <c r="S1037" s="49"/>
      <c r="T1037" s="49"/>
      <c r="U1037" s="49"/>
      <c r="V1037" s="49"/>
      <c r="W1037" s="49"/>
      <c r="X1037" s="49"/>
      <c r="Y1037" s="49"/>
      <c r="Z1037" s="49"/>
      <c r="AA1037" s="49"/>
      <c r="AB1037" s="49"/>
      <c r="AC1037" s="49"/>
      <c r="AD1037" s="49"/>
      <c r="AE1037" s="49"/>
      <c r="AF1037" s="49"/>
      <c r="AG1037" s="49"/>
      <c r="AH1037" s="49"/>
      <c r="AI1037" s="49"/>
      <c r="AJ1037" s="49"/>
      <c r="AK1037" s="49"/>
      <c r="AL1037" s="49"/>
      <c r="AM1037" s="49"/>
      <c r="AN1037" s="49"/>
      <c r="AO1037" s="49"/>
      <c r="AP1037" s="49"/>
      <c r="AQ1037" s="49"/>
      <c r="AR1037" s="49"/>
      <c r="AS1037" s="49"/>
      <c r="AT1037" s="49"/>
      <c r="AU1037" s="49"/>
      <c r="AV1037" s="49"/>
      <c r="AW1037" s="49"/>
      <c r="AX1037" s="49"/>
      <c r="AY1037" s="49"/>
      <c r="AZ1037" s="49"/>
      <c r="BA1037" s="49"/>
      <c r="BB1037" s="49"/>
      <c r="BC1037" s="49"/>
      <c r="BD1037" s="49"/>
      <c r="BE1037" s="49"/>
      <c r="BF1037" s="68"/>
    </row>
    <row r="1038" spans="1:58" s="51" customFormat="1" ht="14.25" customHeight="1">
      <c r="A1038" s="794" t="s">
        <v>1339</v>
      </c>
      <c r="B1038" s="929" t="s">
        <v>969</v>
      </c>
      <c r="C1038" s="464"/>
      <c r="D1038" s="84" t="s">
        <v>16</v>
      </c>
      <c r="E1038" s="85">
        <f t="shared" ref="E1038:J1050" si="362">E1051</f>
        <v>0.92052</v>
      </c>
      <c r="F1038" s="85">
        <f t="shared" si="362"/>
        <v>0.92052</v>
      </c>
      <c r="G1038" s="85">
        <f t="shared" si="362"/>
        <v>0</v>
      </c>
      <c r="H1038" s="85">
        <f t="shared" si="362"/>
        <v>0</v>
      </c>
      <c r="I1038" s="85">
        <f t="shared" si="362"/>
        <v>0</v>
      </c>
      <c r="J1038" s="85">
        <f t="shared" si="362"/>
        <v>0</v>
      </c>
      <c r="K1038" s="76">
        <v>0</v>
      </c>
      <c r="L1038" s="497">
        <f t="shared" si="359"/>
        <v>0.92052</v>
      </c>
      <c r="M1038" s="366"/>
      <c r="N1038" s="88"/>
      <c r="O1038" s="580"/>
      <c r="P1038" s="556"/>
      <c r="Q1038" s="49"/>
      <c r="R1038" s="49"/>
      <c r="S1038" s="49"/>
      <c r="T1038" s="49"/>
      <c r="U1038" s="49"/>
      <c r="V1038" s="49"/>
      <c r="W1038" s="49"/>
      <c r="X1038" s="49"/>
      <c r="Y1038" s="49"/>
      <c r="Z1038" s="49"/>
      <c r="AA1038" s="49"/>
      <c r="AB1038" s="49"/>
      <c r="AC1038" s="49"/>
      <c r="AD1038" s="49"/>
      <c r="AE1038" s="49"/>
      <c r="AF1038" s="49"/>
      <c r="AG1038" s="49"/>
      <c r="AH1038" s="49"/>
      <c r="AI1038" s="49"/>
      <c r="AJ1038" s="49"/>
      <c r="AK1038" s="49"/>
      <c r="AL1038" s="49"/>
      <c r="AM1038" s="49"/>
      <c r="AN1038" s="49"/>
      <c r="AO1038" s="49"/>
      <c r="AP1038" s="49"/>
      <c r="AQ1038" s="49"/>
      <c r="AR1038" s="49"/>
      <c r="AS1038" s="49"/>
      <c r="AT1038" s="49"/>
      <c r="AU1038" s="49"/>
      <c r="AV1038" s="49"/>
      <c r="AW1038" s="49"/>
      <c r="AX1038" s="49"/>
      <c r="AY1038" s="49"/>
      <c r="AZ1038" s="49"/>
      <c r="BA1038" s="49"/>
      <c r="BB1038" s="49"/>
      <c r="BC1038" s="49"/>
      <c r="BD1038" s="49"/>
      <c r="BE1038" s="49"/>
      <c r="BF1038" s="68"/>
    </row>
    <row r="1039" spans="1:58" s="51" customFormat="1" ht="14.25" customHeight="1">
      <c r="A1039" s="1126"/>
      <c r="B1039" s="868"/>
      <c r="C1039" s="479"/>
      <c r="D1039" s="62">
        <v>2019</v>
      </c>
      <c r="E1039" s="63">
        <f t="shared" si="362"/>
        <v>5.4999999999999997E-3</v>
      </c>
      <c r="F1039" s="63">
        <f t="shared" si="362"/>
        <v>5.4999999999999997E-3</v>
      </c>
      <c r="G1039" s="63">
        <f t="shared" si="362"/>
        <v>0</v>
      </c>
      <c r="H1039" s="63">
        <f t="shared" si="362"/>
        <v>0</v>
      </c>
      <c r="I1039" s="63">
        <f t="shared" si="362"/>
        <v>0</v>
      </c>
      <c r="J1039" s="63">
        <f t="shared" si="362"/>
        <v>0</v>
      </c>
      <c r="K1039" s="76">
        <v>0</v>
      </c>
      <c r="L1039" s="497">
        <f t="shared" si="359"/>
        <v>5.4999999999999997E-3</v>
      </c>
      <c r="M1039" s="366"/>
      <c r="N1039" s="88"/>
      <c r="O1039" s="580"/>
      <c r="P1039" s="556"/>
      <c r="Q1039" s="49"/>
      <c r="R1039" s="49"/>
      <c r="S1039" s="49"/>
      <c r="T1039" s="49"/>
      <c r="U1039" s="49"/>
      <c r="V1039" s="49"/>
      <c r="W1039" s="49"/>
      <c r="X1039" s="49"/>
      <c r="Y1039" s="49"/>
      <c r="Z1039" s="49"/>
      <c r="AA1039" s="49"/>
      <c r="AB1039" s="49"/>
      <c r="AC1039" s="49"/>
      <c r="AD1039" s="49"/>
      <c r="AE1039" s="49"/>
      <c r="AF1039" s="49"/>
      <c r="AG1039" s="49"/>
      <c r="AH1039" s="49"/>
      <c r="AI1039" s="49"/>
      <c r="AJ1039" s="49"/>
      <c r="AK1039" s="49"/>
      <c r="AL1039" s="49"/>
      <c r="AM1039" s="49"/>
      <c r="AN1039" s="49"/>
      <c r="AO1039" s="49"/>
      <c r="AP1039" s="49"/>
      <c r="AQ1039" s="49"/>
      <c r="AR1039" s="49"/>
      <c r="AS1039" s="49"/>
      <c r="AT1039" s="49"/>
      <c r="AU1039" s="49"/>
      <c r="AV1039" s="49"/>
      <c r="AW1039" s="49"/>
      <c r="AX1039" s="49"/>
      <c r="AY1039" s="49"/>
      <c r="AZ1039" s="49"/>
      <c r="BA1039" s="49"/>
      <c r="BB1039" s="49"/>
      <c r="BC1039" s="49"/>
      <c r="BD1039" s="49"/>
      <c r="BE1039" s="49"/>
      <c r="BF1039" s="68"/>
    </row>
    <row r="1040" spans="1:58" s="51" customFormat="1" ht="14.25" customHeight="1">
      <c r="A1040" s="1126"/>
      <c r="B1040" s="868"/>
      <c r="C1040" s="1019" t="s">
        <v>956</v>
      </c>
      <c r="D1040" s="62">
        <v>2020</v>
      </c>
      <c r="E1040" s="63">
        <f t="shared" si="362"/>
        <v>7.3419999999999999E-2</v>
      </c>
      <c r="F1040" s="63">
        <f t="shared" si="362"/>
        <v>7.3419999999999999E-2</v>
      </c>
      <c r="G1040" s="63">
        <f t="shared" si="362"/>
        <v>0</v>
      </c>
      <c r="H1040" s="63">
        <f t="shared" si="362"/>
        <v>0</v>
      </c>
      <c r="I1040" s="63">
        <f t="shared" si="362"/>
        <v>0</v>
      </c>
      <c r="J1040" s="63">
        <f t="shared" si="362"/>
        <v>0</v>
      </c>
      <c r="K1040" s="76">
        <v>0</v>
      </c>
      <c r="L1040" s="497">
        <f t="shared" si="359"/>
        <v>7.3419999999999999E-2</v>
      </c>
      <c r="M1040" s="366"/>
      <c r="N1040" s="88"/>
      <c r="O1040" s="580"/>
      <c r="P1040" s="556"/>
      <c r="Q1040" s="49"/>
      <c r="R1040" s="49"/>
      <c r="S1040" s="49"/>
      <c r="T1040" s="49"/>
      <c r="U1040" s="49"/>
      <c r="V1040" s="49"/>
      <c r="W1040" s="49"/>
      <c r="X1040" s="49"/>
      <c r="Y1040" s="49"/>
      <c r="Z1040" s="49"/>
      <c r="AA1040" s="49"/>
      <c r="AB1040" s="49"/>
      <c r="AC1040" s="49"/>
      <c r="AD1040" s="49"/>
      <c r="AE1040" s="49"/>
      <c r="AF1040" s="49"/>
      <c r="AG1040" s="49"/>
      <c r="AH1040" s="49"/>
      <c r="AI1040" s="49"/>
      <c r="AJ1040" s="49"/>
      <c r="AK1040" s="49"/>
      <c r="AL1040" s="49"/>
      <c r="AM1040" s="49"/>
      <c r="AN1040" s="49"/>
      <c r="AO1040" s="49"/>
      <c r="AP1040" s="49"/>
      <c r="AQ1040" s="49"/>
      <c r="AR1040" s="49"/>
      <c r="AS1040" s="49"/>
      <c r="AT1040" s="49"/>
      <c r="AU1040" s="49"/>
      <c r="AV1040" s="49"/>
      <c r="AW1040" s="49"/>
      <c r="AX1040" s="49"/>
      <c r="AY1040" s="49"/>
      <c r="AZ1040" s="49"/>
      <c r="BA1040" s="49"/>
      <c r="BB1040" s="49"/>
      <c r="BC1040" s="49"/>
      <c r="BD1040" s="49"/>
      <c r="BE1040" s="49"/>
      <c r="BF1040" s="68"/>
    </row>
    <row r="1041" spans="1:58" s="51" customFormat="1" ht="14.25" customHeight="1">
      <c r="A1041" s="1126"/>
      <c r="B1041" s="868"/>
      <c r="C1041" s="1019"/>
      <c r="D1041" s="62">
        <v>2021</v>
      </c>
      <c r="E1041" s="63">
        <f t="shared" si="362"/>
        <v>7.7000000000000002E-3</v>
      </c>
      <c r="F1041" s="63">
        <f t="shared" si="362"/>
        <v>7.7000000000000002E-3</v>
      </c>
      <c r="G1041" s="63">
        <f t="shared" si="362"/>
        <v>0</v>
      </c>
      <c r="H1041" s="63">
        <f t="shared" si="362"/>
        <v>0</v>
      </c>
      <c r="I1041" s="63">
        <f t="shared" si="362"/>
        <v>0</v>
      </c>
      <c r="J1041" s="63">
        <f t="shared" si="362"/>
        <v>0</v>
      </c>
      <c r="K1041" s="76">
        <v>0</v>
      </c>
      <c r="L1041" s="497">
        <f t="shared" si="359"/>
        <v>7.7000000000000002E-3</v>
      </c>
      <c r="M1041" s="366"/>
      <c r="N1041" s="88"/>
      <c r="O1041" s="580"/>
      <c r="P1041" s="556"/>
      <c r="Q1041" s="49"/>
      <c r="R1041" s="49"/>
      <c r="S1041" s="49"/>
      <c r="T1041" s="49"/>
      <c r="U1041" s="49"/>
      <c r="V1041" s="49"/>
      <c r="W1041" s="49"/>
      <c r="X1041" s="49"/>
      <c r="Y1041" s="49"/>
      <c r="Z1041" s="49"/>
      <c r="AA1041" s="49"/>
      <c r="AB1041" s="49"/>
      <c r="AC1041" s="49"/>
      <c r="AD1041" s="49"/>
      <c r="AE1041" s="49"/>
      <c r="AF1041" s="49"/>
      <c r="AG1041" s="49"/>
      <c r="AH1041" s="49"/>
      <c r="AI1041" s="49"/>
      <c r="AJ1041" s="49"/>
      <c r="AK1041" s="49"/>
      <c r="AL1041" s="49"/>
      <c r="AM1041" s="49"/>
      <c r="AN1041" s="49"/>
      <c r="AO1041" s="49"/>
      <c r="AP1041" s="49"/>
      <c r="AQ1041" s="49"/>
      <c r="AR1041" s="49"/>
      <c r="AS1041" s="49"/>
      <c r="AT1041" s="49"/>
      <c r="AU1041" s="49"/>
      <c r="AV1041" s="49"/>
      <c r="AW1041" s="49"/>
      <c r="AX1041" s="49"/>
      <c r="AY1041" s="49"/>
      <c r="AZ1041" s="49"/>
      <c r="BA1041" s="49"/>
      <c r="BB1041" s="49"/>
      <c r="BC1041" s="49"/>
      <c r="BD1041" s="49"/>
      <c r="BE1041" s="49"/>
      <c r="BF1041" s="68"/>
    </row>
    <row r="1042" spans="1:58" s="51" customFormat="1" ht="14.25" customHeight="1">
      <c r="A1042" s="1126"/>
      <c r="B1042" s="868"/>
      <c r="C1042" s="1019"/>
      <c r="D1042" s="62">
        <v>2022</v>
      </c>
      <c r="E1042" s="63">
        <f t="shared" si="362"/>
        <v>7.9000000000000008E-3</v>
      </c>
      <c r="F1042" s="63">
        <f t="shared" si="362"/>
        <v>7.9000000000000008E-3</v>
      </c>
      <c r="G1042" s="63">
        <f t="shared" si="362"/>
        <v>0</v>
      </c>
      <c r="H1042" s="63">
        <f t="shared" si="362"/>
        <v>0</v>
      </c>
      <c r="I1042" s="63">
        <f t="shared" si="362"/>
        <v>0</v>
      </c>
      <c r="J1042" s="63">
        <f t="shared" si="362"/>
        <v>0</v>
      </c>
      <c r="K1042" s="76">
        <v>0</v>
      </c>
      <c r="L1042" s="497">
        <f t="shared" si="359"/>
        <v>7.9000000000000008E-3</v>
      </c>
      <c r="M1042" s="366"/>
      <c r="N1042" s="88"/>
      <c r="O1042" s="580"/>
      <c r="P1042" s="556"/>
      <c r="Q1042" s="49"/>
      <c r="R1042" s="49"/>
      <c r="S1042" s="49"/>
      <c r="T1042" s="49"/>
      <c r="U1042" s="49"/>
      <c r="V1042" s="49"/>
      <c r="W1042" s="49"/>
      <c r="X1042" s="49"/>
      <c r="Y1042" s="49"/>
      <c r="Z1042" s="49"/>
      <c r="AA1042" s="49"/>
      <c r="AB1042" s="49"/>
      <c r="AC1042" s="49"/>
      <c r="AD1042" s="49"/>
      <c r="AE1042" s="49"/>
      <c r="AF1042" s="49"/>
      <c r="AG1042" s="49"/>
      <c r="AH1042" s="49"/>
      <c r="AI1042" s="49"/>
      <c r="AJ1042" s="49"/>
      <c r="AK1042" s="49"/>
      <c r="AL1042" s="49"/>
      <c r="AM1042" s="49"/>
      <c r="AN1042" s="49"/>
      <c r="AO1042" s="49"/>
      <c r="AP1042" s="49"/>
      <c r="AQ1042" s="49"/>
      <c r="AR1042" s="49"/>
      <c r="AS1042" s="49"/>
      <c r="AT1042" s="49"/>
      <c r="AU1042" s="49"/>
      <c r="AV1042" s="49"/>
      <c r="AW1042" s="49"/>
      <c r="AX1042" s="49"/>
      <c r="AY1042" s="49"/>
      <c r="AZ1042" s="49"/>
      <c r="BA1042" s="49"/>
      <c r="BB1042" s="49"/>
      <c r="BC1042" s="49"/>
      <c r="BD1042" s="49"/>
      <c r="BE1042" s="49"/>
      <c r="BF1042" s="68"/>
    </row>
    <row r="1043" spans="1:58" s="51" customFormat="1" ht="14.25" customHeight="1">
      <c r="A1043" s="1126"/>
      <c r="B1043" s="868"/>
      <c r="C1043" s="1019"/>
      <c r="D1043" s="62">
        <v>2023</v>
      </c>
      <c r="E1043" s="63">
        <f t="shared" si="362"/>
        <v>8.0000000000000002E-3</v>
      </c>
      <c r="F1043" s="63">
        <f t="shared" si="362"/>
        <v>8.0000000000000002E-3</v>
      </c>
      <c r="G1043" s="63">
        <f t="shared" si="362"/>
        <v>0</v>
      </c>
      <c r="H1043" s="63">
        <f t="shared" si="362"/>
        <v>0</v>
      </c>
      <c r="I1043" s="63">
        <f t="shared" si="362"/>
        <v>0</v>
      </c>
      <c r="J1043" s="63">
        <f t="shared" si="362"/>
        <v>0</v>
      </c>
      <c r="K1043" s="76">
        <v>0</v>
      </c>
      <c r="L1043" s="497">
        <f t="shared" si="359"/>
        <v>8.0000000000000002E-3</v>
      </c>
      <c r="M1043" s="366"/>
      <c r="N1043" s="88"/>
      <c r="O1043" s="580"/>
      <c r="P1043" s="556"/>
      <c r="Q1043" s="49"/>
      <c r="R1043" s="49"/>
      <c r="S1043" s="49"/>
      <c r="T1043" s="49"/>
      <c r="U1043" s="49"/>
      <c r="V1043" s="49"/>
      <c r="W1043" s="49"/>
      <c r="X1043" s="49"/>
      <c r="Y1043" s="49"/>
      <c r="Z1043" s="49"/>
      <c r="AA1043" s="49"/>
      <c r="AB1043" s="49"/>
      <c r="AC1043" s="49"/>
      <c r="AD1043" s="49"/>
      <c r="AE1043" s="49"/>
      <c r="AF1043" s="49"/>
      <c r="AG1043" s="49"/>
      <c r="AH1043" s="49"/>
      <c r="AI1043" s="49"/>
      <c r="AJ1043" s="49"/>
      <c r="AK1043" s="49"/>
      <c r="AL1043" s="49"/>
      <c r="AM1043" s="49"/>
      <c r="AN1043" s="49"/>
      <c r="AO1043" s="49"/>
      <c r="AP1043" s="49"/>
      <c r="AQ1043" s="49"/>
      <c r="AR1043" s="49"/>
      <c r="AS1043" s="49"/>
      <c r="AT1043" s="49"/>
      <c r="AU1043" s="49"/>
      <c r="AV1043" s="49"/>
      <c r="AW1043" s="49"/>
      <c r="AX1043" s="49"/>
      <c r="AY1043" s="49"/>
      <c r="AZ1043" s="49"/>
      <c r="BA1043" s="49"/>
      <c r="BB1043" s="49"/>
      <c r="BC1043" s="49"/>
      <c r="BD1043" s="49"/>
      <c r="BE1043" s="49"/>
      <c r="BF1043" s="68"/>
    </row>
    <row r="1044" spans="1:58" s="51" customFormat="1" ht="14.25" customHeight="1">
      <c r="A1044" s="1126"/>
      <c r="B1044" s="868"/>
      <c r="C1044" s="1019"/>
      <c r="D1044" s="62">
        <v>2024</v>
      </c>
      <c r="E1044" s="63">
        <f t="shared" si="362"/>
        <v>0.1036</v>
      </c>
      <c r="F1044" s="63">
        <f t="shared" si="362"/>
        <v>0.1036</v>
      </c>
      <c r="G1044" s="63">
        <f t="shared" si="362"/>
        <v>0</v>
      </c>
      <c r="H1044" s="63">
        <f t="shared" si="362"/>
        <v>0</v>
      </c>
      <c r="I1044" s="63">
        <f t="shared" si="362"/>
        <v>0</v>
      </c>
      <c r="J1044" s="63">
        <f t="shared" si="362"/>
        <v>0</v>
      </c>
      <c r="K1044" s="76">
        <v>0</v>
      </c>
      <c r="L1044" s="497">
        <f t="shared" si="359"/>
        <v>0.1036</v>
      </c>
      <c r="M1044" s="366"/>
      <c r="N1044" s="88"/>
      <c r="O1044" s="580"/>
      <c r="P1044" s="556"/>
      <c r="Q1044" s="49"/>
      <c r="R1044" s="49"/>
      <c r="S1044" s="49"/>
      <c r="T1044" s="49"/>
      <c r="U1044" s="49"/>
      <c r="V1044" s="49"/>
      <c r="W1044" s="49"/>
      <c r="X1044" s="49"/>
      <c r="Y1044" s="49"/>
      <c r="Z1044" s="49"/>
      <c r="AA1044" s="49"/>
      <c r="AB1044" s="49"/>
      <c r="AC1044" s="49"/>
      <c r="AD1044" s="49"/>
      <c r="AE1044" s="49"/>
      <c r="AF1044" s="49"/>
      <c r="AG1044" s="49"/>
      <c r="AH1044" s="49"/>
      <c r="AI1044" s="49"/>
      <c r="AJ1044" s="49"/>
      <c r="AK1044" s="49"/>
      <c r="AL1044" s="49"/>
      <c r="AM1044" s="49"/>
      <c r="AN1044" s="49"/>
      <c r="AO1044" s="49"/>
      <c r="AP1044" s="49"/>
      <c r="AQ1044" s="49"/>
      <c r="AR1044" s="49"/>
      <c r="AS1044" s="49"/>
      <c r="AT1044" s="49"/>
      <c r="AU1044" s="49"/>
      <c r="AV1044" s="49"/>
      <c r="AW1044" s="49"/>
      <c r="AX1044" s="49"/>
      <c r="AY1044" s="49"/>
      <c r="AZ1044" s="49"/>
      <c r="BA1044" s="49"/>
      <c r="BB1044" s="49"/>
      <c r="BC1044" s="49"/>
      <c r="BD1044" s="49"/>
      <c r="BE1044" s="49"/>
      <c r="BF1044" s="68"/>
    </row>
    <row r="1045" spans="1:58" s="51" customFormat="1" ht="14.25" customHeight="1">
      <c r="A1045" s="1126"/>
      <c r="B1045" s="868"/>
      <c r="C1045" s="1019"/>
      <c r="D1045" s="62">
        <v>2025</v>
      </c>
      <c r="E1045" s="63">
        <f t="shared" si="362"/>
        <v>0.1077</v>
      </c>
      <c r="F1045" s="63">
        <f t="shared" si="362"/>
        <v>0.1077</v>
      </c>
      <c r="G1045" s="63">
        <f t="shared" si="362"/>
        <v>0</v>
      </c>
      <c r="H1045" s="63">
        <f t="shared" si="362"/>
        <v>0</v>
      </c>
      <c r="I1045" s="63">
        <f t="shared" si="362"/>
        <v>0</v>
      </c>
      <c r="J1045" s="63">
        <f t="shared" si="362"/>
        <v>0</v>
      </c>
      <c r="K1045" s="76">
        <v>0</v>
      </c>
      <c r="L1045" s="497">
        <f t="shared" si="359"/>
        <v>0.1077</v>
      </c>
      <c r="M1045" s="366"/>
      <c r="N1045" s="88"/>
      <c r="O1045" s="580"/>
      <c r="P1045" s="556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49"/>
      <c r="AU1045" s="49"/>
      <c r="AV1045" s="49"/>
      <c r="AW1045" s="49"/>
      <c r="AX1045" s="49"/>
      <c r="AY1045" s="49"/>
      <c r="AZ1045" s="49"/>
      <c r="BA1045" s="49"/>
      <c r="BB1045" s="49"/>
      <c r="BC1045" s="49"/>
      <c r="BD1045" s="49"/>
      <c r="BE1045" s="49"/>
      <c r="BF1045" s="68"/>
    </row>
    <row r="1046" spans="1:58" s="51" customFormat="1" ht="14.25" customHeight="1">
      <c r="A1046" s="1126"/>
      <c r="B1046" s="868"/>
      <c r="C1046" s="479"/>
      <c r="D1046" s="62">
        <v>2026</v>
      </c>
      <c r="E1046" s="63">
        <f t="shared" si="362"/>
        <v>0.112</v>
      </c>
      <c r="F1046" s="63">
        <f t="shared" si="362"/>
        <v>0.112</v>
      </c>
      <c r="G1046" s="63">
        <f t="shared" si="362"/>
        <v>0</v>
      </c>
      <c r="H1046" s="63">
        <f t="shared" si="362"/>
        <v>0</v>
      </c>
      <c r="I1046" s="63">
        <f t="shared" si="362"/>
        <v>0</v>
      </c>
      <c r="J1046" s="63">
        <f t="shared" si="362"/>
        <v>0</v>
      </c>
      <c r="K1046" s="76">
        <v>0</v>
      </c>
      <c r="L1046" s="497">
        <f t="shared" si="359"/>
        <v>0.112</v>
      </c>
      <c r="M1046" s="366"/>
      <c r="N1046" s="88"/>
      <c r="O1046" s="580"/>
      <c r="P1046" s="556"/>
      <c r="Q1046" s="49"/>
      <c r="R1046" s="49"/>
      <c r="S1046" s="49"/>
      <c r="T1046" s="49"/>
      <c r="U1046" s="49"/>
      <c r="V1046" s="49"/>
      <c r="W1046" s="49"/>
      <c r="X1046" s="49"/>
      <c r="Y1046" s="49"/>
      <c r="Z1046" s="49"/>
      <c r="AA1046" s="49"/>
      <c r="AB1046" s="49"/>
      <c r="AC1046" s="49"/>
      <c r="AD1046" s="49"/>
      <c r="AE1046" s="49"/>
      <c r="AF1046" s="49"/>
      <c r="AG1046" s="49"/>
      <c r="AH1046" s="49"/>
      <c r="AI1046" s="49"/>
      <c r="AJ1046" s="49"/>
      <c r="AK1046" s="49"/>
      <c r="AL1046" s="49"/>
      <c r="AM1046" s="49"/>
      <c r="AN1046" s="49"/>
      <c r="AO1046" s="49"/>
      <c r="AP1046" s="49"/>
      <c r="AQ1046" s="49"/>
      <c r="AR1046" s="49"/>
      <c r="AS1046" s="49"/>
      <c r="AT1046" s="49"/>
      <c r="AU1046" s="49"/>
      <c r="AV1046" s="49"/>
      <c r="AW1046" s="49"/>
      <c r="AX1046" s="49"/>
      <c r="AY1046" s="49"/>
      <c r="AZ1046" s="49"/>
      <c r="BA1046" s="49"/>
      <c r="BB1046" s="49"/>
      <c r="BC1046" s="49"/>
      <c r="BD1046" s="49"/>
      <c r="BE1046" s="49"/>
      <c r="BF1046" s="68"/>
    </row>
    <row r="1047" spans="1:58" s="51" customFormat="1" ht="14.25" customHeight="1">
      <c r="A1047" s="1126"/>
      <c r="B1047" s="868"/>
      <c r="C1047" s="1019" t="s">
        <v>970</v>
      </c>
      <c r="D1047" s="62">
        <v>2027</v>
      </c>
      <c r="E1047" s="63">
        <f t="shared" si="362"/>
        <v>0.11650000000000001</v>
      </c>
      <c r="F1047" s="63">
        <f t="shared" si="362"/>
        <v>0.11650000000000001</v>
      </c>
      <c r="G1047" s="63">
        <f t="shared" si="362"/>
        <v>0</v>
      </c>
      <c r="H1047" s="63">
        <f t="shared" si="362"/>
        <v>0</v>
      </c>
      <c r="I1047" s="63">
        <f t="shared" si="362"/>
        <v>0</v>
      </c>
      <c r="J1047" s="63">
        <f t="shared" si="362"/>
        <v>0</v>
      </c>
      <c r="K1047" s="76">
        <v>0</v>
      </c>
      <c r="L1047" s="497">
        <f t="shared" si="359"/>
        <v>0.11650000000000001</v>
      </c>
      <c r="M1047" s="366"/>
      <c r="N1047" s="88"/>
      <c r="O1047" s="580"/>
      <c r="P1047" s="556"/>
      <c r="Q1047" s="49"/>
      <c r="R1047" s="49"/>
      <c r="S1047" s="49"/>
      <c r="T1047" s="49"/>
      <c r="U1047" s="49"/>
      <c r="V1047" s="49"/>
      <c r="W1047" s="49"/>
      <c r="X1047" s="49"/>
      <c r="Y1047" s="49"/>
      <c r="Z1047" s="49"/>
      <c r="AA1047" s="49"/>
      <c r="AB1047" s="49"/>
      <c r="AC1047" s="49"/>
      <c r="AD1047" s="49"/>
      <c r="AE1047" s="49"/>
      <c r="AF1047" s="49"/>
      <c r="AG1047" s="49"/>
      <c r="AH1047" s="49"/>
      <c r="AI1047" s="49"/>
      <c r="AJ1047" s="49"/>
      <c r="AK1047" s="49"/>
      <c r="AL1047" s="49"/>
      <c r="AM1047" s="49"/>
      <c r="AN1047" s="49"/>
      <c r="AO1047" s="49"/>
      <c r="AP1047" s="49"/>
      <c r="AQ1047" s="49"/>
      <c r="AR1047" s="49"/>
      <c r="AS1047" s="49"/>
      <c r="AT1047" s="49"/>
      <c r="AU1047" s="49"/>
      <c r="AV1047" s="49"/>
      <c r="AW1047" s="49"/>
      <c r="AX1047" s="49"/>
      <c r="AY1047" s="49"/>
      <c r="AZ1047" s="49"/>
      <c r="BA1047" s="49"/>
      <c r="BB1047" s="49"/>
      <c r="BC1047" s="49"/>
      <c r="BD1047" s="49"/>
      <c r="BE1047" s="49"/>
      <c r="BF1047" s="68"/>
    </row>
    <row r="1048" spans="1:58" s="51" customFormat="1" ht="14.25" customHeight="1">
      <c r="A1048" s="1126"/>
      <c r="B1048" s="868"/>
      <c r="C1048" s="1019"/>
      <c r="D1048" s="62">
        <v>2028</v>
      </c>
      <c r="E1048" s="63">
        <f t="shared" si="362"/>
        <v>0.1212</v>
      </c>
      <c r="F1048" s="63">
        <f t="shared" si="362"/>
        <v>0.1212</v>
      </c>
      <c r="G1048" s="63">
        <f t="shared" si="362"/>
        <v>0</v>
      </c>
      <c r="H1048" s="63">
        <f t="shared" si="362"/>
        <v>0</v>
      </c>
      <c r="I1048" s="63">
        <f t="shared" si="362"/>
        <v>0</v>
      </c>
      <c r="J1048" s="63">
        <f t="shared" si="362"/>
        <v>0</v>
      </c>
      <c r="K1048" s="76">
        <v>0</v>
      </c>
      <c r="L1048" s="497">
        <f t="shared" si="359"/>
        <v>0.1212</v>
      </c>
      <c r="M1048" s="366"/>
      <c r="N1048" s="88"/>
      <c r="O1048" s="580"/>
      <c r="P1048" s="556"/>
      <c r="Q1048" s="49"/>
      <c r="R1048" s="49"/>
      <c r="S1048" s="49"/>
      <c r="T1048" s="49"/>
      <c r="U1048" s="49"/>
      <c r="V1048" s="49"/>
      <c r="W1048" s="49"/>
      <c r="X1048" s="49"/>
      <c r="Y1048" s="49"/>
      <c r="Z1048" s="49"/>
      <c r="AA1048" s="49"/>
      <c r="AB1048" s="49"/>
      <c r="AC1048" s="49"/>
      <c r="AD1048" s="49"/>
      <c r="AE1048" s="49"/>
      <c r="AF1048" s="49"/>
      <c r="AG1048" s="49"/>
      <c r="AH1048" s="49"/>
      <c r="AI1048" s="49"/>
      <c r="AJ1048" s="49"/>
      <c r="AK1048" s="49"/>
      <c r="AL1048" s="49"/>
      <c r="AM1048" s="49"/>
      <c r="AN1048" s="49"/>
      <c r="AO1048" s="49"/>
      <c r="AP1048" s="49"/>
      <c r="AQ1048" s="49"/>
      <c r="AR1048" s="49"/>
      <c r="AS1048" s="49"/>
      <c r="AT1048" s="49"/>
      <c r="AU1048" s="49"/>
      <c r="AV1048" s="49"/>
      <c r="AW1048" s="49"/>
      <c r="AX1048" s="49"/>
      <c r="AY1048" s="49"/>
      <c r="AZ1048" s="49"/>
      <c r="BA1048" s="49"/>
      <c r="BB1048" s="49"/>
      <c r="BC1048" s="49"/>
      <c r="BD1048" s="49"/>
      <c r="BE1048" s="49"/>
      <c r="BF1048" s="68"/>
    </row>
    <row r="1049" spans="1:58" s="51" customFormat="1" ht="14.25" customHeight="1">
      <c r="A1049" s="1126"/>
      <c r="B1049" s="868"/>
      <c r="C1049" s="1019"/>
      <c r="D1049" s="62">
        <v>2029</v>
      </c>
      <c r="E1049" s="63">
        <f t="shared" si="362"/>
        <v>0.126</v>
      </c>
      <c r="F1049" s="63">
        <f t="shared" si="362"/>
        <v>0.126</v>
      </c>
      <c r="G1049" s="63">
        <f t="shared" si="362"/>
        <v>0</v>
      </c>
      <c r="H1049" s="63">
        <f t="shared" si="362"/>
        <v>0</v>
      </c>
      <c r="I1049" s="63">
        <f t="shared" si="362"/>
        <v>0</v>
      </c>
      <c r="J1049" s="63">
        <f t="shared" si="362"/>
        <v>0</v>
      </c>
      <c r="K1049" s="76">
        <v>0</v>
      </c>
      <c r="L1049" s="497">
        <f t="shared" ref="L1049:L1080" si="363">F1049+G1049+H1049+I1049+J1049</f>
        <v>0.126</v>
      </c>
      <c r="M1049" s="366"/>
      <c r="N1049" s="88"/>
      <c r="O1049" s="580"/>
      <c r="P1049" s="556"/>
      <c r="Q1049" s="49"/>
      <c r="R1049" s="49"/>
      <c r="S1049" s="49"/>
      <c r="T1049" s="49"/>
      <c r="U1049" s="49"/>
      <c r="V1049" s="49"/>
      <c r="W1049" s="49"/>
      <c r="X1049" s="49"/>
      <c r="Y1049" s="49"/>
      <c r="Z1049" s="49"/>
      <c r="AA1049" s="49"/>
      <c r="AB1049" s="49"/>
      <c r="AC1049" s="49"/>
      <c r="AD1049" s="49"/>
      <c r="AE1049" s="49"/>
      <c r="AF1049" s="49"/>
      <c r="AG1049" s="49"/>
      <c r="AH1049" s="49"/>
      <c r="AI1049" s="49"/>
      <c r="AJ1049" s="49"/>
      <c r="AK1049" s="49"/>
      <c r="AL1049" s="49"/>
      <c r="AM1049" s="49"/>
      <c r="AN1049" s="49"/>
      <c r="AO1049" s="49"/>
      <c r="AP1049" s="49"/>
      <c r="AQ1049" s="49"/>
      <c r="AR1049" s="49"/>
      <c r="AS1049" s="49"/>
      <c r="AT1049" s="49"/>
      <c r="AU1049" s="49"/>
      <c r="AV1049" s="49"/>
      <c r="AW1049" s="49"/>
      <c r="AX1049" s="49"/>
      <c r="AY1049" s="49"/>
      <c r="AZ1049" s="49"/>
      <c r="BA1049" s="49"/>
      <c r="BB1049" s="49"/>
      <c r="BC1049" s="49"/>
      <c r="BD1049" s="49"/>
      <c r="BE1049" s="49"/>
      <c r="BF1049" s="68"/>
    </row>
    <row r="1050" spans="1:58" s="51" customFormat="1" ht="14.25" customHeight="1">
      <c r="A1050" s="1127"/>
      <c r="B1050" s="869"/>
      <c r="C1050" s="1019"/>
      <c r="D1050" s="62">
        <v>2030</v>
      </c>
      <c r="E1050" s="63">
        <f t="shared" si="362"/>
        <v>0.13100000000000001</v>
      </c>
      <c r="F1050" s="63">
        <f t="shared" si="362"/>
        <v>0.13100000000000001</v>
      </c>
      <c r="G1050" s="63">
        <f t="shared" si="362"/>
        <v>0</v>
      </c>
      <c r="H1050" s="63">
        <f t="shared" si="362"/>
        <v>0</v>
      </c>
      <c r="I1050" s="63">
        <f t="shared" si="362"/>
        <v>0</v>
      </c>
      <c r="J1050" s="63">
        <f t="shared" si="362"/>
        <v>0</v>
      </c>
      <c r="K1050" s="76">
        <v>0</v>
      </c>
      <c r="L1050" s="497">
        <f t="shared" si="363"/>
        <v>0.13100000000000001</v>
      </c>
      <c r="M1050" s="366"/>
      <c r="N1050" s="88"/>
      <c r="O1050" s="580"/>
      <c r="P1050" s="556"/>
      <c r="Q1050" s="49"/>
      <c r="R1050" s="49"/>
      <c r="S1050" s="49"/>
      <c r="T1050" s="49"/>
      <c r="U1050" s="49"/>
      <c r="V1050" s="49"/>
      <c r="W1050" s="49"/>
      <c r="X1050" s="49"/>
      <c r="Y1050" s="49"/>
      <c r="Z1050" s="49"/>
      <c r="AA1050" s="49"/>
      <c r="AB1050" s="49"/>
      <c r="AC1050" s="49"/>
      <c r="AD1050" s="49"/>
      <c r="AE1050" s="49"/>
      <c r="AF1050" s="49"/>
      <c r="AG1050" s="49"/>
      <c r="AH1050" s="49"/>
      <c r="AI1050" s="49"/>
      <c r="AJ1050" s="49"/>
      <c r="AK1050" s="49"/>
      <c r="AL1050" s="49"/>
      <c r="AM1050" s="49"/>
      <c r="AN1050" s="49"/>
      <c r="AO1050" s="49"/>
      <c r="AP1050" s="49"/>
      <c r="AQ1050" s="49"/>
      <c r="AR1050" s="49"/>
      <c r="AS1050" s="49"/>
      <c r="AT1050" s="49"/>
      <c r="AU1050" s="49"/>
      <c r="AV1050" s="49"/>
      <c r="AW1050" s="49"/>
      <c r="AX1050" s="49"/>
      <c r="AY1050" s="49"/>
      <c r="AZ1050" s="49"/>
      <c r="BA1050" s="49"/>
      <c r="BB1050" s="49"/>
      <c r="BC1050" s="49"/>
      <c r="BD1050" s="49"/>
      <c r="BE1050" s="49"/>
      <c r="BF1050" s="68"/>
    </row>
    <row r="1051" spans="1:58" s="51" customFormat="1" ht="21.75" customHeight="1">
      <c r="A1051" s="794" t="s">
        <v>1340</v>
      </c>
      <c r="B1051" s="867" t="s">
        <v>972</v>
      </c>
      <c r="C1051" s="464"/>
      <c r="D1051" s="84" t="s">
        <v>16</v>
      </c>
      <c r="E1051" s="85">
        <f t="shared" ref="E1051:J1051" si="364">E1052+E1053+E1054+E1055+E1056+E1057+E1058+E1059+E1060+E1061+E1062+E1063</f>
        <v>0.92052</v>
      </c>
      <c r="F1051" s="85">
        <f t="shared" si="364"/>
        <v>0.92052</v>
      </c>
      <c r="G1051" s="85">
        <f t="shared" si="364"/>
        <v>0</v>
      </c>
      <c r="H1051" s="85">
        <f t="shared" si="364"/>
        <v>0</v>
      </c>
      <c r="I1051" s="85">
        <f t="shared" si="364"/>
        <v>0</v>
      </c>
      <c r="J1051" s="85">
        <f t="shared" si="364"/>
        <v>0</v>
      </c>
      <c r="K1051" s="76">
        <v>0</v>
      </c>
      <c r="L1051" s="497">
        <f t="shared" si="363"/>
        <v>0.92052</v>
      </c>
      <c r="M1051" s="366"/>
      <c r="N1051" s="88"/>
      <c r="O1051" s="580"/>
      <c r="P1051" s="842" t="s">
        <v>527</v>
      </c>
      <c r="Q1051" s="49"/>
      <c r="R1051" s="49"/>
      <c r="S1051" s="49"/>
      <c r="T1051" s="49"/>
      <c r="U1051" s="49"/>
      <c r="V1051" s="49"/>
      <c r="W1051" s="49"/>
      <c r="X1051" s="49"/>
      <c r="Y1051" s="49"/>
      <c r="Z1051" s="49"/>
      <c r="AA1051" s="49"/>
      <c r="AB1051" s="49"/>
      <c r="AC1051" s="49"/>
      <c r="AD1051" s="49"/>
      <c r="AE1051" s="49"/>
      <c r="AF1051" s="49"/>
      <c r="AG1051" s="49"/>
      <c r="AH1051" s="49"/>
      <c r="AI1051" s="49"/>
      <c r="AJ1051" s="49"/>
      <c r="AK1051" s="49"/>
      <c r="AL1051" s="49"/>
      <c r="AM1051" s="49"/>
      <c r="AN1051" s="49"/>
      <c r="AO1051" s="49"/>
      <c r="AP1051" s="49"/>
      <c r="AQ1051" s="49"/>
      <c r="AR1051" s="49"/>
      <c r="AS1051" s="49"/>
      <c r="AT1051" s="49"/>
      <c r="AU1051" s="49"/>
      <c r="AV1051" s="49"/>
      <c r="AW1051" s="49"/>
      <c r="AX1051" s="49"/>
      <c r="AY1051" s="49"/>
      <c r="AZ1051" s="49"/>
      <c r="BA1051" s="49"/>
      <c r="BB1051" s="49"/>
      <c r="BC1051" s="49"/>
      <c r="BD1051" s="49"/>
      <c r="BE1051" s="49"/>
      <c r="BF1051" s="68"/>
    </row>
    <row r="1052" spans="1:58" s="51" customFormat="1" ht="14.25" customHeight="1">
      <c r="A1052" s="1126"/>
      <c r="B1052" s="868"/>
      <c r="C1052" s="358" t="s">
        <v>955</v>
      </c>
      <c r="D1052" s="62">
        <v>2019</v>
      </c>
      <c r="E1052" s="63">
        <f t="shared" ref="E1052:E1063" si="365">F1052+G1052+H1052+I1052+J1052</f>
        <v>5.4999999999999997E-3</v>
      </c>
      <c r="F1052" s="63">
        <v>5.4999999999999997E-3</v>
      </c>
      <c r="G1052" s="63">
        <v>0</v>
      </c>
      <c r="H1052" s="63">
        <v>0</v>
      </c>
      <c r="I1052" s="63">
        <v>0</v>
      </c>
      <c r="J1052" s="63">
        <v>0</v>
      </c>
      <c r="K1052" s="76">
        <v>0</v>
      </c>
      <c r="L1052" s="497">
        <f t="shared" si="363"/>
        <v>5.4999999999999997E-3</v>
      </c>
      <c r="M1052" s="366"/>
      <c r="N1052" s="88"/>
      <c r="O1052" s="580"/>
      <c r="P1052" s="1016"/>
      <c r="Q1052" s="49"/>
      <c r="R1052" s="49"/>
      <c r="S1052" s="49"/>
      <c r="T1052" s="49"/>
      <c r="U1052" s="49"/>
      <c r="V1052" s="49"/>
      <c r="W1052" s="49"/>
      <c r="X1052" s="49"/>
      <c r="Y1052" s="49"/>
      <c r="Z1052" s="49"/>
      <c r="AA1052" s="49"/>
      <c r="AB1052" s="49"/>
      <c r="AC1052" s="49"/>
      <c r="AD1052" s="49"/>
      <c r="AE1052" s="49"/>
      <c r="AF1052" s="49"/>
      <c r="AG1052" s="49"/>
      <c r="AH1052" s="49"/>
      <c r="AI1052" s="49"/>
      <c r="AJ1052" s="49"/>
      <c r="AK1052" s="49"/>
      <c r="AL1052" s="49"/>
      <c r="AM1052" s="49"/>
      <c r="AN1052" s="49"/>
      <c r="AO1052" s="49"/>
      <c r="AP1052" s="49"/>
      <c r="AQ1052" s="49"/>
      <c r="AR1052" s="49"/>
      <c r="AS1052" s="49"/>
      <c r="AT1052" s="49"/>
      <c r="AU1052" s="49"/>
      <c r="AV1052" s="49"/>
      <c r="AW1052" s="49"/>
      <c r="AX1052" s="49"/>
      <c r="AY1052" s="49"/>
      <c r="AZ1052" s="49"/>
      <c r="BA1052" s="49"/>
      <c r="BB1052" s="49"/>
      <c r="BC1052" s="49"/>
      <c r="BD1052" s="49"/>
      <c r="BE1052" s="49"/>
      <c r="BF1052" s="68"/>
    </row>
    <row r="1053" spans="1:58" s="51" customFormat="1" ht="14.25" customHeight="1">
      <c r="A1053" s="1126"/>
      <c r="B1053" s="868"/>
      <c r="C1053" s="881" t="s">
        <v>956</v>
      </c>
      <c r="D1053" s="62">
        <v>2020</v>
      </c>
      <c r="E1053" s="63">
        <f t="shared" si="365"/>
        <v>7.3419999999999999E-2</v>
      </c>
      <c r="F1053" s="63">
        <v>7.3419999999999999E-2</v>
      </c>
      <c r="G1053" s="63">
        <v>0</v>
      </c>
      <c r="H1053" s="63">
        <v>0</v>
      </c>
      <c r="I1053" s="63">
        <v>0</v>
      </c>
      <c r="J1053" s="63">
        <v>0</v>
      </c>
      <c r="K1053" s="76">
        <v>0</v>
      </c>
      <c r="L1053" s="497">
        <f t="shared" si="363"/>
        <v>7.3419999999999999E-2</v>
      </c>
      <c r="M1053" s="366"/>
      <c r="N1053" s="88"/>
      <c r="O1053" s="580"/>
      <c r="P1053" s="1016"/>
      <c r="Q1053" s="49"/>
      <c r="R1053" s="49"/>
      <c r="S1053" s="49"/>
      <c r="T1053" s="49"/>
      <c r="U1053" s="49"/>
      <c r="V1053" s="49"/>
      <c r="W1053" s="49"/>
      <c r="X1053" s="49"/>
      <c r="Y1053" s="49"/>
      <c r="Z1053" s="49"/>
      <c r="AA1053" s="49"/>
      <c r="AB1053" s="49"/>
      <c r="AC1053" s="49"/>
      <c r="AD1053" s="49"/>
      <c r="AE1053" s="49"/>
      <c r="AF1053" s="49"/>
      <c r="AG1053" s="49"/>
      <c r="AH1053" s="49"/>
      <c r="AI1053" s="49"/>
      <c r="AJ1053" s="49"/>
      <c r="AK1053" s="49"/>
      <c r="AL1053" s="49"/>
      <c r="AM1053" s="49"/>
      <c r="AN1053" s="49"/>
      <c r="AO1053" s="49"/>
      <c r="AP1053" s="49"/>
      <c r="AQ1053" s="49"/>
      <c r="AR1053" s="49"/>
      <c r="AS1053" s="49"/>
      <c r="AT1053" s="49"/>
      <c r="AU1053" s="49"/>
      <c r="AV1053" s="49"/>
      <c r="AW1053" s="49"/>
      <c r="AX1053" s="49"/>
      <c r="AY1053" s="49"/>
      <c r="AZ1053" s="49"/>
      <c r="BA1053" s="49"/>
      <c r="BB1053" s="49"/>
      <c r="BC1053" s="49"/>
      <c r="BD1053" s="49"/>
      <c r="BE1053" s="49"/>
      <c r="BF1053" s="68"/>
    </row>
    <row r="1054" spans="1:58" s="51" customFormat="1" ht="14.25" customHeight="1">
      <c r="A1054" s="1126"/>
      <c r="B1054" s="868"/>
      <c r="C1054" s="882"/>
      <c r="D1054" s="62">
        <v>2021</v>
      </c>
      <c r="E1054" s="63">
        <f t="shared" si="365"/>
        <v>7.7000000000000002E-3</v>
      </c>
      <c r="F1054" s="63">
        <v>7.7000000000000002E-3</v>
      </c>
      <c r="G1054" s="63">
        <v>0</v>
      </c>
      <c r="H1054" s="63">
        <v>0</v>
      </c>
      <c r="I1054" s="63">
        <v>0</v>
      </c>
      <c r="J1054" s="63">
        <v>0</v>
      </c>
      <c r="K1054" s="76">
        <v>0</v>
      </c>
      <c r="L1054" s="497">
        <f t="shared" si="363"/>
        <v>7.7000000000000002E-3</v>
      </c>
      <c r="M1054" s="366"/>
      <c r="N1054" s="88"/>
      <c r="O1054" s="580"/>
      <c r="P1054" s="1016"/>
      <c r="Q1054" s="49"/>
      <c r="R1054" s="49"/>
      <c r="S1054" s="49"/>
      <c r="T1054" s="49"/>
      <c r="U1054" s="49"/>
      <c r="V1054" s="49"/>
      <c r="W1054" s="49"/>
      <c r="X1054" s="49"/>
      <c r="Y1054" s="49"/>
      <c r="Z1054" s="49"/>
      <c r="AA1054" s="49"/>
      <c r="AB1054" s="49"/>
      <c r="AC1054" s="49"/>
      <c r="AD1054" s="49"/>
      <c r="AE1054" s="49"/>
      <c r="AF1054" s="49"/>
      <c r="AG1054" s="49"/>
      <c r="AH1054" s="49"/>
      <c r="AI1054" s="49"/>
      <c r="AJ1054" s="49"/>
      <c r="AK1054" s="49"/>
      <c r="AL1054" s="49"/>
      <c r="AM1054" s="49"/>
      <c r="AN1054" s="49"/>
      <c r="AO1054" s="49"/>
      <c r="AP1054" s="49"/>
      <c r="AQ1054" s="49"/>
      <c r="AR1054" s="49"/>
      <c r="AS1054" s="49"/>
      <c r="AT1054" s="49"/>
      <c r="AU1054" s="49"/>
      <c r="AV1054" s="49"/>
      <c r="AW1054" s="49"/>
      <c r="AX1054" s="49"/>
      <c r="AY1054" s="49"/>
      <c r="AZ1054" s="49"/>
      <c r="BA1054" s="49"/>
      <c r="BB1054" s="49"/>
      <c r="BC1054" s="49"/>
      <c r="BD1054" s="49"/>
      <c r="BE1054" s="49"/>
      <c r="BF1054" s="68"/>
    </row>
    <row r="1055" spans="1:58" s="51" customFormat="1" ht="14.25" customHeight="1">
      <c r="A1055" s="1126"/>
      <c r="B1055" s="868"/>
      <c r="C1055" s="882"/>
      <c r="D1055" s="62">
        <v>2022</v>
      </c>
      <c r="E1055" s="63">
        <f t="shared" si="365"/>
        <v>7.9000000000000008E-3</v>
      </c>
      <c r="F1055" s="63">
        <v>7.9000000000000008E-3</v>
      </c>
      <c r="G1055" s="63">
        <v>0</v>
      </c>
      <c r="H1055" s="63">
        <v>0</v>
      </c>
      <c r="I1055" s="63">
        <v>0</v>
      </c>
      <c r="J1055" s="63">
        <v>0</v>
      </c>
      <c r="K1055" s="76">
        <v>0</v>
      </c>
      <c r="L1055" s="497">
        <f t="shared" si="363"/>
        <v>7.9000000000000008E-3</v>
      </c>
      <c r="M1055" s="366"/>
      <c r="N1055" s="88"/>
      <c r="O1055" s="580"/>
      <c r="P1055" s="1016"/>
      <c r="Q1055" s="49"/>
      <c r="R1055" s="49"/>
      <c r="S1055" s="49"/>
      <c r="T1055" s="49"/>
      <c r="U1055" s="49"/>
      <c r="V1055" s="49"/>
      <c r="W1055" s="49"/>
      <c r="X1055" s="49"/>
      <c r="Y1055" s="49"/>
      <c r="Z1055" s="49"/>
      <c r="AA1055" s="49"/>
      <c r="AB1055" s="49"/>
      <c r="AC1055" s="49"/>
      <c r="AD1055" s="49"/>
      <c r="AE1055" s="49"/>
      <c r="AF1055" s="49"/>
      <c r="AG1055" s="49"/>
      <c r="AH1055" s="49"/>
      <c r="AI1055" s="49"/>
      <c r="AJ1055" s="49"/>
      <c r="AK1055" s="49"/>
      <c r="AL1055" s="49"/>
      <c r="AM1055" s="49"/>
      <c r="AN1055" s="49"/>
      <c r="AO1055" s="49"/>
      <c r="AP1055" s="49"/>
      <c r="AQ1055" s="49"/>
      <c r="AR1055" s="49"/>
      <c r="AS1055" s="49"/>
      <c r="AT1055" s="49"/>
      <c r="AU1055" s="49"/>
      <c r="AV1055" s="49"/>
      <c r="AW1055" s="49"/>
      <c r="AX1055" s="49"/>
      <c r="AY1055" s="49"/>
      <c r="AZ1055" s="49"/>
      <c r="BA1055" s="49"/>
      <c r="BB1055" s="49"/>
      <c r="BC1055" s="49"/>
      <c r="BD1055" s="49"/>
      <c r="BE1055" s="49"/>
      <c r="BF1055" s="68"/>
    </row>
    <row r="1056" spans="1:58" s="51" customFormat="1" ht="14.25" customHeight="1">
      <c r="A1056" s="1126"/>
      <c r="B1056" s="868"/>
      <c r="C1056" s="882"/>
      <c r="D1056" s="62">
        <v>2023</v>
      </c>
      <c r="E1056" s="63">
        <f t="shared" si="365"/>
        <v>8.0000000000000002E-3</v>
      </c>
      <c r="F1056" s="63">
        <v>8.0000000000000002E-3</v>
      </c>
      <c r="G1056" s="63">
        <v>0</v>
      </c>
      <c r="H1056" s="63">
        <v>0</v>
      </c>
      <c r="I1056" s="63">
        <v>0</v>
      </c>
      <c r="J1056" s="63">
        <v>0</v>
      </c>
      <c r="K1056" s="76">
        <v>0</v>
      </c>
      <c r="L1056" s="497">
        <f t="shared" si="363"/>
        <v>8.0000000000000002E-3</v>
      </c>
      <c r="M1056" s="366"/>
      <c r="N1056" s="88"/>
      <c r="O1056" s="580"/>
      <c r="P1056" s="1016"/>
      <c r="Q1056" s="49"/>
      <c r="R1056" s="49"/>
      <c r="S1056" s="49"/>
      <c r="T1056" s="49"/>
      <c r="U1056" s="49"/>
      <c r="V1056" s="49"/>
      <c r="W1056" s="49"/>
      <c r="X1056" s="49"/>
      <c r="Y1056" s="49"/>
      <c r="Z1056" s="49"/>
      <c r="AA1056" s="49"/>
      <c r="AB1056" s="49"/>
      <c r="AC1056" s="49"/>
      <c r="AD1056" s="49"/>
      <c r="AE1056" s="49"/>
      <c r="AF1056" s="49"/>
      <c r="AG1056" s="49"/>
      <c r="AH1056" s="49"/>
      <c r="AI1056" s="49"/>
      <c r="AJ1056" s="49"/>
      <c r="AK1056" s="49"/>
      <c r="AL1056" s="49"/>
      <c r="AM1056" s="49"/>
      <c r="AN1056" s="49"/>
      <c r="AO1056" s="49"/>
      <c r="AP1056" s="49"/>
      <c r="AQ1056" s="49"/>
      <c r="AR1056" s="49"/>
      <c r="AS1056" s="49"/>
      <c r="AT1056" s="49"/>
      <c r="AU1056" s="49"/>
      <c r="AV1056" s="49"/>
      <c r="AW1056" s="49"/>
      <c r="AX1056" s="49"/>
      <c r="AY1056" s="49"/>
      <c r="AZ1056" s="49"/>
      <c r="BA1056" s="49"/>
      <c r="BB1056" s="49"/>
      <c r="BC1056" s="49"/>
      <c r="BD1056" s="49"/>
      <c r="BE1056" s="49"/>
      <c r="BF1056" s="68"/>
    </row>
    <row r="1057" spans="1:58" s="51" customFormat="1" ht="14.25" customHeight="1">
      <c r="A1057" s="1126"/>
      <c r="B1057" s="868"/>
      <c r="C1057" s="882"/>
      <c r="D1057" s="62">
        <v>2024</v>
      </c>
      <c r="E1057" s="63">
        <f t="shared" si="365"/>
        <v>0.1036</v>
      </c>
      <c r="F1057" s="63">
        <v>0.1036</v>
      </c>
      <c r="G1057" s="63">
        <v>0</v>
      </c>
      <c r="H1057" s="63">
        <v>0</v>
      </c>
      <c r="I1057" s="63">
        <v>0</v>
      </c>
      <c r="J1057" s="63">
        <v>0</v>
      </c>
      <c r="K1057" s="76">
        <v>0</v>
      </c>
      <c r="L1057" s="497">
        <f t="shared" si="363"/>
        <v>0.1036</v>
      </c>
      <c r="M1057" s="366"/>
      <c r="N1057" s="88"/>
      <c r="O1057" s="580"/>
      <c r="P1057" s="1016"/>
      <c r="Q1057" s="49"/>
      <c r="R1057" s="49"/>
      <c r="S1057" s="49"/>
      <c r="T1057" s="49"/>
      <c r="U1057" s="49"/>
      <c r="V1057" s="49"/>
      <c r="W1057" s="49"/>
      <c r="X1057" s="49"/>
      <c r="Y1057" s="49"/>
      <c r="Z1057" s="49"/>
      <c r="AA1057" s="49"/>
      <c r="AB1057" s="49"/>
      <c r="AC1057" s="49"/>
      <c r="AD1057" s="49"/>
      <c r="AE1057" s="49"/>
      <c r="AF1057" s="49"/>
      <c r="AG1057" s="49"/>
      <c r="AH1057" s="49"/>
      <c r="AI1057" s="49"/>
      <c r="AJ1057" s="49"/>
      <c r="AK1057" s="49"/>
      <c r="AL1057" s="49"/>
      <c r="AM1057" s="49"/>
      <c r="AN1057" s="49"/>
      <c r="AO1057" s="49"/>
      <c r="AP1057" s="49"/>
      <c r="AQ1057" s="49"/>
      <c r="AR1057" s="49"/>
      <c r="AS1057" s="49"/>
      <c r="AT1057" s="49"/>
      <c r="AU1057" s="49"/>
      <c r="AV1057" s="49"/>
      <c r="AW1057" s="49"/>
      <c r="AX1057" s="49"/>
      <c r="AY1057" s="49"/>
      <c r="AZ1057" s="49"/>
      <c r="BA1057" s="49"/>
      <c r="BB1057" s="49"/>
      <c r="BC1057" s="49"/>
      <c r="BD1057" s="49"/>
      <c r="BE1057" s="49"/>
      <c r="BF1057" s="68"/>
    </row>
    <row r="1058" spans="1:58" s="51" customFormat="1" ht="14.25" customHeight="1">
      <c r="A1058" s="1126"/>
      <c r="B1058" s="868"/>
      <c r="C1058" s="964"/>
      <c r="D1058" s="62">
        <v>2025</v>
      </c>
      <c r="E1058" s="63">
        <f t="shared" si="365"/>
        <v>0.1077</v>
      </c>
      <c r="F1058" s="63">
        <v>0.1077</v>
      </c>
      <c r="G1058" s="63">
        <v>0</v>
      </c>
      <c r="H1058" s="63">
        <v>0</v>
      </c>
      <c r="I1058" s="63">
        <v>0</v>
      </c>
      <c r="J1058" s="63">
        <v>0</v>
      </c>
      <c r="K1058" s="76">
        <v>0</v>
      </c>
      <c r="L1058" s="497">
        <f t="shared" si="363"/>
        <v>0.1077</v>
      </c>
      <c r="M1058" s="366"/>
      <c r="N1058" s="88"/>
      <c r="O1058" s="580"/>
      <c r="P1058" s="1016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49"/>
      <c r="AU1058" s="49"/>
      <c r="AV1058" s="49"/>
      <c r="AW1058" s="49"/>
      <c r="AX1058" s="49"/>
      <c r="AY1058" s="49"/>
      <c r="AZ1058" s="49"/>
      <c r="BA1058" s="49"/>
      <c r="BB1058" s="49"/>
      <c r="BC1058" s="49"/>
      <c r="BD1058" s="49"/>
      <c r="BE1058" s="49"/>
      <c r="BF1058" s="68"/>
    </row>
    <row r="1059" spans="1:58" s="51" customFormat="1" ht="14.25" customHeight="1">
      <c r="A1059" s="1126"/>
      <c r="B1059" s="868"/>
      <c r="C1059" s="881" t="s">
        <v>957</v>
      </c>
      <c r="D1059" s="62">
        <v>2026</v>
      </c>
      <c r="E1059" s="63">
        <f t="shared" si="365"/>
        <v>0.112</v>
      </c>
      <c r="F1059" s="63">
        <v>0.112</v>
      </c>
      <c r="G1059" s="63">
        <v>0</v>
      </c>
      <c r="H1059" s="63">
        <v>0</v>
      </c>
      <c r="I1059" s="63">
        <v>0</v>
      </c>
      <c r="J1059" s="63">
        <v>0</v>
      </c>
      <c r="K1059" s="76">
        <v>0</v>
      </c>
      <c r="L1059" s="497">
        <f t="shared" si="363"/>
        <v>0.112</v>
      </c>
      <c r="M1059" s="366"/>
      <c r="N1059" s="88"/>
      <c r="O1059" s="580"/>
      <c r="P1059" s="1016"/>
      <c r="Q1059" s="49"/>
      <c r="R1059" s="49"/>
      <c r="S1059" s="49"/>
      <c r="T1059" s="49"/>
      <c r="U1059" s="49"/>
      <c r="V1059" s="49"/>
      <c r="W1059" s="49"/>
      <c r="X1059" s="49"/>
      <c r="Y1059" s="49"/>
      <c r="Z1059" s="49"/>
      <c r="AA1059" s="49"/>
      <c r="AB1059" s="49"/>
      <c r="AC1059" s="49"/>
      <c r="AD1059" s="49"/>
      <c r="AE1059" s="49"/>
      <c r="AF1059" s="49"/>
      <c r="AG1059" s="49"/>
      <c r="AH1059" s="49"/>
      <c r="AI1059" s="49"/>
      <c r="AJ1059" s="49"/>
      <c r="AK1059" s="49"/>
      <c r="AL1059" s="49"/>
      <c r="AM1059" s="49"/>
      <c r="AN1059" s="49"/>
      <c r="AO1059" s="49"/>
      <c r="AP1059" s="49"/>
      <c r="AQ1059" s="49"/>
      <c r="AR1059" s="49"/>
      <c r="AS1059" s="49"/>
      <c r="AT1059" s="49"/>
      <c r="AU1059" s="49"/>
      <c r="AV1059" s="49"/>
      <c r="AW1059" s="49"/>
      <c r="AX1059" s="49"/>
      <c r="AY1059" s="49"/>
      <c r="AZ1059" s="49"/>
      <c r="BA1059" s="49"/>
      <c r="BB1059" s="49"/>
      <c r="BC1059" s="49"/>
      <c r="BD1059" s="49"/>
      <c r="BE1059" s="49"/>
      <c r="BF1059" s="68"/>
    </row>
    <row r="1060" spans="1:58" s="51" customFormat="1" ht="14.25" customHeight="1">
      <c r="A1060" s="1126"/>
      <c r="B1060" s="868"/>
      <c r="C1060" s="882"/>
      <c r="D1060" s="62">
        <v>2027</v>
      </c>
      <c r="E1060" s="63">
        <f t="shared" si="365"/>
        <v>0.11650000000000001</v>
      </c>
      <c r="F1060" s="63">
        <v>0.11650000000000001</v>
      </c>
      <c r="G1060" s="63">
        <v>0</v>
      </c>
      <c r="H1060" s="63">
        <v>0</v>
      </c>
      <c r="I1060" s="63">
        <v>0</v>
      </c>
      <c r="J1060" s="63">
        <v>0</v>
      </c>
      <c r="K1060" s="76">
        <v>0</v>
      </c>
      <c r="L1060" s="497">
        <f t="shared" si="363"/>
        <v>0.11650000000000001</v>
      </c>
      <c r="M1060" s="366"/>
      <c r="N1060" s="88"/>
      <c r="O1060" s="580"/>
      <c r="P1060" s="1016"/>
      <c r="Q1060" s="49"/>
      <c r="R1060" s="49"/>
      <c r="S1060" s="49"/>
      <c r="T1060" s="49"/>
      <c r="U1060" s="49"/>
      <c r="V1060" s="49"/>
      <c r="W1060" s="49"/>
      <c r="X1060" s="49"/>
      <c r="Y1060" s="49"/>
      <c r="Z1060" s="49"/>
      <c r="AA1060" s="49"/>
      <c r="AB1060" s="49"/>
      <c r="AC1060" s="49"/>
      <c r="AD1060" s="49"/>
      <c r="AE1060" s="49"/>
      <c r="AF1060" s="49"/>
      <c r="AG1060" s="49"/>
      <c r="AH1060" s="49"/>
      <c r="AI1060" s="49"/>
      <c r="AJ1060" s="49"/>
      <c r="AK1060" s="49"/>
      <c r="AL1060" s="49"/>
      <c r="AM1060" s="49"/>
      <c r="AN1060" s="49"/>
      <c r="AO1060" s="49"/>
      <c r="AP1060" s="49"/>
      <c r="AQ1060" s="49"/>
      <c r="AR1060" s="49"/>
      <c r="AS1060" s="49"/>
      <c r="AT1060" s="49"/>
      <c r="AU1060" s="49"/>
      <c r="AV1060" s="49"/>
      <c r="AW1060" s="49"/>
      <c r="AX1060" s="49"/>
      <c r="AY1060" s="49"/>
      <c r="AZ1060" s="49"/>
      <c r="BA1060" s="49"/>
      <c r="BB1060" s="49"/>
      <c r="BC1060" s="49"/>
      <c r="BD1060" s="49"/>
      <c r="BE1060" s="49"/>
      <c r="BF1060" s="68"/>
    </row>
    <row r="1061" spans="1:58" s="51" customFormat="1" ht="14.25" customHeight="1">
      <c r="A1061" s="1126"/>
      <c r="B1061" s="868"/>
      <c r="C1061" s="882"/>
      <c r="D1061" s="62">
        <v>2028</v>
      </c>
      <c r="E1061" s="63">
        <f t="shared" si="365"/>
        <v>0.1212</v>
      </c>
      <c r="F1061" s="63">
        <v>0.1212</v>
      </c>
      <c r="G1061" s="63">
        <v>0</v>
      </c>
      <c r="H1061" s="63">
        <v>0</v>
      </c>
      <c r="I1061" s="63">
        <v>0</v>
      </c>
      <c r="J1061" s="63">
        <v>0</v>
      </c>
      <c r="K1061" s="76">
        <v>0</v>
      </c>
      <c r="L1061" s="497">
        <f t="shared" si="363"/>
        <v>0.1212</v>
      </c>
      <c r="M1061" s="366"/>
      <c r="N1061" s="88"/>
      <c r="O1061" s="580"/>
      <c r="P1061" s="1016"/>
      <c r="Q1061" s="49"/>
      <c r="R1061" s="49"/>
      <c r="S1061" s="49"/>
      <c r="T1061" s="49"/>
      <c r="U1061" s="49"/>
      <c r="V1061" s="49"/>
      <c r="W1061" s="49"/>
      <c r="X1061" s="49"/>
      <c r="Y1061" s="49"/>
      <c r="Z1061" s="49"/>
      <c r="AA1061" s="49"/>
      <c r="AB1061" s="49"/>
      <c r="AC1061" s="49"/>
      <c r="AD1061" s="49"/>
      <c r="AE1061" s="49"/>
      <c r="AF1061" s="49"/>
      <c r="AG1061" s="49"/>
      <c r="AH1061" s="49"/>
      <c r="AI1061" s="49"/>
      <c r="AJ1061" s="49"/>
      <c r="AK1061" s="49"/>
      <c r="AL1061" s="49"/>
      <c r="AM1061" s="49"/>
      <c r="AN1061" s="49"/>
      <c r="AO1061" s="49"/>
      <c r="AP1061" s="49"/>
      <c r="AQ1061" s="49"/>
      <c r="AR1061" s="49"/>
      <c r="AS1061" s="49"/>
      <c r="AT1061" s="49"/>
      <c r="AU1061" s="49"/>
      <c r="AV1061" s="49"/>
      <c r="AW1061" s="49"/>
      <c r="AX1061" s="49"/>
      <c r="AY1061" s="49"/>
      <c r="AZ1061" s="49"/>
      <c r="BA1061" s="49"/>
      <c r="BB1061" s="49"/>
      <c r="BC1061" s="49"/>
      <c r="BD1061" s="49"/>
      <c r="BE1061" s="49"/>
      <c r="BF1061" s="68"/>
    </row>
    <row r="1062" spans="1:58" s="51" customFormat="1" ht="14.25" customHeight="1">
      <c r="A1062" s="1126"/>
      <c r="B1062" s="868"/>
      <c r="C1062" s="882"/>
      <c r="D1062" s="62">
        <v>2029</v>
      </c>
      <c r="E1062" s="63">
        <f t="shared" si="365"/>
        <v>0.126</v>
      </c>
      <c r="F1062" s="63">
        <v>0.126</v>
      </c>
      <c r="G1062" s="63">
        <v>0</v>
      </c>
      <c r="H1062" s="63">
        <v>0</v>
      </c>
      <c r="I1062" s="63">
        <v>0</v>
      </c>
      <c r="J1062" s="63">
        <v>0</v>
      </c>
      <c r="K1062" s="76">
        <v>0</v>
      </c>
      <c r="L1062" s="497">
        <f t="shared" si="363"/>
        <v>0.126</v>
      </c>
      <c r="M1062" s="366"/>
      <c r="N1062" s="88"/>
      <c r="O1062" s="580"/>
      <c r="P1062" s="1016"/>
      <c r="Q1062" s="49"/>
      <c r="R1062" s="49"/>
      <c r="S1062" s="49"/>
      <c r="T1062" s="49"/>
      <c r="U1062" s="49"/>
      <c r="V1062" s="49"/>
      <c r="W1062" s="49"/>
      <c r="X1062" s="49"/>
      <c r="Y1062" s="49"/>
      <c r="Z1062" s="49"/>
      <c r="AA1062" s="49"/>
      <c r="AB1062" s="49"/>
      <c r="AC1062" s="49"/>
      <c r="AD1062" s="49"/>
      <c r="AE1062" s="49"/>
      <c r="AF1062" s="49"/>
      <c r="AG1062" s="49"/>
      <c r="AH1062" s="49"/>
      <c r="AI1062" s="49"/>
      <c r="AJ1062" s="49"/>
      <c r="AK1062" s="49"/>
      <c r="AL1062" s="49"/>
      <c r="AM1062" s="49"/>
      <c r="AN1062" s="49"/>
      <c r="AO1062" s="49"/>
      <c r="AP1062" s="49"/>
      <c r="AQ1062" s="49"/>
      <c r="AR1062" s="49"/>
      <c r="AS1062" s="49"/>
      <c r="AT1062" s="49"/>
      <c r="AU1062" s="49"/>
      <c r="AV1062" s="49"/>
      <c r="AW1062" s="49"/>
      <c r="AX1062" s="49"/>
      <c r="AY1062" s="49"/>
      <c r="AZ1062" s="49"/>
      <c r="BA1062" s="49"/>
      <c r="BB1062" s="49"/>
      <c r="BC1062" s="49"/>
      <c r="BD1062" s="49"/>
      <c r="BE1062" s="49"/>
      <c r="BF1062" s="68"/>
    </row>
    <row r="1063" spans="1:58" s="51" customFormat="1" ht="14.25" customHeight="1">
      <c r="A1063" s="1127"/>
      <c r="B1063" s="869"/>
      <c r="C1063" s="964"/>
      <c r="D1063" s="62">
        <v>2030</v>
      </c>
      <c r="E1063" s="63">
        <f t="shared" si="365"/>
        <v>0.13100000000000001</v>
      </c>
      <c r="F1063" s="63">
        <v>0.13100000000000001</v>
      </c>
      <c r="G1063" s="63">
        <v>0</v>
      </c>
      <c r="H1063" s="63">
        <v>0</v>
      </c>
      <c r="I1063" s="63">
        <v>0</v>
      </c>
      <c r="J1063" s="63">
        <v>0</v>
      </c>
      <c r="K1063" s="76">
        <v>0</v>
      </c>
      <c r="L1063" s="497">
        <f t="shared" si="363"/>
        <v>0.13100000000000001</v>
      </c>
      <c r="M1063" s="366"/>
      <c r="N1063" s="88"/>
      <c r="O1063" s="580"/>
      <c r="P1063" s="843"/>
      <c r="Q1063" s="49"/>
      <c r="R1063" s="49"/>
      <c r="S1063" s="49"/>
      <c r="T1063" s="49"/>
      <c r="U1063" s="49"/>
      <c r="V1063" s="49"/>
      <c r="W1063" s="49"/>
      <c r="X1063" s="49"/>
      <c r="Y1063" s="49"/>
      <c r="Z1063" s="49"/>
      <c r="AA1063" s="49"/>
      <c r="AB1063" s="49"/>
      <c r="AC1063" s="49"/>
      <c r="AD1063" s="49"/>
      <c r="AE1063" s="49"/>
      <c r="AF1063" s="49"/>
      <c r="AG1063" s="49"/>
      <c r="AH1063" s="49"/>
      <c r="AI1063" s="49"/>
      <c r="AJ1063" s="49"/>
      <c r="AK1063" s="49"/>
      <c r="AL1063" s="49"/>
      <c r="AM1063" s="49"/>
      <c r="AN1063" s="49"/>
      <c r="AO1063" s="49"/>
      <c r="AP1063" s="49"/>
      <c r="AQ1063" s="49"/>
      <c r="AR1063" s="49"/>
      <c r="AS1063" s="49"/>
      <c r="AT1063" s="49"/>
      <c r="AU1063" s="49"/>
      <c r="AV1063" s="49"/>
      <c r="AW1063" s="49"/>
      <c r="AX1063" s="49"/>
      <c r="AY1063" s="49"/>
      <c r="AZ1063" s="49"/>
      <c r="BA1063" s="49"/>
      <c r="BB1063" s="49"/>
      <c r="BC1063" s="49"/>
      <c r="BD1063" s="49"/>
      <c r="BE1063" s="49"/>
      <c r="BF1063" s="68"/>
    </row>
    <row r="1064" spans="1:58" s="51" customFormat="1" ht="14.25" customHeight="1">
      <c r="A1064" s="1183" t="s">
        <v>977</v>
      </c>
      <c r="B1064" s="929" t="s">
        <v>974</v>
      </c>
      <c r="C1064" s="190"/>
      <c r="D1064" s="84" t="s">
        <v>16</v>
      </c>
      <c r="E1064" s="85">
        <f t="shared" ref="E1064:J1076" si="366">E1077</f>
        <v>0</v>
      </c>
      <c r="F1064" s="85">
        <f t="shared" si="366"/>
        <v>0</v>
      </c>
      <c r="G1064" s="85">
        <f t="shared" si="366"/>
        <v>0</v>
      </c>
      <c r="H1064" s="85">
        <f t="shared" si="366"/>
        <v>0</v>
      </c>
      <c r="I1064" s="85">
        <f t="shared" si="366"/>
        <v>0</v>
      </c>
      <c r="J1064" s="85">
        <f t="shared" si="366"/>
        <v>0</v>
      </c>
      <c r="K1064" s="76">
        <v>0</v>
      </c>
      <c r="L1064" s="497">
        <f t="shared" si="363"/>
        <v>0</v>
      </c>
      <c r="M1064" s="366"/>
      <c r="N1064" s="88"/>
      <c r="O1064" s="580"/>
      <c r="P1064" s="556"/>
      <c r="Q1064" s="49"/>
      <c r="R1064" s="49"/>
      <c r="S1064" s="49"/>
      <c r="T1064" s="49"/>
      <c r="U1064" s="49"/>
      <c r="V1064" s="49"/>
      <c r="W1064" s="49"/>
      <c r="X1064" s="49"/>
      <c r="Y1064" s="49"/>
      <c r="Z1064" s="49"/>
      <c r="AA1064" s="49"/>
      <c r="AB1064" s="49"/>
      <c r="AC1064" s="49"/>
      <c r="AD1064" s="49"/>
      <c r="AE1064" s="49"/>
      <c r="AF1064" s="49"/>
      <c r="AG1064" s="49"/>
      <c r="AH1064" s="49"/>
      <c r="AI1064" s="49"/>
      <c r="AJ1064" s="49"/>
      <c r="AK1064" s="49"/>
      <c r="AL1064" s="49"/>
      <c r="AM1064" s="49"/>
      <c r="AN1064" s="49"/>
      <c r="AO1064" s="49"/>
      <c r="AP1064" s="49"/>
      <c r="AQ1064" s="49"/>
      <c r="AR1064" s="49"/>
      <c r="AS1064" s="49"/>
      <c r="AT1064" s="49"/>
      <c r="AU1064" s="49"/>
      <c r="AV1064" s="49"/>
      <c r="AW1064" s="49"/>
      <c r="AX1064" s="49"/>
      <c r="AY1064" s="49"/>
      <c r="AZ1064" s="49"/>
      <c r="BA1064" s="49"/>
      <c r="BB1064" s="49"/>
      <c r="BC1064" s="49"/>
      <c r="BD1064" s="49"/>
      <c r="BE1064" s="49"/>
      <c r="BF1064" s="68"/>
    </row>
    <row r="1065" spans="1:58" s="51" customFormat="1" ht="14.25" customHeight="1">
      <c r="A1065" s="1126"/>
      <c r="B1065" s="868"/>
      <c r="C1065" s="190"/>
      <c r="D1065" s="84">
        <v>2019</v>
      </c>
      <c r="E1065" s="85">
        <f t="shared" si="366"/>
        <v>0</v>
      </c>
      <c r="F1065" s="85">
        <f t="shared" si="366"/>
        <v>0</v>
      </c>
      <c r="G1065" s="85">
        <f t="shared" si="366"/>
        <v>0</v>
      </c>
      <c r="H1065" s="85">
        <f t="shared" si="366"/>
        <v>0</v>
      </c>
      <c r="I1065" s="85">
        <f t="shared" si="366"/>
        <v>0</v>
      </c>
      <c r="J1065" s="85">
        <f t="shared" si="366"/>
        <v>0</v>
      </c>
      <c r="K1065" s="76">
        <v>0</v>
      </c>
      <c r="L1065" s="497">
        <f t="shared" si="363"/>
        <v>0</v>
      </c>
      <c r="M1065" s="366"/>
      <c r="N1065" s="88"/>
      <c r="O1065" s="580"/>
      <c r="P1065" s="556"/>
      <c r="Q1065" s="49"/>
      <c r="R1065" s="49"/>
      <c r="S1065" s="49"/>
      <c r="T1065" s="49"/>
      <c r="U1065" s="49"/>
      <c r="V1065" s="49"/>
      <c r="W1065" s="49"/>
      <c r="X1065" s="49"/>
      <c r="Y1065" s="49"/>
      <c r="Z1065" s="49"/>
      <c r="AA1065" s="49"/>
      <c r="AB1065" s="49"/>
      <c r="AC1065" s="49"/>
      <c r="AD1065" s="49"/>
      <c r="AE1065" s="49"/>
      <c r="AF1065" s="49"/>
      <c r="AG1065" s="49"/>
      <c r="AH1065" s="49"/>
      <c r="AI1065" s="49"/>
      <c r="AJ1065" s="49"/>
      <c r="AK1065" s="49"/>
      <c r="AL1065" s="49"/>
      <c r="AM1065" s="49"/>
      <c r="AN1065" s="49"/>
      <c r="AO1065" s="49"/>
      <c r="AP1065" s="49"/>
      <c r="AQ1065" s="49"/>
      <c r="AR1065" s="49"/>
      <c r="AS1065" s="49"/>
      <c r="AT1065" s="49"/>
      <c r="AU1065" s="49"/>
      <c r="AV1065" s="49"/>
      <c r="AW1065" s="49"/>
      <c r="AX1065" s="49"/>
      <c r="AY1065" s="49"/>
      <c r="AZ1065" s="49"/>
      <c r="BA1065" s="49"/>
      <c r="BB1065" s="49"/>
      <c r="BC1065" s="49"/>
      <c r="BD1065" s="49"/>
      <c r="BE1065" s="49"/>
      <c r="BF1065" s="68"/>
    </row>
    <row r="1066" spans="1:58" s="51" customFormat="1" ht="14.25" customHeight="1">
      <c r="A1066" s="1126"/>
      <c r="B1066" s="868"/>
      <c r="C1066" s="190"/>
      <c r="D1066" s="84">
        <v>2020</v>
      </c>
      <c r="E1066" s="85">
        <f t="shared" si="366"/>
        <v>0</v>
      </c>
      <c r="F1066" s="85">
        <f t="shared" si="366"/>
        <v>0</v>
      </c>
      <c r="G1066" s="85">
        <f t="shared" si="366"/>
        <v>0</v>
      </c>
      <c r="H1066" s="85">
        <f t="shared" si="366"/>
        <v>0</v>
      </c>
      <c r="I1066" s="85">
        <f t="shared" si="366"/>
        <v>0</v>
      </c>
      <c r="J1066" s="85">
        <f t="shared" si="366"/>
        <v>0</v>
      </c>
      <c r="K1066" s="76">
        <v>0</v>
      </c>
      <c r="L1066" s="497">
        <f t="shared" si="363"/>
        <v>0</v>
      </c>
      <c r="M1066" s="366"/>
      <c r="N1066" s="88"/>
      <c r="O1066" s="580"/>
      <c r="P1066" s="556"/>
      <c r="Q1066" s="49"/>
      <c r="R1066" s="49"/>
      <c r="S1066" s="49"/>
      <c r="T1066" s="49"/>
      <c r="U1066" s="49"/>
      <c r="V1066" s="49"/>
      <c r="W1066" s="49"/>
      <c r="X1066" s="49"/>
      <c r="Y1066" s="49"/>
      <c r="Z1066" s="49"/>
      <c r="AA1066" s="49"/>
      <c r="AB1066" s="49"/>
      <c r="AC1066" s="49"/>
      <c r="AD1066" s="49"/>
      <c r="AE1066" s="49"/>
      <c r="AF1066" s="49"/>
      <c r="AG1066" s="49"/>
      <c r="AH1066" s="49"/>
      <c r="AI1066" s="49"/>
      <c r="AJ1066" s="49"/>
      <c r="AK1066" s="49"/>
      <c r="AL1066" s="49"/>
      <c r="AM1066" s="49"/>
      <c r="AN1066" s="49"/>
      <c r="AO1066" s="49"/>
      <c r="AP1066" s="49"/>
      <c r="AQ1066" s="49"/>
      <c r="AR1066" s="49"/>
      <c r="AS1066" s="49"/>
      <c r="AT1066" s="49"/>
      <c r="AU1066" s="49"/>
      <c r="AV1066" s="49"/>
      <c r="AW1066" s="49"/>
      <c r="AX1066" s="49"/>
      <c r="AY1066" s="49"/>
      <c r="AZ1066" s="49"/>
      <c r="BA1066" s="49"/>
      <c r="BB1066" s="49"/>
      <c r="BC1066" s="49"/>
      <c r="BD1066" s="49"/>
      <c r="BE1066" s="49"/>
      <c r="BF1066" s="68"/>
    </row>
    <row r="1067" spans="1:58" s="51" customFormat="1" ht="14.25" customHeight="1">
      <c r="A1067" s="1126"/>
      <c r="B1067" s="868"/>
      <c r="C1067" s="190"/>
      <c r="D1067" s="84">
        <v>2021</v>
      </c>
      <c r="E1067" s="85">
        <f t="shared" si="366"/>
        <v>0</v>
      </c>
      <c r="F1067" s="85">
        <f t="shared" si="366"/>
        <v>0</v>
      </c>
      <c r="G1067" s="85">
        <f t="shared" si="366"/>
        <v>0</v>
      </c>
      <c r="H1067" s="85">
        <f t="shared" si="366"/>
        <v>0</v>
      </c>
      <c r="I1067" s="85">
        <f t="shared" si="366"/>
        <v>0</v>
      </c>
      <c r="J1067" s="85">
        <f t="shared" si="366"/>
        <v>0</v>
      </c>
      <c r="K1067" s="76">
        <v>0</v>
      </c>
      <c r="L1067" s="497">
        <f t="shared" si="363"/>
        <v>0</v>
      </c>
      <c r="M1067" s="366"/>
      <c r="N1067" s="88"/>
      <c r="O1067" s="580"/>
      <c r="P1067" s="556"/>
      <c r="Q1067" s="49"/>
      <c r="R1067" s="49"/>
      <c r="S1067" s="49"/>
      <c r="T1067" s="49"/>
      <c r="U1067" s="49"/>
      <c r="V1067" s="49"/>
      <c r="W1067" s="49"/>
      <c r="X1067" s="49"/>
      <c r="Y1067" s="49"/>
      <c r="Z1067" s="49"/>
      <c r="AA1067" s="49"/>
      <c r="AB1067" s="49"/>
      <c r="AC1067" s="49"/>
      <c r="AD1067" s="49"/>
      <c r="AE1067" s="49"/>
      <c r="AF1067" s="49"/>
      <c r="AG1067" s="49"/>
      <c r="AH1067" s="49"/>
      <c r="AI1067" s="49"/>
      <c r="AJ1067" s="49"/>
      <c r="AK1067" s="49"/>
      <c r="AL1067" s="49"/>
      <c r="AM1067" s="49"/>
      <c r="AN1067" s="49"/>
      <c r="AO1067" s="49"/>
      <c r="AP1067" s="49"/>
      <c r="AQ1067" s="49"/>
      <c r="AR1067" s="49"/>
      <c r="AS1067" s="49"/>
      <c r="AT1067" s="49"/>
      <c r="AU1067" s="49"/>
      <c r="AV1067" s="49"/>
      <c r="AW1067" s="49"/>
      <c r="AX1067" s="49"/>
      <c r="AY1067" s="49"/>
      <c r="AZ1067" s="49"/>
      <c r="BA1067" s="49"/>
      <c r="BB1067" s="49"/>
      <c r="BC1067" s="49"/>
      <c r="BD1067" s="49"/>
      <c r="BE1067" s="49"/>
      <c r="BF1067" s="68"/>
    </row>
    <row r="1068" spans="1:58" s="51" customFormat="1" ht="14.25" customHeight="1">
      <c r="A1068" s="1126"/>
      <c r="B1068" s="868"/>
      <c r="C1068" s="190"/>
      <c r="D1068" s="84">
        <v>2022</v>
      </c>
      <c r="E1068" s="85">
        <f t="shared" si="366"/>
        <v>0</v>
      </c>
      <c r="F1068" s="85">
        <f t="shared" si="366"/>
        <v>0</v>
      </c>
      <c r="G1068" s="85">
        <f t="shared" si="366"/>
        <v>0</v>
      </c>
      <c r="H1068" s="85">
        <f t="shared" si="366"/>
        <v>0</v>
      </c>
      <c r="I1068" s="85">
        <f t="shared" si="366"/>
        <v>0</v>
      </c>
      <c r="J1068" s="85">
        <f t="shared" si="366"/>
        <v>0</v>
      </c>
      <c r="K1068" s="76">
        <v>0</v>
      </c>
      <c r="L1068" s="497">
        <f t="shared" si="363"/>
        <v>0</v>
      </c>
      <c r="M1068" s="366"/>
      <c r="N1068" s="88"/>
      <c r="O1068" s="580"/>
      <c r="P1068" s="556"/>
      <c r="Q1068" s="49"/>
      <c r="R1068" s="49"/>
      <c r="S1068" s="49"/>
      <c r="T1068" s="49"/>
      <c r="U1068" s="49"/>
      <c r="V1068" s="49"/>
      <c r="W1068" s="49"/>
      <c r="X1068" s="49"/>
      <c r="Y1068" s="49"/>
      <c r="Z1068" s="49"/>
      <c r="AA1068" s="49"/>
      <c r="AB1068" s="49"/>
      <c r="AC1068" s="49"/>
      <c r="AD1068" s="49"/>
      <c r="AE1068" s="49"/>
      <c r="AF1068" s="49"/>
      <c r="AG1068" s="49"/>
      <c r="AH1068" s="49"/>
      <c r="AI1068" s="49"/>
      <c r="AJ1068" s="49"/>
      <c r="AK1068" s="49"/>
      <c r="AL1068" s="49"/>
      <c r="AM1068" s="49"/>
      <c r="AN1068" s="49"/>
      <c r="AO1068" s="49"/>
      <c r="AP1068" s="49"/>
      <c r="AQ1068" s="49"/>
      <c r="AR1068" s="49"/>
      <c r="AS1068" s="49"/>
      <c r="AT1068" s="49"/>
      <c r="AU1068" s="49"/>
      <c r="AV1068" s="49"/>
      <c r="AW1068" s="49"/>
      <c r="AX1068" s="49"/>
      <c r="AY1068" s="49"/>
      <c r="AZ1068" s="49"/>
      <c r="BA1068" s="49"/>
      <c r="BB1068" s="49"/>
      <c r="BC1068" s="49"/>
      <c r="BD1068" s="49"/>
      <c r="BE1068" s="49"/>
      <c r="BF1068" s="68"/>
    </row>
    <row r="1069" spans="1:58" s="51" customFormat="1" ht="14.25" customHeight="1">
      <c r="A1069" s="1126"/>
      <c r="B1069" s="868"/>
      <c r="C1069" s="190"/>
      <c r="D1069" s="84">
        <v>2023</v>
      </c>
      <c r="E1069" s="85">
        <f t="shared" si="366"/>
        <v>0</v>
      </c>
      <c r="F1069" s="85">
        <f t="shared" si="366"/>
        <v>0</v>
      </c>
      <c r="G1069" s="85">
        <f t="shared" si="366"/>
        <v>0</v>
      </c>
      <c r="H1069" s="85">
        <f t="shared" si="366"/>
        <v>0</v>
      </c>
      <c r="I1069" s="85">
        <f t="shared" si="366"/>
        <v>0</v>
      </c>
      <c r="J1069" s="85">
        <f t="shared" si="366"/>
        <v>0</v>
      </c>
      <c r="K1069" s="76">
        <v>0</v>
      </c>
      <c r="L1069" s="497">
        <f t="shared" si="363"/>
        <v>0</v>
      </c>
      <c r="M1069" s="366"/>
      <c r="N1069" s="88"/>
      <c r="O1069" s="580"/>
      <c r="P1069" s="556"/>
      <c r="Q1069" s="49"/>
      <c r="R1069" s="49"/>
      <c r="S1069" s="49"/>
      <c r="T1069" s="49"/>
      <c r="U1069" s="49"/>
      <c r="V1069" s="49"/>
      <c r="W1069" s="49"/>
      <c r="X1069" s="49"/>
      <c r="Y1069" s="49"/>
      <c r="Z1069" s="49"/>
      <c r="AA1069" s="49"/>
      <c r="AB1069" s="49"/>
      <c r="AC1069" s="49"/>
      <c r="AD1069" s="49"/>
      <c r="AE1069" s="49"/>
      <c r="AF1069" s="49"/>
      <c r="AG1069" s="49"/>
      <c r="AH1069" s="49"/>
      <c r="AI1069" s="49"/>
      <c r="AJ1069" s="49"/>
      <c r="AK1069" s="49"/>
      <c r="AL1069" s="49"/>
      <c r="AM1069" s="49"/>
      <c r="AN1069" s="49"/>
      <c r="AO1069" s="49"/>
      <c r="AP1069" s="49"/>
      <c r="AQ1069" s="49"/>
      <c r="AR1069" s="49"/>
      <c r="AS1069" s="49"/>
      <c r="AT1069" s="49"/>
      <c r="AU1069" s="49"/>
      <c r="AV1069" s="49"/>
      <c r="AW1069" s="49"/>
      <c r="AX1069" s="49"/>
      <c r="AY1069" s="49"/>
      <c r="AZ1069" s="49"/>
      <c r="BA1069" s="49"/>
      <c r="BB1069" s="49"/>
      <c r="BC1069" s="49"/>
      <c r="BD1069" s="49"/>
      <c r="BE1069" s="49"/>
      <c r="BF1069" s="68"/>
    </row>
    <row r="1070" spans="1:58" s="51" customFormat="1" ht="14.25" customHeight="1">
      <c r="A1070" s="1126"/>
      <c r="B1070" s="868"/>
      <c r="C1070" s="190"/>
      <c r="D1070" s="84">
        <v>2024</v>
      </c>
      <c r="E1070" s="85">
        <f t="shared" si="366"/>
        <v>0</v>
      </c>
      <c r="F1070" s="85">
        <f t="shared" si="366"/>
        <v>0</v>
      </c>
      <c r="G1070" s="85">
        <f t="shared" si="366"/>
        <v>0</v>
      </c>
      <c r="H1070" s="85">
        <f t="shared" si="366"/>
        <v>0</v>
      </c>
      <c r="I1070" s="85">
        <f t="shared" si="366"/>
        <v>0</v>
      </c>
      <c r="J1070" s="85">
        <f t="shared" si="366"/>
        <v>0</v>
      </c>
      <c r="K1070" s="76">
        <v>0</v>
      </c>
      <c r="L1070" s="497">
        <f t="shared" si="363"/>
        <v>0</v>
      </c>
      <c r="M1070" s="366"/>
      <c r="N1070" s="88"/>
      <c r="O1070" s="580"/>
      <c r="P1070" s="556"/>
      <c r="Q1070" s="49"/>
      <c r="R1070" s="49"/>
      <c r="S1070" s="49"/>
      <c r="T1070" s="49"/>
      <c r="U1070" s="49"/>
      <c r="V1070" s="49"/>
      <c r="W1070" s="49"/>
      <c r="X1070" s="49"/>
      <c r="Y1070" s="49"/>
      <c r="Z1070" s="49"/>
      <c r="AA1070" s="49"/>
      <c r="AB1070" s="49"/>
      <c r="AC1070" s="49"/>
      <c r="AD1070" s="49"/>
      <c r="AE1070" s="49"/>
      <c r="AF1070" s="49"/>
      <c r="AG1070" s="49"/>
      <c r="AH1070" s="49"/>
      <c r="AI1070" s="49"/>
      <c r="AJ1070" s="49"/>
      <c r="AK1070" s="49"/>
      <c r="AL1070" s="49"/>
      <c r="AM1070" s="49"/>
      <c r="AN1070" s="49"/>
      <c r="AO1070" s="49"/>
      <c r="AP1070" s="49"/>
      <c r="AQ1070" s="49"/>
      <c r="AR1070" s="49"/>
      <c r="AS1070" s="49"/>
      <c r="AT1070" s="49"/>
      <c r="AU1070" s="49"/>
      <c r="AV1070" s="49"/>
      <c r="AW1070" s="49"/>
      <c r="AX1070" s="49"/>
      <c r="AY1070" s="49"/>
      <c r="AZ1070" s="49"/>
      <c r="BA1070" s="49"/>
      <c r="BB1070" s="49"/>
      <c r="BC1070" s="49"/>
      <c r="BD1070" s="49"/>
      <c r="BE1070" s="49"/>
      <c r="BF1070" s="68"/>
    </row>
    <row r="1071" spans="1:58" s="51" customFormat="1" ht="14.25" customHeight="1">
      <c r="A1071" s="1126"/>
      <c r="B1071" s="868"/>
      <c r="C1071" s="190"/>
      <c r="D1071" s="84">
        <v>2025</v>
      </c>
      <c r="E1071" s="85">
        <f t="shared" si="366"/>
        <v>0</v>
      </c>
      <c r="F1071" s="85">
        <f t="shared" si="366"/>
        <v>0</v>
      </c>
      <c r="G1071" s="85">
        <f t="shared" si="366"/>
        <v>0</v>
      </c>
      <c r="H1071" s="85">
        <f t="shared" si="366"/>
        <v>0</v>
      </c>
      <c r="I1071" s="85">
        <f t="shared" si="366"/>
        <v>0</v>
      </c>
      <c r="J1071" s="85">
        <f t="shared" si="366"/>
        <v>0</v>
      </c>
      <c r="K1071" s="76">
        <v>0</v>
      </c>
      <c r="L1071" s="497">
        <f t="shared" si="363"/>
        <v>0</v>
      </c>
      <c r="M1071" s="366"/>
      <c r="N1071" s="88"/>
      <c r="O1071" s="580"/>
      <c r="P1071" s="556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49"/>
      <c r="AU1071" s="49"/>
      <c r="AV1071" s="49"/>
      <c r="AW1071" s="49"/>
      <c r="AX1071" s="49"/>
      <c r="AY1071" s="49"/>
      <c r="AZ1071" s="49"/>
      <c r="BA1071" s="49"/>
      <c r="BB1071" s="49"/>
      <c r="BC1071" s="49"/>
      <c r="BD1071" s="49"/>
      <c r="BE1071" s="49"/>
      <c r="BF1071" s="68"/>
    </row>
    <row r="1072" spans="1:58" s="51" customFormat="1" ht="14.25" customHeight="1">
      <c r="A1072" s="1126"/>
      <c r="B1072" s="868"/>
      <c r="C1072" s="190"/>
      <c r="D1072" s="84">
        <v>2026</v>
      </c>
      <c r="E1072" s="85">
        <f t="shared" si="366"/>
        <v>0</v>
      </c>
      <c r="F1072" s="85">
        <f t="shared" si="366"/>
        <v>0</v>
      </c>
      <c r="G1072" s="85">
        <f t="shared" si="366"/>
        <v>0</v>
      </c>
      <c r="H1072" s="85">
        <f t="shared" si="366"/>
        <v>0</v>
      </c>
      <c r="I1072" s="85">
        <f t="shared" si="366"/>
        <v>0</v>
      </c>
      <c r="J1072" s="85">
        <f t="shared" si="366"/>
        <v>0</v>
      </c>
      <c r="K1072" s="76">
        <v>0</v>
      </c>
      <c r="L1072" s="497">
        <f t="shared" si="363"/>
        <v>0</v>
      </c>
      <c r="M1072" s="366"/>
      <c r="N1072" s="88"/>
      <c r="O1072" s="580"/>
      <c r="P1072" s="556"/>
      <c r="Q1072" s="49"/>
      <c r="R1072" s="49"/>
      <c r="S1072" s="49"/>
      <c r="T1072" s="49"/>
      <c r="U1072" s="49"/>
      <c r="V1072" s="49"/>
      <c r="W1072" s="49"/>
      <c r="X1072" s="49"/>
      <c r="Y1072" s="49"/>
      <c r="Z1072" s="49"/>
      <c r="AA1072" s="49"/>
      <c r="AB1072" s="49"/>
      <c r="AC1072" s="49"/>
      <c r="AD1072" s="49"/>
      <c r="AE1072" s="49"/>
      <c r="AF1072" s="49"/>
      <c r="AG1072" s="49"/>
      <c r="AH1072" s="49"/>
      <c r="AI1072" s="49"/>
      <c r="AJ1072" s="49"/>
      <c r="AK1072" s="49"/>
      <c r="AL1072" s="49"/>
      <c r="AM1072" s="49"/>
      <c r="AN1072" s="49"/>
      <c r="AO1072" s="49"/>
      <c r="AP1072" s="49"/>
      <c r="AQ1072" s="49"/>
      <c r="AR1072" s="49"/>
      <c r="AS1072" s="49"/>
      <c r="AT1072" s="49"/>
      <c r="AU1072" s="49"/>
      <c r="AV1072" s="49"/>
      <c r="AW1072" s="49"/>
      <c r="AX1072" s="49"/>
      <c r="AY1072" s="49"/>
      <c r="AZ1072" s="49"/>
      <c r="BA1072" s="49"/>
      <c r="BB1072" s="49"/>
      <c r="BC1072" s="49"/>
      <c r="BD1072" s="49"/>
      <c r="BE1072" s="49"/>
      <c r="BF1072" s="68"/>
    </row>
    <row r="1073" spans="1:58" s="51" customFormat="1" ht="14.25" customHeight="1">
      <c r="A1073" s="1126"/>
      <c r="B1073" s="868"/>
      <c r="C1073" s="190"/>
      <c r="D1073" s="84">
        <v>2027</v>
      </c>
      <c r="E1073" s="85">
        <f t="shared" si="366"/>
        <v>0</v>
      </c>
      <c r="F1073" s="85">
        <f t="shared" si="366"/>
        <v>0</v>
      </c>
      <c r="G1073" s="85">
        <f t="shared" si="366"/>
        <v>0</v>
      </c>
      <c r="H1073" s="85">
        <f t="shared" si="366"/>
        <v>0</v>
      </c>
      <c r="I1073" s="85">
        <f t="shared" si="366"/>
        <v>0</v>
      </c>
      <c r="J1073" s="85">
        <f t="shared" si="366"/>
        <v>0</v>
      </c>
      <c r="K1073" s="76">
        <v>0</v>
      </c>
      <c r="L1073" s="497">
        <f t="shared" si="363"/>
        <v>0</v>
      </c>
      <c r="M1073" s="366"/>
      <c r="N1073" s="88"/>
      <c r="O1073" s="580"/>
      <c r="P1073" s="556"/>
      <c r="Q1073" s="49"/>
      <c r="R1073" s="49"/>
      <c r="S1073" s="49"/>
      <c r="T1073" s="49"/>
      <c r="U1073" s="49"/>
      <c r="V1073" s="49"/>
      <c r="W1073" s="49"/>
      <c r="X1073" s="49"/>
      <c r="Y1073" s="49"/>
      <c r="Z1073" s="49"/>
      <c r="AA1073" s="49"/>
      <c r="AB1073" s="49"/>
      <c r="AC1073" s="49"/>
      <c r="AD1073" s="49"/>
      <c r="AE1073" s="49"/>
      <c r="AF1073" s="49"/>
      <c r="AG1073" s="49"/>
      <c r="AH1073" s="49"/>
      <c r="AI1073" s="49"/>
      <c r="AJ1073" s="49"/>
      <c r="AK1073" s="49"/>
      <c r="AL1073" s="49"/>
      <c r="AM1073" s="49"/>
      <c r="AN1073" s="49"/>
      <c r="AO1073" s="49"/>
      <c r="AP1073" s="49"/>
      <c r="AQ1073" s="49"/>
      <c r="AR1073" s="49"/>
      <c r="AS1073" s="49"/>
      <c r="AT1073" s="49"/>
      <c r="AU1073" s="49"/>
      <c r="AV1073" s="49"/>
      <c r="AW1073" s="49"/>
      <c r="AX1073" s="49"/>
      <c r="AY1073" s="49"/>
      <c r="AZ1073" s="49"/>
      <c r="BA1073" s="49"/>
      <c r="BB1073" s="49"/>
      <c r="BC1073" s="49"/>
      <c r="BD1073" s="49"/>
      <c r="BE1073" s="49"/>
      <c r="BF1073" s="68"/>
    </row>
    <row r="1074" spans="1:58" s="51" customFormat="1" ht="14.25" customHeight="1">
      <c r="A1074" s="1126"/>
      <c r="B1074" s="868"/>
      <c r="C1074" s="190"/>
      <c r="D1074" s="84">
        <v>2028</v>
      </c>
      <c r="E1074" s="85">
        <f t="shared" si="366"/>
        <v>0</v>
      </c>
      <c r="F1074" s="85">
        <f t="shared" si="366"/>
        <v>0</v>
      </c>
      <c r="G1074" s="85">
        <f t="shared" si="366"/>
        <v>0</v>
      </c>
      <c r="H1074" s="85">
        <f t="shared" si="366"/>
        <v>0</v>
      </c>
      <c r="I1074" s="85">
        <f t="shared" si="366"/>
        <v>0</v>
      </c>
      <c r="J1074" s="85">
        <f t="shared" si="366"/>
        <v>0</v>
      </c>
      <c r="K1074" s="76">
        <v>0</v>
      </c>
      <c r="L1074" s="497">
        <f t="shared" si="363"/>
        <v>0</v>
      </c>
      <c r="M1074" s="366"/>
      <c r="N1074" s="88"/>
      <c r="O1074" s="580"/>
      <c r="P1074" s="556"/>
      <c r="Q1074" s="49"/>
      <c r="R1074" s="49"/>
      <c r="S1074" s="49"/>
      <c r="T1074" s="49"/>
      <c r="U1074" s="49"/>
      <c r="V1074" s="49"/>
      <c r="W1074" s="49"/>
      <c r="X1074" s="49"/>
      <c r="Y1074" s="49"/>
      <c r="Z1074" s="49"/>
      <c r="AA1074" s="49"/>
      <c r="AB1074" s="49"/>
      <c r="AC1074" s="49"/>
      <c r="AD1074" s="49"/>
      <c r="AE1074" s="49"/>
      <c r="AF1074" s="49"/>
      <c r="AG1074" s="49"/>
      <c r="AH1074" s="49"/>
      <c r="AI1074" s="49"/>
      <c r="AJ1074" s="49"/>
      <c r="AK1074" s="49"/>
      <c r="AL1074" s="49"/>
      <c r="AM1074" s="49"/>
      <c r="AN1074" s="49"/>
      <c r="AO1074" s="49"/>
      <c r="AP1074" s="49"/>
      <c r="AQ1074" s="49"/>
      <c r="AR1074" s="49"/>
      <c r="AS1074" s="49"/>
      <c r="AT1074" s="49"/>
      <c r="AU1074" s="49"/>
      <c r="AV1074" s="49"/>
      <c r="AW1074" s="49"/>
      <c r="AX1074" s="49"/>
      <c r="AY1074" s="49"/>
      <c r="AZ1074" s="49"/>
      <c r="BA1074" s="49"/>
      <c r="BB1074" s="49"/>
      <c r="BC1074" s="49"/>
      <c r="BD1074" s="49"/>
      <c r="BE1074" s="49"/>
      <c r="BF1074" s="68"/>
    </row>
    <row r="1075" spans="1:58" s="51" customFormat="1" ht="14.25" customHeight="1">
      <c r="A1075" s="1126"/>
      <c r="B1075" s="868"/>
      <c r="C1075" s="190"/>
      <c r="D1075" s="84">
        <v>2029</v>
      </c>
      <c r="E1075" s="85">
        <f t="shared" si="366"/>
        <v>0</v>
      </c>
      <c r="F1075" s="85">
        <f t="shared" si="366"/>
        <v>0</v>
      </c>
      <c r="G1075" s="85">
        <f t="shared" si="366"/>
        <v>0</v>
      </c>
      <c r="H1075" s="85">
        <f t="shared" si="366"/>
        <v>0</v>
      </c>
      <c r="I1075" s="85">
        <f t="shared" si="366"/>
        <v>0</v>
      </c>
      <c r="J1075" s="85">
        <f t="shared" si="366"/>
        <v>0</v>
      </c>
      <c r="K1075" s="76">
        <v>0</v>
      </c>
      <c r="L1075" s="497">
        <f t="shared" si="363"/>
        <v>0</v>
      </c>
      <c r="M1075" s="366"/>
      <c r="N1075" s="88"/>
      <c r="O1075" s="580"/>
      <c r="P1075" s="556"/>
      <c r="Q1075" s="49"/>
      <c r="R1075" s="49"/>
      <c r="S1075" s="49"/>
      <c r="T1075" s="49"/>
      <c r="U1075" s="49"/>
      <c r="V1075" s="49"/>
      <c r="W1075" s="49"/>
      <c r="X1075" s="49"/>
      <c r="Y1075" s="49"/>
      <c r="Z1075" s="49"/>
      <c r="AA1075" s="49"/>
      <c r="AB1075" s="49"/>
      <c r="AC1075" s="49"/>
      <c r="AD1075" s="49"/>
      <c r="AE1075" s="49"/>
      <c r="AF1075" s="49"/>
      <c r="AG1075" s="49"/>
      <c r="AH1075" s="49"/>
      <c r="AI1075" s="49"/>
      <c r="AJ1075" s="49"/>
      <c r="AK1075" s="49"/>
      <c r="AL1075" s="49"/>
      <c r="AM1075" s="49"/>
      <c r="AN1075" s="49"/>
      <c r="AO1075" s="49"/>
      <c r="AP1075" s="49"/>
      <c r="AQ1075" s="49"/>
      <c r="AR1075" s="49"/>
      <c r="AS1075" s="49"/>
      <c r="AT1075" s="49"/>
      <c r="AU1075" s="49"/>
      <c r="AV1075" s="49"/>
      <c r="AW1075" s="49"/>
      <c r="AX1075" s="49"/>
      <c r="AY1075" s="49"/>
      <c r="AZ1075" s="49"/>
      <c r="BA1075" s="49"/>
      <c r="BB1075" s="49"/>
      <c r="BC1075" s="49"/>
      <c r="BD1075" s="49"/>
      <c r="BE1075" s="49"/>
      <c r="BF1075" s="68"/>
    </row>
    <row r="1076" spans="1:58" s="51" customFormat="1" ht="14.25" customHeight="1">
      <c r="A1076" s="1127"/>
      <c r="B1076" s="869"/>
      <c r="C1076" s="192"/>
      <c r="D1076" s="84">
        <v>2030</v>
      </c>
      <c r="E1076" s="85">
        <f t="shared" si="366"/>
        <v>0</v>
      </c>
      <c r="F1076" s="85">
        <f t="shared" si="366"/>
        <v>0</v>
      </c>
      <c r="G1076" s="85">
        <f t="shared" si="366"/>
        <v>0</v>
      </c>
      <c r="H1076" s="85">
        <f t="shared" si="366"/>
        <v>0</v>
      </c>
      <c r="I1076" s="85">
        <f t="shared" si="366"/>
        <v>0</v>
      </c>
      <c r="J1076" s="85">
        <f t="shared" si="366"/>
        <v>0</v>
      </c>
      <c r="K1076" s="76">
        <v>0</v>
      </c>
      <c r="L1076" s="497">
        <f t="shared" si="363"/>
        <v>0</v>
      </c>
      <c r="M1076" s="366"/>
      <c r="N1076" s="88"/>
      <c r="O1076" s="580"/>
      <c r="P1076" s="556"/>
      <c r="Q1076" s="49"/>
      <c r="R1076" s="49"/>
      <c r="S1076" s="49"/>
      <c r="T1076" s="49"/>
      <c r="U1076" s="49"/>
      <c r="V1076" s="49"/>
      <c r="W1076" s="49"/>
      <c r="X1076" s="49"/>
      <c r="Y1076" s="49"/>
      <c r="Z1076" s="49"/>
      <c r="AA1076" s="49"/>
      <c r="AB1076" s="49"/>
      <c r="AC1076" s="49"/>
      <c r="AD1076" s="49"/>
      <c r="AE1076" s="49"/>
      <c r="AF1076" s="49"/>
      <c r="AG1076" s="49"/>
      <c r="AH1076" s="49"/>
      <c r="AI1076" s="49"/>
      <c r="AJ1076" s="49"/>
      <c r="AK1076" s="49"/>
      <c r="AL1076" s="49"/>
      <c r="AM1076" s="49"/>
      <c r="AN1076" s="49"/>
      <c r="AO1076" s="49"/>
      <c r="AP1076" s="49"/>
      <c r="AQ1076" s="49"/>
      <c r="AR1076" s="49"/>
      <c r="AS1076" s="49"/>
      <c r="AT1076" s="49"/>
      <c r="AU1076" s="49"/>
      <c r="AV1076" s="49"/>
      <c r="AW1076" s="49"/>
      <c r="AX1076" s="49"/>
      <c r="AY1076" s="49"/>
      <c r="AZ1076" s="49"/>
      <c r="BA1076" s="49"/>
      <c r="BB1076" s="49"/>
      <c r="BC1076" s="49"/>
      <c r="BD1076" s="49"/>
      <c r="BE1076" s="49"/>
      <c r="BF1076" s="68"/>
    </row>
    <row r="1077" spans="1:58" s="51" customFormat="1" ht="14.25" customHeight="1">
      <c r="A1077" s="794" t="s">
        <v>978</v>
      </c>
      <c r="B1077" s="867" t="s">
        <v>976</v>
      </c>
      <c r="C1077" s="881"/>
      <c r="D1077" s="84" t="s">
        <v>16</v>
      </c>
      <c r="E1077" s="85">
        <f t="shared" ref="E1077:J1077" si="367">E1078+E1079+E1080+E1081+E1082+E1083+E1084+E1085+E1086+E1087+E1088+E1089</f>
        <v>0</v>
      </c>
      <c r="F1077" s="85">
        <f t="shared" si="367"/>
        <v>0</v>
      </c>
      <c r="G1077" s="85">
        <f t="shared" si="367"/>
        <v>0</v>
      </c>
      <c r="H1077" s="85">
        <f t="shared" si="367"/>
        <v>0</v>
      </c>
      <c r="I1077" s="85">
        <f t="shared" si="367"/>
        <v>0</v>
      </c>
      <c r="J1077" s="85">
        <f t="shared" si="367"/>
        <v>0</v>
      </c>
      <c r="K1077" s="76">
        <v>0</v>
      </c>
      <c r="L1077" s="497">
        <f t="shared" si="363"/>
        <v>0</v>
      </c>
      <c r="M1077" s="366"/>
      <c r="N1077" s="88"/>
      <c r="O1077" s="580"/>
      <c r="P1077" s="842" t="s">
        <v>527</v>
      </c>
      <c r="Q1077" s="49"/>
      <c r="R1077" s="49"/>
      <c r="S1077" s="49"/>
      <c r="T1077" s="49"/>
      <c r="U1077" s="49"/>
      <c r="V1077" s="49"/>
      <c r="W1077" s="49"/>
      <c r="X1077" s="49"/>
      <c r="Y1077" s="49"/>
      <c r="Z1077" s="49"/>
      <c r="AA1077" s="49"/>
      <c r="AB1077" s="49"/>
      <c r="AC1077" s="49"/>
      <c r="AD1077" s="49"/>
      <c r="AE1077" s="49"/>
      <c r="AF1077" s="49"/>
      <c r="AG1077" s="49"/>
      <c r="AH1077" s="49"/>
      <c r="AI1077" s="49"/>
      <c r="AJ1077" s="49"/>
      <c r="AK1077" s="49"/>
      <c r="AL1077" s="49"/>
      <c r="AM1077" s="49"/>
      <c r="AN1077" s="49"/>
      <c r="AO1077" s="49"/>
      <c r="AP1077" s="49"/>
      <c r="AQ1077" s="49"/>
      <c r="AR1077" s="49"/>
      <c r="AS1077" s="49"/>
      <c r="AT1077" s="49"/>
      <c r="AU1077" s="49"/>
      <c r="AV1077" s="49"/>
      <c r="AW1077" s="49"/>
      <c r="AX1077" s="49"/>
      <c r="AY1077" s="49"/>
      <c r="AZ1077" s="49"/>
      <c r="BA1077" s="49"/>
      <c r="BB1077" s="49"/>
      <c r="BC1077" s="49"/>
      <c r="BD1077" s="49"/>
      <c r="BE1077" s="49"/>
      <c r="BF1077" s="68"/>
    </row>
    <row r="1078" spans="1:58" s="51" customFormat="1" ht="14.25" customHeight="1">
      <c r="A1078" s="1126"/>
      <c r="B1078" s="872"/>
      <c r="C1078" s="1125"/>
      <c r="D1078" s="62">
        <v>2019</v>
      </c>
      <c r="E1078" s="63">
        <v>0</v>
      </c>
      <c r="F1078" s="63">
        <v>0</v>
      </c>
      <c r="G1078" s="63">
        <v>0</v>
      </c>
      <c r="H1078" s="63">
        <v>0</v>
      </c>
      <c r="I1078" s="63">
        <v>0</v>
      </c>
      <c r="J1078" s="63">
        <v>0</v>
      </c>
      <c r="K1078" s="76">
        <v>0</v>
      </c>
      <c r="L1078" s="497">
        <f t="shared" si="363"/>
        <v>0</v>
      </c>
      <c r="M1078" s="366"/>
      <c r="N1078" s="88"/>
      <c r="O1078" s="580"/>
      <c r="P1078" s="1125"/>
      <c r="Q1078" s="49"/>
      <c r="R1078" s="49"/>
      <c r="S1078" s="49"/>
      <c r="T1078" s="49"/>
      <c r="U1078" s="49"/>
      <c r="V1078" s="49"/>
      <c r="W1078" s="49"/>
      <c r="X1078" s="49"/>
      <c r="Y1078" s="49"/>
      <c r="Z1078" s="49"/>
      <c r="AA1078" s="49"/>
      <c r="AB1078" s="49"/>
      <c r="AC1078" s="49"/>
      <c r="AD1078" s="49"/>
      <c r="AE1078" s="49"/>
      <c r="AF1078" s="49"/>
      <c r="AG1078" s="49"/>
      <c r="AH1078" s="49"/>
      <c r="AI1078" s="49"/>
      <c r="AJ1078" s="49"/>
      <c r="AK1078" s="49"/>
      <c r="AL1078" s="49"/>
      <c r="AM1078" s="49"/>
      <c r="AN1078" s="49"/>
      <c r="AO1078" s="49"/>
      <c r="AP1078" s="49"/>
      <c r="AQ1078" s="49"/>
      <c r="AR1078" s="49"/>
      <c r="AS1078" s="49"/>
      <c r="AT1078" s="49"/>
      <c r="AU1078" s="49"/>
      <c r="AV1078" s="49"/>
      <c r="AW1078" s="49"/>
      <c r="AX1078" s="49"/>
      <c r="AY1078" s="49"/>
      <c r="AZ1078" s="49"/>
      <c r="BA1078" s="49"/>
      <c r="BB1078" s="49"/>
      <c r="BC1078" s="49"/>
      <c r="BD1078" s="49"/>
      <c r="BE1078" s="49"/>
      <c r="BF1078" s="68"/>
    </row>
    <row r="1079" spans="1:58" s="51" customFormat="1" ht="14.25" customHeight="1">
      <c r="A1079" s="1126"/>
      <c r="B1079" s="872"/>
      <c r="C1079" s="1125"/>
      <c r="D1079" s="62">
        <v>2020</v>
      </c>
      <c r="E1079" s="63">
        <v>0</v>
      </c>
      <c r="F1079" s="63">
        <v>0</v>
      </c>
      <c r="G1079" s="63">
        <v>0</v>
      </c>
      <c r="H1079" s="63">
        <v>0</v>
      </c>
      <c r="I1079" s="63">
        <v>0</v>
      </c>
      <c r="J1079" s="63">
        <v>0</v>
      </c>
      <c r="K1079" s="76">
        <v>0</v>
      </c>
      <c r="L1079" s="497">
        <f t="shared" si="363"/>
        <v>0</v>
      </c>
      <c r="M1079" s="366"/>
      <c r="N1079" s="88"/>
      <c r="O1079" s="580"/>
      <c r="P1079" s="1125"/>
      <c r="Q1079" s="49"/>
      <c r="R1079" s="49"/>
      <c r="S1079" s="49"/>
      <c r="T1079" s="49"/>
      <c r="U1079" s="49"/>
      <c r="V1079" s="49"/>
      <c r="W1079" s="49"/>
      <c r="X1079" s="49"/>
      <c r="Y1079" s="49"/>
      <c r="Z1079" s="49"/>
      <c r="AA1079" s="49"/>
      <c r="AB1079" s="49"/>
      <c r="AC1079" s="49"/>
      <c r="AD1079" s="49"/>
      <c r="AE1079" s="49"/>
      <c r="AF1079" s="49"/>
      <c r="AG1079" s="49"/>
      <c r="AH1079" s="49"/>
      <c r="AI1079" s="49"/>
      <c r="AJ1079" s="49"/>
      <c r="AK1079" s="49"/>
      <c r="AL1079" s="49"/>
      <c r="AM1079" s="49"/>
      <c r="AN1079" s="49"/>
      <c r="AO1079" s="49"/>
      <c r="AP1079" s="49"/>
      <c r="AQ1079" s="49"/>
      <c r="AR1079" s="49"/>
      <c r="AS1079" s="49"/>
      <c r="AT1079" s="49"/>
      <c r="AU1079" s="49"/>
      <c r="AV1079" s="49"/>
      <c r="AW1079" s="49"/>
      <c r="AX1079" s="49"/>
      <c r="AY1079" s="49"/>
      <c r="AZ1079" s="49"/>
      <c r="BA1079" s="49"/>
      <c r="BB1079" s="49"/>
      <c r="BC1079" s="49"/>
      <c r="BD1079" s="49"/>
      <c r="BE1079" s="49"/>
      <c r="BF1079" s="68"/>
    </row>
    <row r="1080" spans="1:58" s="51" customFormat="1" ht="14.25" customHeight="1">
      <c r="A1080" s="1126"/>
      <c r="B1080" s="872"/>
      <c r="C1080" s="1125"/>
      <c r="D1080" s="62">
        <v>2021</v>
      </c>
      <c r="E1080" s="63">
        <v>0</v>
      </c>
      <c r="F1080" s="63">
        <v>0</v>
      </c>
      <c r="G1080" s="63">
        <v>0</v>
      </c>
      <c r="H1080" s="63">
        <v>0</v>
      </c>
      <c r="I1080" s="63">
        <v>0</v>
      </c>
      <c r="J1080" s="63">
        <v>0</v>
      </c>
      <c r="K1080" s="76">
        <v>0</v>
      </c>
      <c r="L1080" s="497">
        <f t="shared" si="363"/>
        <v>0</v>
      </c>
      <c r="M1080" s="366"/>
      <c r="N1080" s="88"/>
      <c r="O1080" s="580"/>
      <c r="P1080" s="1125"/>
      <c r="Q1080" s="49"/>
      <c r="R1080" s="49"/>
      <c r="S1080" s="49"/>
      <c r="T1080" s="49"/>
      <c r="U1080" s="49"/>
      <c r="V1080" s="49"/>
      <c r="W1080" s="49"/>
      <c r="X1080" s="49"/>
      <c r="Y1080" s="49"/>
      <c r="Z1080" s="49"/>
      <c r="AA1080" s="49"/>
      <c r="AB1080" s="49"/>
      <c r="AC1080" s="49"/>
      <c r="AD1080" s="49"/>
      <c r="AE1080" s="49"/>
      <c r="AF1080" s="49"/>
      <c r="AG1080" s="49"/>
      <c r="AH1080" s="49"/>
      <c r="AI1080" s="49"/>
      <c r="AJ1080" s="49"/>
      <c r="AK1080" s="49"/>
      <c r="AL1080" s="49"/>
      <c r="AM1080" s="49"/>
      <c r="AN1080" s="49"/>
      <c r="AO1080" s="49"/>
      <c r="AP1080" s="49"/>
      <c r="AQ1080" s="49"/>
      <c r="AR1080" s="49"/>
      <c r="AS1080" s="49"/>
      <c r="AT1080" s="49"/>
      <c r="AU1080" s="49"/>
      <c r="AV1080" s="49"/>
      <c r="AW1080" s="49"/>
      <c r="AX1080" s="49"/>
      <c r="AY1080" s="49"/>
      <c r="AZ1080" s="49"/>
      <c r="BA1080" s="49"/>
      <c r="BB1080" s="49"/>
      <c r="BC1080" s="49"/>
      <c r="BD1080" s="49"/>
      <c r="BE1080" s="49"/>
      <c r="BF1080" s="68"/>
    </row>
    <row r="1081" spans="1:58" s="51" customFormat="1" ht="14.25" customHeight="1">
      <c r="A1081" s="1126"/>
      <c r="B1081" s="872"/>
      <c r="C1081" s="1125"/>
      <c r="D1081" s="62">
        <v>2022</v>
      </c>
      <c r="E1081" s="63">
        <v>0</v>
      </c>
      <c r="F1081" s="63">
        <v>0</v>
      </c>
      <c r="G1081" s="63">
        <v>0</v>
      </c>
      <c r="H1081" s="63">
        <v>0</v>
      </c>
      <c r="I1081" s="63">
        <v>0</v>
      </c>
      <c r="J1081" s="63">
        <v>0</v>
      </c>
      <c r="K1081" s="76">
        <v>0</v>
      </c>
      <c r="L1081" s="497">
        <f t="shared" ref="L1081:L1112" si="368">F1081+G1081+H1081+I1081+J1081</f>
        <v>0</v>
      </c>
      <c r="M1081" s="366"/>
      <c r="N1081" s="88"/>
      <c r="O1081" s="580"/>
      <c r="P1081" s="1125"/>
      <c r="Q1081" s="49"/>
      <c r="R1081" s="49"/>
      <c r="S1081" s="49"/>
      <c r="T1081" s="49"/>
      <c r="U1081" s="49"/>
      <c r="V1081" s="49"/>
      <c r="W1081" s="49"/>
      <c r="X1081" s="49"/>
      <c r="Y1081" s="49"/>
      <c r="Z1081" s="49"/>
      <c r="AA1081" s="49"/>
      <c r="AB1081" s="49"/>
      <c r="AC1081" s="49"/>
      <c r="AD1081" s="49"/>
      <c r="AE1081" s="49"/>
      <c r="AF1081" s="49"/>
      <c r="AG1081" s="49"/>
      <c r="AH1081" s="49"/>
      <c r="AI1081" s="49"/>
      <c r="AJ1081" s="49"/>
      <c r="AK1081" s="49"/>
      <c r="AL1081" s="49"/>
      <c r="AM1081" s="49"/>
      <c r="AN1081" s="49"/>
      <c r="AO1081" s="49"/>
      <c r="AP1081" s="49"/>
      <c r="AQ1081" s="49"/>
      <c r="AR1081" s="49"/>
      <c r="AS1081" s="49"/>
      <c r="AT1081" s="49"/>
      <c r="AU1081" s="49"/>
      <c r="AV1081" s="49"/>
      <c r="AW1081" s="49"/>
      <c r="AX1081" s="49"/>
      <c r="AY1081" s="49"/>
      <c r="AZ1081" s="49"/>
      <c r="BA1081" s="49"/>
      <c r="BB1081" s="49"/>
      <c r="BC1081" s="49"/>
      <c r="BD1081" s="49"/>
      <c r="BE1081" s="49"/>
      <c r="BF1081" s="68"/>
    </row>
    <row r="1082" spans="1:58" s="51" customFormat="1" ht="14.25" customHeight="1">
      <c r="A1082" s="1126"/>
      <c r="B1082" s="872"/>
      <c r="C1082" s="1125"/>
      <c r="D1082" s="62">
        <v>2023</v>
      </c>
      <c r="E1082" s="63">
        <v>0</v>
      </c>
      <c r="F1082" s="63">
        <v>0</v>
      </c>
      <c r="G1082" s="63">
        <v>0</v>
      </c>
      <c r="H1082" s="63">
        <v>0</v>
      </c>
      <c r="I1082" s="63">
        <v>0</v>
      </c>
      <c r="J1082" s="63">
        <v>0</v>
      </c>
      <c r="K1082" s="76">
        <v>0</v>
      </c>
      <c r="L1082" s="497">
        <f t="shared" si="368"/>
        <v>0</v>
      </c>
      <c r="M1082" s="366"/>
      <c r="N1082" s="88"/>
      <c r="O1082" s="580"/>
      <c r="P1082" s="1125"/>
      <c r="Q1082" s="49"/>
      <c r="R1082" s="49"/>
      <c r="S1082" s="49"/>
      <c r="T1082" s="49"/>
      <c r="U1082" s="49"/>
      <c r="V1082" s="49"/>
      <c r="W1082" s="49"/>
      <c r="X1082" s="49"/>
      <c r="Y1082" s="49"/>
      <c r="Z1082" s="49"/>
      <c r="AA1082" s="49"/>
      <c r="AB1082" s="49"/>
      <c r="AC1082" s="49"/>
      <c r="AD1082" s="49"/>
      <c r="AE1082" s="49"/>
      <c r="AF1082" s="49"/>
      <c r="AG1082" s="49"/>
      <c r="AH1082" s="49"/>
      <c r="AI1082" s="49"/>
      <c r="AJ1082" s="49"/>
      <c r="AK1082" s="49"/>
      <c r="AL1082" s="49"/>
      <c r="AM1082" s="49"/>
      <c r="AN1082" s="49"/>
      <c r="AO1082" s="49"/>
      <c r="AP1082" s="49"/>
      <c r="AQ1082" s="49"/>
      <c r="AR1082" s="49"/>
      <c r="AS1082" s="49"/>
      <c r="AT1082" s="49"/>
      <c r="AU1082" s="49"/>
      <c r="AV1082" s="49"/>
      <c r="AW1082" s="49"/>
      <c r="AX1082" s="49"/>
      <c r="AY1082" s="49"/>
      <c r="AZ1082" s="49"/>
      <c r="BA1082" s="49"/>
      <c r="BB1082" s="49"/>
      <c r="BC1082" s="49"/>
      <c r="BD1082" s="49"/>
      <c r="BE1082" s="49"/>
      <c r="BF1082" s="68"/>
    </row>
    <row r="1083" spans="1:58" s="51" customFormat="1" ht="14.25" customHeight="1">
      <c r="A1083" s="1126"/>
      <c r="B1083" s="872"/>
      <c r="C1083" s="1125"/>
      <c r="D1083" s="62">
        <v>2024</v>
      </c>
      <c r="E1083" s="63">
        <v>0</v>
      </c>
      <c r="F1083" s="63">
        <v>0</v>
      </c>
      <c r="G1083" s="63">
        <v>0</v>
      </c>
      <c r="H1083" s="63">
        <v>0</v>
      </c>
      <c r="I1083" s="63">
        <v>0</v>
      </c>
      <c r="J1083" s="63">
        <v>0</v>
      </c>
      <c r="K1083" s="76">
        <v>0</v>
      </c>
      <c r="L1083" s="497">
        <f t="shared" si="368"/>
        <v>0</v>
      </c>
      <c r="M1083" s="366"/>
      <c r="N1083" s="88"/>
      <c r="O1083" s="580"/>
      <c r="P1083" s="1125"/>
      <c r="Q1083" s="49"/>
      <c r="R1083" s="49"/>
      <c r="S1083" s="49"/>
      <c r="T1083" s="49"/>
      <c r="U1083" s="49"/>
      <c r="V1083" s="49"/>
      <c r="W1083" s="49"/>
      <c r="X1083" s="49"/>
      <c r="Y1083" s="49"/>
      <c r="Z1083" s="49"/>
      <c r="AA1083" s="49"/>
      <c r="AB1083" s="49"/>
      <c r="AC1083" s="49"/>
      <c r="AD1083" s="49"/>
      <c r="AE1083" s="49"/>
      <c r="AF1083" s="49"/>
      <c r="AG1083" s="49"/>
      <c r="AH1083" s="49"/>
      <c r="AI1083" s="49"/>
      <c r="AJ1083" s="49"/>
      <c r="AK1083" s="49"/>
      <c r="AL1083" s="49"/>
      <c r="AM1083" s="49"/>
      <c r="AN1083" s="49"/>
      <c r="AO1083" s="49"/>
      <c r="AP1083" s="49"/>
      <c r="AQ1083" s="49"/>
      <c r="AR1083" s="49"/>
      <c r="AS1083" s="49"/>
      <c r="AT1083" s="49"/>
      <c r="AU1083" s="49"/>
      <c r="AV1083" s="49"/>
      <c r="AW1083" s="49"/>
      <c r="AX1083" s="49"/>
      <c r="AY1083" s="49"/>
      <c r="AZ1083" s="49"/>
      <c r="BA1083" s="49"/>
      <c r="BB1083" s="49"/>
      <c r="BC1083" s="49"/>
      <c r="BD1083" s="49"/>
      <c r="BE1083" s="49"/>
      <c r="BF1083" s="68"/>
    </row>
    <row r="1084" spans="1:58" s="51" customFormat="1" ht="14.25" customHeight="1">
      <c r="A1084" s="1126"/>
      <c r="B1084" s="872"/>
      <c r="C1084" s="1125"/>
      <c r="D1084" s="62">
        <v>2025</v>
      </c>
      <c r="E1084" s="63">
        <v>0</v>
      </c>
      <c r="F1084" s="63">
        <v>0</v>
      </c>
      <c r="G1084" s="63">
        <v>0</v>
      </c>
      <c r="H1084" s="63">
        <v>0</v>
      </c>
      <c r="I1084" s="63">
        <v>0</v>
      </c>
      <c r="J1084" s="63">
        <v>0</v>
      </c>
      <c r="K1084" s="76">
        <v>0</v>
      </c>
      <c r="L1084" s="497">
        <f t="shared" si="368"/>
        <v>0</v>
      </c>
      <c r="M1084" s="366"/>
      <c r="N1084" s="88"/>
      <c r="O1084" s="580"/>
      <c r="P1084" s="1125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49"/>
      <c r="AU1084" s="49"/>
      <c r="AV1084" s="49"/>
      <c r="AW1084" s="49"/>
      <c r="AX1084" s="49"/>
      <c r="AY1084" s="49"/>
      <c r="AZ1084" s="49"/>
      <c r="BA1084" s="49"/>
      <c r="BB1084" s="49"/>
      <c r="BC1084" s="49"/>
      <c r="BD1084" s="49"/>
      <c r="BE1084" s="49"/>
      <c r="BF1084" s="68"/>
    </row>
    <row r="1085" spans="1:58" s="51" customFormat="1" ht="14.25" customHeight="1">
      <c r="A1085" s="1126"/>
      <c r="B1085" s="872"/>
      <c r="C1085" s="1125"/>
      <c r="D1085" s="62">
        <v>2026</v>
      </c>
      <c r="E1085" s="63">
        <v>0</v>
      </c>
      <c r="F1085" s="63">
        <v>0</v>
      </c>
      <c r="G1085" s="63">
        <v>0</v>
      </c>
      <c r="H1085" s="63">
        <v>0</v>
      </c>
      <c r="I1085" s="63">
        <v>0</v>
      </c>
      <c r="J1085" s="63">
        <v>0</v>
      </c>
      <c r="K1085" s="76">
        <v>0</v>
      </c>
      <c r="L1085" s="497">
        <f t="shared" si="368"/>
        <v>0</v>
      </c>
      <c r="M1085" s="366"/>
      <c r="N1085" s="88"/>
      <c r="O1085" s="580"/>
      <c r="P1085" s="1125"/>
      <c r="Q1085" s="49"/>
      <c r="R1085" s="49"/>
      <c r="S1085" s="49"/>
      <c r="T1085" s="49"/>
      <c r="U1085" s="49"/>
      <c r="V1085" s="49"/>
      <c r="W1085" s="49"/>
      <c r="X1085" s="49"/>
      <c r="Y1085" s="49"/>
      <c r="Z1085" s="49"/>
      <c r="AA1085" s="49"/>
      <c r="AB1085" s="49"/>
      <c r="AC1085" s="49"/>
      <c r="AD1085" s="49"/>
      <c r="AE1085" s="49"/>
      <c r="AF1085" s="49"/>
      <c r="AG1085" s="49"/>
      <c r="AH1085" s="49"/>
      <c r="AI1085" s="49"/>
      <c r="AJ1085" s="49"/>
      <c r="AK1085" s="49"/>
      <c r="AL1085" s="49"/>
      <c r="AM1085" s="49"/>
      <c r="AN1085" s="49"/>
      <c r="AO1085" s="49"/>
      <c r="AP1085" s="49"/>
      <c r="AQ1085" s="49"/>
      <c r="AR1085" s="49"/>
      <c r="AS1085" s="49"/>
      <c r="AT1085" s="49"/>
      <c r="AU1085" s="49"/>
      <c r="AV1085" s="49"/>
      <c r="AW1085" s="49"/>
      <c r="AX1085" s="49"/>
      <c r="AY1085" s="49"/>
      <c r="AZ1085" s="49"/>
      <c r="BA1085" s="49"/>
      <c r="BB1085" s="49"/>
      <c r="BC1085" s="49"/>
      <c r="BD1085" s="49"/>
      <c r="BE1085" s="49"/>
      <c r="BF1085" s="68"/>
    </row>
    <row r="1086" spans="1:58" s="51" customFormat="1" ht="14.25" customHeight="1">
      <c r="A1086" s="1126"/>
      <c r="B1086" s="872"/>
      <c r="C1086" s="1125"/>
      <c r="D1086" s="62">
        <v>2027</v>
      </c>
      <c r="E1086" s="63">
        <v>0</v>
      </c>
      <c r="F1086" s="63">
        <v>0</v>
      </c>
      <c r="G1086" s="63">
        <v>0</v>
      </c>
      <c r="H1086" s="63">
        <v>0</v>
      </c>
      <c r="I1086" s="63">
        <v>0</v>
      </c>
      <c r="J1086" s="63">
        <v>0</v>
      </c>
      <c r="K1086" s="76">
        <v>0</v>
      </c>
      <c r="L1086" s="497">
        <f t="shared" si="368"/>
        <v>0</v>
      </c>
      <c r="M1086" s="366"/>
      <c r="N1086" s="88"/>
      <c r="O1086" s="580"/>
      <c r="P1086" s="1125"/>
      <c r="Q1086" s="49"/>
      <c r="R1086" s="49"/>
      <c r="S1086" s="49"/>
      <c r="T1086" s="49"/>
      <c r="U1086" s="49"/>
      <c r="V1086" s="49"/>
      <c r="W1086" s="49"/>
      <c r="X1086" s="49"/>
      <c r="Y1086" s="49"/>
      <c r="Z1086" s="49"/>
      <c r="AA1086" s="49"/>
      <c r="AB1086" s="49"/>
      <c r="AC1086" s="49"/>
      <c r="AD1086" s="49"/>
      <c r="AE1086" s="49"/>
      <c r="AF1086" s="49"/>
      <c r="AG1086" s="49"/>
      <c r="AH1086" s="49"/>
      <c r="AI1086" s="49"/>
      <c r="AJ1086" s="49"/>
      <c r="AK1086" s="49"/>
      <c r="AL1086" s="49"/>
      <c r="AM1086" s="49"/>
      <c r="AN1086" s="49"/>
      <c r="AO1086" s="49"/>
      <c r="AP1086" s="49"/>
      <c r="AQ1086" s="49"/>
      <c r="AR1086" s="49"/>
      <c r="AS1086" s="49"/>
      <c r="AT1086" s="49"/>
      <c r="AU1086" s="49"/>
      <c r="AV1086" s="49"/>
      <c r="AW1086" s="49"/>
      <c r="AX1086" s="49"/>
      <c r="AY1086" s="49"/>
      <c r="AZ1086" s="49"/>
      <c r="BA1086" s="49"/>
      <c r="BB1086" s="49"/>
      <c r="BC1086" s="49"/>
      <c r="BD1086" s="49"/>
      <c r="BE1086" s="49"/>
      <c r="BF1086" s="68"/>
    </row>
    <row r="1087" spans="1:58" s="51" customFormat="1" ht="14.25" customHeight="1">
      <c r="A1087" s="1126"/>
      <c r="B1087" s="872"/>
      <c r="C1087" s="1125"/>
      <c r="D1087" s="62">
        <v>2028</v>
      </c>
      <c r="E1087" s="63">
        <v>0</v>
      </c>
      <c r="F1087" s="63">
        <v>0</v>
      </c>
      <c r="G1087" s="63">
        <v>0</v>
      </c>
      <c r="H1087" s="63">
        <v>0</v>
      </c>
      <c r="I1087" s="63">
        <v>0</v>
      </c>
      <c r="J1087" s="63">
        <v>0</v>
      </c>
      <c r="K1087" s="76">
        <v>0</v>
      </c>
      <c r="L1087" s="497">
        <f t="shared" si="368"/>
        <v>0</v>
      </c>
      <c r="M1087" s="366"/>
      <c r="N1087" s="88"/>
      <c r="O1087" s="580"/>
      <c r="P1087" s="1125"/>
      <c r="Q1087" s="49"/>
      <c r="R1087" s="49"/>
      <c r="S1087" s="49"/>
      <c r="T1087" s="49"/>
      <c r="U1087" s="49"/>
      <c r="V1087" s="49"/>
      <c r="W1087" s="49"/>
      <c r="X1087" s="49"/>
      <c r="Y1087" s="49"/>
      <c r="Z1087" s="49"/>
      <c r="AA1087" s="49"/>
      <c r="AB1087" s="49"/>
      <c r="AC1087" s="49"/>
      <c r="AD1087" s="49"/>
      <c r="AE1087" s="49"/>
      <c r="AF1087" s="49"/>
      <c r="AG1087" s="49"/>
      <c r="AH1087" s="49"/>
      <c r="AI1087" s="49"/>
      <c r="AJ1087" s="49"/>
      <c r="AK1087" s="49"/>
      <c r="AL1087" s="49"/>
      <c r="AM1087" s="49"/>
      <c r="AN1087" s="49"/>
      <c r="AO1087" s="49"/>
      <c r="AP1087" s="49"/>
      <c r="AQ1087" s="49"/>
      <c r="AR1087" s="49"/>
      <c r="AS1087" s="49"/>
      <c r="AT1087" s="49"/>
      <c r="AU1087" s="49"/>
      <c r="AV1087" s="49"/>
      <c r="AW1087" s="49"/>
      <c r="AX1087" s="49"/>
      <c r="AY1087" s="49"/>
      <c r="AZ1087" s="49"/>
      <c r="BA1087" s="49"/>
      <c r="BB1087" s="49"/>
      <c r="BC1087" s="49"/>
      <c r="BD1087" s="49"/>
      <c r="BE1087" s="49"/>
      <c r="BF1087" s="68"/>
    </row>
    <row r="1088" spans="1:58" s="51" customFormat="1" ht="14.25" customHeight="1">
      <c r="A1088" s="1126"/>
      <c r="B1088" s="872"/>
      <c r="C1088" s="1125"/>
      <c r="D1088" s="62">
        <v>2029</v>
      </c>
      <c r="E1088" s="63">
        <v>0</v>
      </c>
      <c r="F1088" s="63">
        <v>0</v>
      </c>
      <c r="G1088" s="63">
        <v>0</v>
      </c>
      <c r="H1088" s="63">
        <v>0</v>
      </c>
      <c r="I1088" s="63">
        <v>0</v>
      </c>
      <c r="J1088" s="63">
        <v>0</v>
      </c>
      <c r="K1088" s="76">
        <v>0</v>
      </c>
      <c r="L1088" s="497">
        <f t="shared" si="368"/>
        <v>0</v>
      </c>
      <c r="M1088" s="366"/>
      <c r="N1088" s="88"/>
      <c r="O1088" s="580"/>
      <c r="P1088" s="1125"/>
      <c r="Q1088" s="49"/>
      <c r="R1088" s="49"/>
      <c r="S1088" s="49"/>
      <c r="T1088" s="49"/>
      <c r="U1088" s="49"/>
      <c r="V1088" s="49"/>
      <c r="W1088" s="49"/>
      <c r="X1088" s="49"/>
      <c r="Y1088" s="49"/>
      <c r="Z1088" s="49"/>
      <c r="AA1088" s="49"/>
      <c r="AB1088" s="49"/>
      <c r="AC1088" s="49"/>
      <c r="AD1088" s="49"/>
      <c r="AE1088" s="49"/>
      <c r="AF1088" s="49"/>
      <c r="AG1088" s="49"/>
      <c r="AH1088" s="49"/>
      <c r="AI1088" s="49"/>
      <c r="AJ1088" s="49"/>
      <c r="AK1088" s="49"/>
      <c r="AL1088" s="49"/>
      <c r="AM1088" s="49"/>
      <c r="AN1088" s="49"/>
      <c r="AO1088" s="49"/>
      <c r="AP1088" s="49"/>
      <c r="AQ1088" s="49"/>
      <c r="AR1088" s="49"/>
      <c r="AS1088" s="49"/>
      <c r="AT1088" s="49"/>
      <c r="AU1088" s="49"/>
      <c r="AV1088" s="49"/>
      <c r="AW1088" s="49"/>
      <c r="AX1088" s="49"/>
      <c r="AY1088" s="49"/>
      <c r="AZ1088" s="49"/>
      <c r="BA1088" s="49"/>
      <c r="BB1088" s="49"/>
      <c r="BC1088" s="49"/>
      <c r="BD1088" s="49"/>
      <c r="BE1088" s="49"/>
      <c r="BF1088" s="68"/>
    </row>
    <row r="1089" spans="1:58" s="51" customFormat="1" ht="14.25" customHeight="1">
      <c r="A1089" s="1127"/>
      <c r="B1089" s="873"/>
      <c r="C1089" s="1103"/>
      <c r="D1089" s="62">
        <v>2030</v>
      </c>
      <c r="E1089" s="63">
        <v>0</v>
      </c>
      <c r="F1089" s="63">
        <v>0</v>
      </c>
      <c r="G1089" s="63">
        <v>0</v>
      </c>
      <c r="H1089" s="63">
        <v>0</v>
      </c>
      <c r="I1089" s="63">
        <v>0</v>
      </c>
      <c r="J1089" s="63">
        <v>0</v>
      </c>
      <c r="K1089" s="76">
        <v>0</v>
      </c>
      <c r="L1089" s="497">
        <f t="shared" si="368"/>
        <v>0</v>
      </c>
      <c r="M1089" s="366"/>
      <c r="N1089" s="88"/>
      <c r="O1089" s="580"/>
      <c r="P1089" s="1103"/>
      <c r="Q1089" s="49"/>
      <c r="R1089" s="49"/>
      <c r="S1089" s="49"/>
      <c r="T1089" s="49"/>
      <c r="U1089" s="49"/>
      <c r="V1089" s="49"/>
      <c r="W1089" s="49"/>
      <c r="X1089" s="49"/>
      <c r="Y1089" s="49"/>
      <c r="Z1089" s="49"/>
      <c r="AA1089" s="49"/>
      <c r="AB1089" s="49"/>
      <c r="AC1089" s="49"/>
      <c r="AD1089" s="49"/>
      <c r="AE1089" s="49"/>
      <c r="AF1089" s="49"/>
      <c r="AG1089" s="49"/>
      <c r="AH1089" s="49"/>
      <c r="AI1089" s="49"/>
      <c r="AJ1089" s="49"/>
      <c r="AK1089" s="49"/>
      <c r="AL1089" s="49"/>
      <c r="AM1089" s="49"/>
      <c r="AN1089" s="49"/>
      <c r="AO1089" s="49"/>
      <c r="AP1089" s="49"/>
      <c r="AQ1089" s="49"/>
      <c r="AR1089" s="49"/>
      <c r="AS1089" s="49"/>
      <c r="AT1089" s="49"/>
      <c r="AU1089" s="49"/>
      <c r="AV1089" s="49"/>
      <c r="AW1089" s="49"/>
      <c r="AX1089" s="49"/>
      <c r="AY1089" s="49"/>
      <c r="AZ1089" s="49"/>
      <c r="BA1089" s="49"/>
      <c r="BB1089" s="49"/>
      <c r="BC1089" s="49"/>
      <c r="BD1089" s="49"/>
      <c r="BE1089" s="49"/>
      <c r="BF1089" s="68"/>
    </row>
    <row r="1090" spans="1:58" s="51" customFormat="1" ht="14.25" customHeight="1">
      <c r="A1090" s="1128" t="s">
        <v>989</v>
      </c>
      <c r="B1090" s="929" t="s">
        <v>265</v>
      </c>
      <c r="C1090" s="190"/>
      <c r="D1090" s="84" t="s">
        <v>16</v>
      </c>
      <c r="E1090" s="480">
        <f t="shared" ref="E1090:J1090" si="369">E1091+E1092+E1093+E1094+E1095+E1096+E1097+E1098+E1099+E1100+E1101+E1102</f>
        <v>2054.2576000000004</v>
      </c>
      <c r="F1090" s="480">
        <f t="shared" si="369"/>
        <v>1943.2827999999997</v>
      </c>
      <c r="G1090" s="480">
        <f t="shared" si="369"/>
        <v>0</v>
      </c>
      <c r="H1090" s="480">
        <f t="shared" si="369"/>
        <v>0</v>
      </c>
      <c r="I1090" s="480">
        <f t="shared" si="369"/>
        <v>0</v>
      </c>
      <c r="J1090" s="480">
        <f t="shared" si="369"/>
        <v>110.97480000000002</v>
      </c>
      <c r="K1090" s="76">
        <v>0</v>
      </c>
      <c r="L1090" s="497">
        <f t="shared" si="368"/>
        <v>2054.2575999999999</v>
      </c>
      <c r="M1090" s="581"/>
      <c r="N1090" s="88"/>
      <c r="O1090" s="580"/>
      <c r="P1090" s="556"/>
      <c r="Q1090" s="49"/>
      <c r="R1090" s="49"/>
      <c r="S1090" s="49"/>
      <c r="T1090" s="49"/>
      <c r="U1090" s="49"/>
      <c r="V1090" s="49"/>
      <c r="W1090" s="49"/>
      <c r="X1090" s="49"/>
      <c r="Y1090" s="49"/>
      <c r="Z1090" s="49"/>
      <c r="AA1090" s="49"/>
      <c r="AB1090" s="49"/>
      <c r="AC1090" s="49"/>
      <c r="AD1090" s="49"/>
      <c r="AE1090" s="49"/>
      <c r="AF1090" s="49"/>
      <c r="AG1090" s="49"/>
      <c r="AH1090" s="49"/>
      <c r="AI1090" s="49"/>
      <c r="AJ1090" s="49"/>
      <c r="AK1090" s="49"/>
      <c r="AL1090" s="49"/>
      <c r="AM1090" s="49"/>
      <c r="AN1090" s="49"/>
      <c r="AO1090" s="49"/>
      <c r="AP1090" s="49"/>
      <c r="AQ1090" s="49"/>
      <c r="AR1090" s="49"/>
      <c r="AS1090" s="49"/>
      <c r="AT1090" s="49"/>
      <c r="AU1090" s="49"/>
      <c r="AV1090" s="49"/>
      <c r="AW1090" s="49"/>
      <c r="AX1090" s="49"/>
      <c r="AY1090" s="49"/>
      <c r="AZ1090" s="49"/>
      <c r="BA1090" s="49"/>
      <c r="BB1090" s="49"/>
      <c r="BC1090" s="49"/>
      <c r="BD1090" s="49"/>
      <c r="BE1090" s="49"/>
      <c r="BF1090" s="68"/>
    </row>
    <row r="1091" spans="1:58" s="51" customFormat="1" ht="14.25" customHeight="1">
      <c r="A1091" s="1183"/>
      <c r="B1091" s="953"/>
      <c r="C1091" s="190"/>
      <c r="D1091" s="84">
        <v>2019</v>
      </c>
      <c r="E1091" s="85">
        <f t="shared" ref="E1091:J1091" si="370">E1104+E1129</f>
        <v>179.2253</v>
      </c>
      <c r="F1091" s="85">
        <f t="shared" si="370"/>
        <v>169.74709999999999</v>
      </c>
      <c r="G1091" s="85">
        <f t="shared" si="370"/>
        <v>0</v>
      </c>
      <c r="H1091" s="85">
        <f t="shared" si="370"/>
        <v>0</v>
      </c>
      <c r="I1091" s="85">
        <f t="shared" si="370"/>
        <v>0</v>
      </c>
      <c r="J1091" s="85">
        <f t="shared" si="370"/>
        <v>9.4781999999999993</v>
      </c>
      <c r="K1091" s="76">
        <v>0</v>
      </c>
      <c r="L1091" s="497">
        <f t="shared" si="368"/>
        <v>179.22529999999998</v>
      </c>
      <c r="M1091" s="581"/>
      <c r="N1091" s="88"/>
      <c r="O1091" s="580"/>
      <c r="P1091" s="556"/>
      <c r="Q1091" s="49"/>
      <c r="R1091" s="49"/>
      <c r="S1091" s="49"/>
      <c r="T1091" s="49"/>
      <c r="U1091" s="49"/>
      <c r="V1091" s="49"/>
      <c r="W1091" s="49"/>
      <c r="X1091" s="49"/>
      <c r="Y1091" s="49"/>
      <c r="Z1091" s="49"/>
      <c r="AA1091" s="49"/>
      <c r="AB1091" s="49"/>
      <c r="AC1091" s="49"/>
      <c r="AD1091" s="49"/>
      <c r="AE1091" s="49"/>
      <c r="AF1091" s="49"/>
      <c r="AG1091" s="49"/>
      <c r="AH1091" s="49"/>
      <c r="AI1091" s="49"/>
      <c r="AJ1091" s="49"/>
      <c r="AK1091" s="49"/>
      <c r="AL1091" s="49"/>
      <c r="AM1091" s="49"/>
      <c r="AN1091" s="49"/>
      <c r="AO1091" s="49"/>
      <c r="AP1091" s="49"/>
      <c r="AQ1091" s="49"/>
      <c r="AR1091" s="49"/>
      <c r="AS1091" s="49"/>
      <c r="AT1091" s="49"/>
      <c r="AU1091" s="49"/>
      <c r="AV1091" s="49"/>
      <c r="AW1091" s="49"/>
      <c r="AX1091" s="49"/>
      <c r="AY1091" s="49"/>
      <c r="AZ1091" s="49"/>
      <c r="BA1091" s="49"/>
      <c r="BB1091" s="49"/>
      <c r="BC1091" s="49"/>
      <c r="BD1091" s="49"/>
      <c r="BE1091" s="49"/>
      <c r="BF1091" s="68"/>
    </row>
    <row r="1092" spans="1:58" s="51" customFormat="1" ht="14.25" customHeight="1">
      <c r="A1092" s="1183"/>
      <c r="B1092" s="953"/>
      <c r="C1092" s="190"/>
      <c r="D1092" s="84">
        <v>2020</v>
      </c>
      <c r="E1092" s="85">
        <f t="shared" ref="E1092:J1092" si="371">E1105+E1130+E1117</f>
        <v>177.33180000000002</v>
      </c>
      <c r="F1092" s="85">
        <f t="shared" si="371"/>
        <v>167.8536</v>
      </c>
      <c r="G1092" s="85">
        <f t="shared" si="371"/>
        <v>0</v>
      </c>
      <c r="H1092" s="85">
        <f t="shared" si="371"/>
        <v>0</v>
      </c>
      <c r="I1092" s="85">
        <f t="shared" si="371"/>
        <v>0</v>
      </c>
      <c r="J1092" s="85">
        <f t="shared" si="371"/>
        <v>9.4782000000000011</v>
      </c>
      <c r="K1092" s="76">
        <v>0</v>
      </c>
      <c r="L1092" s="497">
        <f t="shared" si="368"/>
        <v>177.33179999999999</v>
      </c>
      <c r="M1092" s="581"/>
      <c r="N1092" s="88"/>
      <c r="O1092" s="580"/>
      <c r="P1092" s="556"/>
      <c r="Q1092" s="49"/>
      <c r="R1092" s="49"/>
      <c r="S1092" s="49"/>
      <c r="T1092" s="49"/>
      <c r="U1092" s="49"/>
      <c r="V1092" s="49"/>
      <c r="W1092" s="49"/>
      <c r="X1092" s="49"/>
      <c r="Y1092" s="49"/>
      <c r="Z1092" s="49"/>
      <c r="AA1092" s="49"/>
      <c r="AB1092" s="49"/>
      <c r="AC1092" s="49"/>
      <c r="AD1092" s="49"/>
      <c r="AE1092" s="49"/>
      <c r="AF1092" s="49"/>
      <c r="AG1092" s="49"/>
      <c r="AH1092" s="49"/>
      <c r="AI1092" s="49"/>
      <c r="AJ1092" s="49"/>
      <c r="AK1092" s="49"/>
      <c r="AL1092" s="49"/>
      <c r="AM1092" s="49"/>
      <c r="AN1092" s="49"/>
      <c r="AO1092" s="49"/>
      <c r="AP1092" s="49"/>
      <c r="AQ1092" s="49"/>
      <c r="AR1092" s="49"/>
      <c r="AS1092" s="49"/>
      <c r="AT1092" s="49"/>
      <c r="AU1092" s="49"/>
      <c r="AV1092" s="49"/>
      <c r="AW1092" s="49"/>
      <c r="AX1092" s="49"/>
      <c r="AY1092" s="49"/>
      <c r="AZ1092" s="49"/>
      <c r="BA1092" s="49"/>
      <c r="BB1092" s="49"/>
      <c r="BC1092" s="49"/>
      <c r="BD1092" s="49"/>
      <c r="BE1092" s="49"/>
      <c r="BF1092" s="68"/>
    </row>
    <row r="1093" spans="1:58" s="51" customFormat="1" ht="14.25" customHeight="1">
      <c r="A1093" s="1183"/>
      <c r="B1093" s="953"/>
      <c r="C1093" s="190"/>
      <c r="D1093" s="84">
        <v>2021</v>
      </c>
      <c r="E1093" s="85">
        <f t="shared" ref="E1093:F1102" si="372">E1106+E1131+E1118</f>
        <v>175.50290000000001</v>
      </c>
      <c r="F1093" s="85">
        <f t="shared" si="372"/>
        <v>164.00059999999999</v>
      </c>
      <c r="G1093" s="85">
        <f t="shared" ref="G1093:I1094" si="373">G1106+G1131</f>
        <v>0</v>
      </c>
      <c r="H1093" s="85">
        <f t="shared" si="373"/>
        <v>0</v>
      </c>
      <c r="I1093" s="85">
        <f t="shared" si="373"/>
        <v>0</v>
      </c>
      <c r="J1093" s="85">
        <f t="shared" ref="J1093:J1102" si="374">J1106+J1131+J1118</f>
        <v>11.5023</v>
      </c>
      <c r="K1093" s="76">
        <v>0</v>
      </c>
      <c r="L1093" s="497">
        <f t="shared" si="368"/>
        <v>175.50289999999998</v>
      </c>
      <c r="M1093" s="581"/>
      <c r="N1093" s="88"/>
      <c r="O1093" s="580"/>
      <c r="P1093" s="556"/>
      <c r="Q1093" s="49"/>
      <c r="R1093" s="49"/>
      <c r="S1093" s="49"/>
      <c r="T1093" s="49"/>
      <c r="U1093" s="49"/>
      <c r="V1093" s="49"/>
      <c r="W1093" s="49"/>
      <c r="X1093" s="49"/>
      <c r="Y1093" s="49"/>
      <c r="Z1093" s="49"/>
      <c r="AA1093" s="49"/>
      <c r="AB1093" s="49"/>
      <c r="AC1093" s="49"/>
      <c r="AD1093" s="49"/>
      <c r="AE1093" s="49"/>
      <c r="AF1093" s="49"/>
      <c r="AG1093" s="49"/>
      <c r="AH1093" s="49"/>
      <c r="AI1093" s="49"/>
      <c r="AJ1093" s="49"/>
      <c r="AK1093" s="49"/>
      <c r="AL1093" s="49"/>
      <c r="AM1093" s="49"/>
      <c r="AN1093" s="49"/>
      <c r="AO1093" s="49"/>
      <c r="AP1093" s="49"/>
      <c r="AQ1093" s="49"/>
      <c r="AR1093" s="49"/>
      <c r="AS1093" s="49"/>
      <c r="AT1093" s="49"/>
      <c r="AU1093" s="49"/>
      <c r="AV1093" s="49"/>
      <c r="AW1093" s="49"/>
      <c r="AX1093" s="49"/>
      <c r="AY1093" s="49"/>
      <c r="AZ1093" s="49"/>
      <c r="BA1093" s="49"/>
      <c r="BB1093" s="49"/>
      <c r="BC1093" s="49"/>
      <c r="BD1093" s="49"/>
      <c r="BE1093" s="49"/>
      <c r="BF1093" s="68"/>
    </row>
    <row r="1094" spans="1:58" s="51" customFormat="1" ht="14.25" customHeight="1">
      <c r="A1094" s="1183"/>
      <c r="B1094" s="953"/>
      <c r="C1094" s="190"/>
      <c r="D1094" s="84">
        <v>2022</v>
      </c>
      <c r="E1094" s="85">
        <f t="shared" si="372"/>
        <v>163.73110000000003</v>
      </c>
      <c r="F1094" s="85">
        <f t="shared" si="372"/>
        <v>163.73110000000003</v>
      </c>
      <c r="G1094" s="85">
        <f t="shared" si="373"/>
        <v>0</v>
      </c>
      <c r="H1094" s="85">
        <f t="shared" si="373"/>
        <v>0</v>
      </c>
      <c r="I1094" s="85">
        <f t="shared" si="373"/>
        <v>0</v>
      </c>
      <c r="J1094" s="85">
        <f t="shared" si="374"/>
        <v>0</v>
      </c>
      <c r="K1094" s="76">
        <v>0</v>
      </c>
      <c r="L1094" s="497">
        <f t="shared" si="368"/>
        <v>163.73110000000003</v>
      </c>
      <c r="M1094" s="581"/>
      <c r="N1094" s="88"/>
      <c r="O1094" s="580"/>
      <c r="P1094" s="556"/>
      <c r="Q1094" s="49"/>
      <c r="R1094" s="49"/>
      <c r="S1094" s="49"/>
      <c r="T1094" s="49"/>
      <c r="U1094" s="49"/>
      <c r="V1094" s="49"/>
      <c r="W1094" s="49"/>
      <c r="X1094" s="49"/>
      <c r="Y1094" s="49"/>
      <c r="Z1094" s="49"/>
      <c r="AA1094" s="49"/>
      <c r="AB1094" s="49"/>
      <c r="AC1094" s="49"/>
      <c r="AD1094" s="49"/>
      <c r="AE1094" s="49"/>
      <c r="AF1094" s="49"/>
      <c r="AG1094" s="49"/>
      <c r="AH1094" s="49"/>
      <c r="AI1094" s="49"/>
      <c r="AJ1094" s="49"/>
      <c r="AK1094" s="49"/>
      <c r="AL1094" s="49"/>
      <c r="AM1094" s="49"/>
      <c r="AN1094" s="49"/>
      <c r="AO1094" s="49"/>
      <c r="AP1094" s="49"/>
      <c r="AQ1094" s="49"/>
      <c r="AR1094" s="49"/>
      <c r="AS1094" s="49"/>
      <c r="AT1094" s="49"/>
      <c r="AU1094" s="49"/>
      <c r="AV1094" s="49"/>
      <c r="AW1094" s="49"/>
      <c r="AX1094" s="49"/>
      <c r="AY1094" s="49"/>
      <c r="AZ1094" s="49"/>
      <c r="BA1094" s="49"/>
      <c r="BB1094" s="49"/>
      <c r="BC1094" s="49"/>
      <c r="BD1094" s="49"/>
      <c r="BE1094" s="49"/>
      <c r="BF1094" s="68"/>
    </row>
    <row r="1095" spans="1:58" s="51" customFormat="1" ht="14.25" customHeight="1">
      <c r="A1095" s="1183"/>
      <c r="B1095" s="953"/>
      <c r="C1095" s="190"/>
      <c r="D1095" s="84">
        <v>2023</v>
      </c>
      <c r="E1095" s="85">
        <f t="shared" si="372"/>
        <v>159.74380000000002</v>
      </c>
      <c r="F1095" s="85">
        <f t="shared" si="372"/>
        <v>159.74380000000002</v>
      </c>
      <c r="G1095" s="85">
        <f>G1108+G1133+G1120</f>
        <v>0</v>
      </c>
      <c r="H1095" s="85">
        <f>H1108+H1133+H1120</f>
        <v>0</v>
      </c>
      <c r="I1095" s="85">
        <f>I1108+I1133+I1120</f>
        <v>0</v>
      </c>
      <c r="J1095" s="85">
        <f t="shared" si="374"/>
        <v>0</v>
      </c>
      <c r="K1095" s="76">
        <v>0</v>
      </c>
      <c r="L1095" s="497">
        <f t="shared" si="368"/>
        <v>159.74380000000002</v>
      </c>
      <c r="M1095" s="581"/>
      <c r="N1095" s="88"/>
      <c r="O1095" s="580"/>
      <c r="P1095" s="556"/>
      <c r="Q1095" s="49"/>
      <c r="R1095" s="49"/>
      <c r="S1095" s="49"/>
      <c r="T1095" s="49"/>
      <c r="U1095" s="49"/>
      <c r="V1095" s="49"/>
      <c r="W1095" s="49"/>
      <c r="X1095" s="49"/>
      <c r="Y1095" s="49"/>
      <c r="Z1095" s="49"/>
      <c r="AA1095" s="49"/>
      <c r="AB1095" s="49"/>
      <c r="AC1095" s="49"/>
      <c r="AD1095" s="49"/>
      <c r="AE1095" s="49"/>
      <c r="AF1095" s="49"/>
      <c r="AG1095" s="49"/>
      <c r="AH1095" s="49"/>
      <c r="AI1095" s="49"/>
      <c r="AJ1095" s="49"/>
      <c r="AK1095" s="49"/>
      <c r="AL1095" s="49"/>
      <c r="AM1095" s="49"/>
      <c r="AN1095" s="49"/>
      <c r="AO1095" s="49"/>
      <c r="AP1095" s="49"/>
      <c r="AQ1095" s="49"/>
      <c r="AR1095" s="49"/>
      <c r="AS1095" s="49"/>
      <c r="AT1095" s="49"/>
      <c r="AU1095" s="49"/>
      <c r="AV1095" s="49"/>
      <c r="AW1095" s="49"/>
      <c r="AX1095" s="49"/>
      <c r="AY1095" s="49"/>
      <c r="AZ1095" s="49"/>
      <c r="BA1095" s="49"/>
      <c r="BB1095" s="49"/>
      <c r="BC1095" s="49"/>
      <c r="BD1095" s="49"/>
      <c r="BE1095" s="49"/>
      <c r="BF1095" s="68"/>
    </row>
    <row r="1096" spans="1:58" s="51" customFormat="1" ht="14.25" customHeight="1">
      <c r="A1096" s="1183"/>
      <c r="B1096" s="953"/>
      <c r="C1096" s="190"/>
      <c r="D1096" s="84">
        <v>2024</v>
      </c>
      <c r="E1096" s="85">
        <f t="shared" si="372"/>
        <v>171.24609999999998</v>
      </c>
      <c r="F1096" s="85">
        <f t="shared" si="372"/>
        <v>159.74380000000002</v>
      </c>
      <c r="G1096" s="85">
        <f t="shared" ref="G1096:I1102" si="375">G1109+G1134</f>
        <v>0</v>
      </c>
      <c r="H1096" s="85">
        <f t="shared" si="375"/>
        <v>0</v>
      </c>
      <c r="I1096" s="85">
        <f t="shared" si="375"/>
        <v>0</v>
      </c>
      <c r="J1096" s="85">
        <f t="shared" si="374"/>
        <v>11.5023</v>
      </c>
      <c r="K1096" s="76">
        <v>0</v>
      </c>
      <c r="L1096" s="497">
        <f t="shared" si="368"/>
        <v>171.24610000000001</v>
      </c>
      <c r="M1096" s="581"/>
      <c r="N1096" s="88"/>
      <c r="O1096" s="580"/>
      <c r="P1096" s="556"/>
      <c r="Q1096" s="49"/>
      <c r="R1096" s="49"/>
      <c r="S1096" s="49"/>
      <c r="T1096" s="49"/>
      <c r="U1096" s="49"/>
      <c r="V1096" s="49"/>
      <c r="W1096" s="49"/>
      <c r="X1096" s="49"/>
      <c r="Y1096" s="49"/>
      <c r="Z1096" s="49"/>
      <c r="AA1096" s="49"/>
      <c r="AB1096" s="49"/>
      <c r="AC1096" s="49"/>
      <c r="AD1096" s="49"/>
      <c r="AE1096" s="49"/>
      <c r="AF1096" s="49"/>
      <c r="AG1096" s="49"/>
      <c r="AH1096" s="49"/>
      <c r="AI1096" s="49"/>
      <c r="AJ1096" s="49"/>
      <c r="AK1096" s="49"/>
      <c r="AL1096" s="49"/>
      <c r="AM1096" s="49"/>
      <c r="AN1096" s="49"/>
      <c r="AO1096" s="49"/>
      <c r="AP1096" s="49"/>
      <c r="AQ1096" s="49"/>
      <c r="AR1096" s="49"/>
      <c r="AS1096" s="49"/>
      <c r="AT1096" s="49"/>
      <c r="AU1096" s="49"/>
      <c r="AV1096" s="49"/>
      <c r="AW1096" s="49"/>
      <c r="AX1096" s="49"/>
      <c r="AY1096" s="49"/>
      <c r="AZ1096" s="49"/>
      <c r="BA1096" s="49"/>
      <c r="BB1096" s="49"/>
      <c r="BC1096" s="49"/>
      <c r="BD1096" s="49"/>
      <c r="BE1096" s="49"/>
      <c r="BF1096" s="68"/>
    </row>
    <row r="1097" spans="1:58" s="51" customFormat="1" ht="14.25" customHeight="1">
      <c r="A1097" s="1183"/>
      <c r="B1097" s="953"/>
      <c r="C1097" s="190"/>
      <c r="D1097" s="84">
        <v>2025</v>
      </c>
      <c r="E1097" s="85">
        <f t="shared" si="372"/>
        <v>171.24609999999998</v>
      </c>
      <c r="F1097" s="85">
        <f t="shared" si="372"/>
        <v>159.74380000000002</v>
      </c>
      <c r="G1097" s="85">
        <f t="shared" si="375"/>
        <v>0</v>
      </c>
      <c r="H1097" s="85">
        <f t="shared" si="375"/>
        <v>0</v>
      </c>
      <c r="I1097" s="85">
        <f t="shared" si="375"/>
        <v>0</v>
      </c>
      <c r="J1097" s="85">
        <f t="shared" si="374"/>
        <v>11.5023</v>
      </c>
      <c r="K1097" s="76">
        <v>0</v>
      </c>
      <c r="L1097" s="497">
        <f t="shared" si="368"/>
        <v>171.24610000000001</v>
      </c>
      <c r="M1097" s="581"/>
      <c r="N1097" s="88"/>
      <c r="O1097" s="580"/>
      <c r="P1097" s="556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49"/>
      <c r="AU1097" s="49"/>
      <c r="AV1097" s="49"/>
      <c r="AW1097" s="49"/>
      <c r="AX1097" s="49"/>
      <c r="AY1097" s="49"/>
      <c r="AZ1097" s="49"/>
      <c r="BA1097" s="49"/>
      <c r="BB1097" s="49"/>
      <c r="BC1097" s="49"/>
      <c r="BD1097" s="49"/>
      <c r="BE1097" s="49"/>
      <c r="BF1097" s="68"/>
    </row>
    <row r="1098" spans="1:58" s="51" customFormat="1" ht="14.25" customHeight="1">
      <c r="A1098" s="1183"/>
      <c r="B1098" s="953"/>
      <c r="C1098" s="190"/>
      <c r="D1098" s="84">
        <v>2026</v>
      </c>
      <c r="E1098" s="85">
        <f t="shared" si="372"/>
        <v>171.24609999999998</v>
      </c>
      <c r="F1098" s="85">
        <f t="shared" si="372"/>
        <v>159.74380000000002</v>
      </c>
      <c r="G1098" s="85">
        <f t="shared" si="375"/>
        <v>0</v>
      </c>
      <c r="H1098" s="85">
        <f t="shared" si="375"/>
        <v>0</v>
      </c>
      <c r="I1098" s="85">
        <f t="shared" si="375"/>
        <v>0</v>
      </c>
      <c r="J1098" s="85">
        <f t="shared" si="374"/>
        <v>11.5023</v>
      </c>
      <c r="K1098" s="76">
        <v>0</v>
      </c>
      <c r="L1098" s="497">
        <f t="shared" si="368"/>
        <v>171.24610000000001</v>
      </c>
      <c r="M1098" s="581"/>
      <c r="N1098" s="88"/>
      <c r="O1098" s="580"/>
      <c r="P1098" s="556"/>
      <c r="Q1098" s="49"/>
      <c r="R1098" s="49"/>
      <c r="S1098" s="49"/>
      <c r="T1098" s="49"/>
      <c r="U1098" s="49"/>
      <c r="V1098" s="49"/>
      <c r="W1098" s="49"/>
      <c r="X1098" s="49"/>
      <c r="Y1098" s="49"/>
      <c r="Z1098" s="49"/>
      <c r="AA1098" s="49"/>
      <c r="AB1098" s="49"/>
      <c r="AC1098" s="49"/>
      <c r="AD1098" s="49"/>
      <c r="AE1098" s="49"/>
      <c r="AF1098" s="49"/>
      <c r="AG1098" s="49"/>
      <c r="AH1098" s="49"/>
      <c r="AI1098" s="49"/>
      <c r="AJ1098" s="49"/>
      <c r="AK1098" s="49"/>
      <c r="AL1098" s="49"/>
      <c r="AM1098" s="49"/>
      <c r="AN1098" s="49"/>
      <c r="AO1098" s="49"/>
      <c r="AP1098" s="49"/>
      <c r="AQ1098" s="49"/>
      <c r="AR1098" s="49"/>
      <c r="AS1098" s="49"/>
      <c r="AT1098" s="49"/>
      <c r="AU1098" s="49"/>
      <c r="AV1098" s="49"/>
      <c r="AW1098" s="49"/>
      <c r="AX1098" s="49"/>
      <c r="AY1098" s="49"/>
      <c r="AZ1098" s="49"/>
      <c r="BA1098" s="49"/>
      <c r="BB1098" s="49"/>
      <c r="BC1098" s="49"/>
      <c r="BD1098" s="49"/>
      <c r="BE1098" s="49"/>
      <c r="BF1098" s="68"/>
    </row>
    <row r="1099" spans="1:58" s="51" customFormat="1" ht="14.25" customHeight="1">
      <c r="A1099" s="1183"/>
      <c r="B1099" s="953"/>
      <c r="C1099" s="190"/>
      <c r="D1099" s="84">
        <v>2027</v>
      </c>
      <c r="E1099" s="85">
        <f t="shared" si="372"/>
        <v>171.24609999999998</v>
      </c>
      <c r="F1099" s="85">
        <f t="shared" si="372"/>
        <v>159.74380000000002</v>
      </c>
      <c r="G1099" s="85">
        <f t="shared" si="375"/>
        <v>0</v>
      </c>
      <c r="H1099" s="85">
        <f t="shared" si="375"/>
        <v>0</v>
      </c>
      <c r="I1099" s="85">
        <f t="shared" si="375"/>
        <v>0</v>
      </c>
      <c r="J1099" s="85">
        <f t="shared" si="374"/>
        <v>11.5023</v>
      </c>
      <c r="K1099" s="76">
        <v>0</v>
      </c>
      <c r="L1099" s="497">
        <f t="shared" si="368"/>
        <v>171.24610000000001</v>
      </c>
      <c r="M1099" s="581"/>
      <c r="N1099" s="88"/>
      <c r="O1099" s="580"/>
      <c r="P1099" s="556"/>
      <c r="Q1099" s="49"/>
      <c r="R1099" s="49"/>
      <c r="S1099" s="49"/>
      <c r="T1099" s="49"/>
      <c r="U1099" s="49"/>
      <c r="V1099" s="49"/>
      <c r="W1099" s="49"/>
      <c r="X1099" s="49"/>
      <c r="Y1099" s="49"/>
      <c r="Z1099" s="49"/>
      <c r="AA1099" s="49"/>
      <c r="AB1099" s="49"/>
      <c r="AC1099" s="49"/>
      <c r="AD1099" s="49"/>
      <c r="AE1099" s="49"/>
      <c r="AF1099" s="49"/>
      <c r="AG1099" s="49"/>
      <c r="AH1099" s="49"/>
      <c r="AI1099" s="49"/>
      <c r="AJ1099" s="49"/>
      <c r="AK1099" s="49"/>
      <c r="AL1099" s="49"/>
      <c r="AM1099" s="49"/>
      <c r="AN1099" s="49"/>
      <c r="AO1099" s="49"/>
      <c r="AP1099" s="49"/>
      <c r="AQ1099" s="49"/>
      <c r="AR1099" s="49"/>
      <c r="AS1099" s="49"/>
      <c r="AT1099" s="49"/>
      <c r="AU1099" s="49"/>
      <c r="AV1099" s="49"/>
      <c r="AW1099" s="49"/>
      <c r="AX1099" s="49"/>
      <c r="AY1099" s="49"/>
      <c r="AZ1099" s="49"/>
      <c r="BA1099" s="49"/>
      <c r="BB1099" s="49"/>
      <c r="BC1099" s="49"/>
      <c r="BD1099" s="49"/>
      <c r="BE1099" s="49"/>
      <c r="BF1099" s="68"/>
    </row>
    <row r="1100" spans="1:58" s="51" customFormat="1" ht="14.25" customHeight="1">
      <c r="A1100" s="1183"/>
      <c r="B1100" s="953"/>
      <c r="C1100" s="190"/>
      <c r="D1100" s="84">
        <v>2028</v>
      </c>
      <c r="E1100" s="85">
        <f t="shared" si="372"/>
        <v>171.24609999999998</v>
      </c>
      <c r="F1100" s="85">
        <f t="shared" si="372"/>
        <v>159.74380000000002</v>
      </c>
      <c r="G1100" s="85">
        <f t="shared" si="375"/>
        <v>0</v>
      </c>
      <c r="H1100" s="85">
        <f t="shared" si="375"/>
        <v>0</v>
      </c>
      <c r="I1100" s="85">
        <f t="shared" si="375"/>
        <v>0</v>
      </c>
      <c r="J1100" s="85">
        <f t="shared" si="374"/>
        <v>11.5023</v>
      </c>
      <c r="K1100" s="76">
        <v>0</v>
      </c>
      <c r="L1100" s="497">
        <f t="shared" si="368"/>
        <v>171.24610000000001</v>
      </c>
      <c r="M1100" s="581"/>
      <c r="N1100" s="88"/>
      <c r="O1100" s="580"/>
      <c r="P1100" s="556"/>
      <c r="Q1100" s="49"/>
      <c r="R1100" s="49"/>
      <c r="S1100" s="49"/>
      <c r="T1100" s="49"/>
      <c r="U1100" s="49"/>
      <c r="V1100" s="49"/>
      <c r="W1100" s="49"/>
      <c r="X1100" s="49"/>
      <c r="Y1100" s="49"/>
      <c r="Z1100" s="49"/>
      <c r="AA1100" s="49"/>
      <c r="AB1100" s="49"/>
      <c r="AC1100" s="49"/>
      <c r="AD1100" s="49"/>
      <c r="AE1100" s="49"/>
      <c r="AF1100" s="49"/>
      <c r="AG1100" s="49"/>
      <c r="AH1100" s="49"/>
      <c r="AI1100" s="49"/>
      <c r="AJ1100" s="49"/>
      <c r="AK1100" s="49"/>
      <c r="AL1100" s="49"/>
      <c r="AM1100" s="49"/>
      <c r="AN1100" s="49"/>
      <c r="AO1100" s="49"/>
      <c r="AP1100" s="49"/>
      <c r="AQ1100" s="49"/>
      <c r="AR1100" s="49"/>
      <c r="AS1100" s="49"/>
      <c r="AT1100" s="49"/>
      <c r="AU1100" s="49"/>
      <c r="AV1100" s="49"/>
      <c r="AW1100" s="49"/>
      <c r="AX1100" s="49"/>
      <c r="AY1100" s="49"/>
      <c r="AZ1100" s="49"/>
      <c r="BA1100" s="49"/>
      <c r="BB1100" s="49"/>
      <c r="BC1100" s="49"/>
      <c r="BD1100" s="49"/>
      <c r="BE1100" s="49"/>
      <c r="BF1100" s="68"/>
    </row>
    <row r="1101" spans="1:58" s="51" customFormat="1" ht="14.25" customHeight="1">
      <c r="A1101" s="1183"/>
      <c r="B1101" s="953"/>
      <c r="C1101" s="190"/>
      <c r="D1101" s="84">
        <v>2029</v>
      </c>
      <c r="E1101" s="85">
        <f t="shared" si="372"/>
        <v>171.24609999999998</v>
      </c>
      <c r="F1101" s="85">
        <f t="shared" si="372"/>
        <v>159.74380000000002</v>
      </c>
      <c r="G1101" s="85">
        <f t="shared" si="375"/>
        <v>0</v>
      </c>
      <c r="H1101" s="85">
        <f t="shared" si="375"/>
        <v>0</v>
      </c>
      <c r="I1101" s="85">
        <f t="shared" si="375"/>
        <v>0</v>
      </c>
      <c r="J1101" s="85">
        <f t="shared" si="374"/>
        <v>11.5023</v>
      </c>
      <c r="K1101" s="76">
        <v>0</v>
      </c>
      <c r="L1101" s="497">
        <f t="shared" si="368"/>
        <v>171.24610000000001</v>
      </c>
      <c r="M1101" s="581"/>
      <c r="N1101" s="88"/>
      <c r="O1101" s="580"/>
      <c r="P1101" s="556"/>
      <c r="Q1101" s="49"/>
      <c r="R1101" s="49"/>
      <c r="S1101" s="49"/>
      <c r="T1101" s="49"/>
      <c r="U1101" s="49"/>
      <c r="V1101" s="49"/>
      <c r="W1101" s="49"/>
      <c r="X1101" s="49"/>
      <c r="Y1101" s="49"/>
      <c r="Z1101" s="49"/>
      <c r="AA1101" s="49"/>
      <c r="AB1101" s="49"/>
      <c r="AC1101" s="49"/>
      <c r="AD1101" s="49"/>
      <c r="AE1101" s="49"/>
      <c r="AF1101" s="49"/>
      <c r="AG1101" s="49"/>
      <c r="AH1101" s="49"/>
      <c r="AI1101" s="49"/>
      <c r="AJ1101" s="49"/>
      <c r="AK1101" s="49"/>
      <c r="AL1101" s="49"/>
      <c r="AM1101" s="49"/>
      <c r="AN1101" s="49"/>
      <c r="AO1101" s="49"/>
      <c r="AP1101" s="49"/>
      <c r="AQ1101" s="49"/>
      <c r="AR1101" s="49"/>
      <c r="AS1101" s="49"/>
      <c r="AT1101" s="49"/>
      <c r="AU1101" s="49"/>
      <c r="AV1101" s="49"/>
      <c r="AW1101" s="49"/>
      <c r="AX1101" s="49"/>
      <c r="AY1101" s="49"/>
      <c r="AZ1101" s="49"/>
      <c r="BA1101" s="49"/>
      <c r="BB1101" s="49"/>
      <c r="BC1101" s="49"/>
      <c r="BD1101" s="49"/>
      <c r="BE1101" s="49"/>
      <c r="BF1101" s="68"/>
    </row>
    <row r="1102" spans="1:58" s="51" customFormat="1" ht="14.25" customHeight="1">
      <c r="A1102" s="1184"/>
      <c r="B1102" s="954"/>
      <c r="C1102" s="190"/>
      <c r="D1102" s="84">
        <v>2030</v>
      </c>
      <c r="E1102" s="85">
        <f t="shared" si="372"/>
        <v>171.24609999999998</v>
      </c>
      <c r="F1102" s="85">
        <f t="shared" si="372"/>
        <v>159.74380000000002</v>
      </c>
      <c r="G1102" s="85">
        <f t="shared" si="375"/>
        <v>0</v>
      </c>
      <c r="H1102" s="85">
        <f t="shared" si="375"/>
        <v>0</v>
      </c>
      <c r="I1102" s="85">
        <f t="shared" si="375"/>
        <v>0</v>
      </c>
      <c r="J1102" s="85">
        <f t="shared" si="374"/>
        <v>11.5023</v>
      </c>
      <c r="K1102" s="76">
        <v>0</v>
      </c>
      <c r="L1102" s="497">
        <f t="shared" si="368"/>
        <v>171.24610000000001</v>
      </c>
      <c r="M1102" s="581"/>
      <c r="N1102" s="88"/>
      <c r="O1102" s="580"/>
      <c r="P1102" s="556"/>
      <c r="Q1102" s="49"/>
      <c r="R1102" s="49"/>
      <c r="S1102" s="49"/>
      <c r="T1102" s="49"/>
      <c r="U1102" s="49"/>
      <c r="V1102" s="49"/>
      <c r="W1102" s="49"/>
      <c r="X1102" s="49"/>
      <c r="Y1102" s="49"/>
      <c r="Z1102" s="49"/>
      <c r="AA1102" s="49"/>
      <c r="AB1102" s="49"/>
      <c r="AC1102" s="49"/>
      <c r="AD1102" s="49"/>
      <c r="AE1102" s="49"/>
      <c r="AF1102" s="49"/>
      <c r="AG1102" s="49"/>
      <c r="AH1102" s="49"/>
      <c r="AI1102" s="49"/>
      <c r="AJ1102" s="49"/>
      <c r="AK1102" s="49"/>
      <c r="AL1102" s="49"/>
      <c r="AM1102" s="49"/>
      <c r="AN1102" s="49"/>
      <c r="AO1102" s="49"/>
      <c r="AP1102" s="49"/>
      <c r="AQ1102" s="49"/>
      <c r="AR1102" s="49"/>
      <c r="AS1102" s="49"/>
      <c r="AT1102" s="49"/>
      <c r="AU1102" s="49"/>
      <c r="AV1102" s="49"/>
      <c r="AW1102" s="49"/>
      <c r="AX1102" s="49"/>
      <c r="AY1102" s="49"/>
      <c r="AZ1102" s="49"/>
      <c r="BA1102" s="49"/>
      <c r="BB1102" s="49"/>
      <c r="BC1102" s="49"/>
      <c r="BD1102" s="49"/>
      <c r="BE1102" s="49"/>
      <c r="BF1102" s="68"/>
    </row>
    <row r="1103" spans="1:58" s="51" customFormat="1" ht="21.75" customHeight="1">
      <c r="A1103" s="794" t="s">
        <v>991</v>
      </c>
      <c r="B1103" s="931" t="s">
        <v>979</v>
      </c>
      <c r="C1103" s="1019" t="s">
        <v>1341</v>
      </c>
      <c r="D1103" s="84" t="s">
        <v>16</v>
      </c>
      <c r="E1103" s="480">
        <f t="shared" ref="E1103:J1103" si="376">E1104+E1105+E1106+E1107+E1108+E1109+E1110+E1111+E1112+E1113+E1114+E1115</f>
        <v>382.75349999999992</v>
      </c>
      <c r="F1103" s="480">
        <f t="shared" si="376"/>
        <v>289.45330000000007</v>
      </c>
      <c r="G1103" s="85">
        <f t="shared" si="376"/>
        <v>0</v>
      </c>
      <c r="H1103" s="85">
        <f t="shared" si="376"/>
        <v>0</v>
      </c>
      <c r="I1103" s="85">
        <f t="shared" si="376"/>
        <v>0</v>
      </c>
      <c r="J1103" s="85">
        <f t="shared" si="376"/>
        <v>93.300200000000018</v>
      </c>
      <c r="K1103" s="76">
        <v>0</v>
      </c>
      <c r="L1103" s="497">
        <f t="shared" si="368"/>
        <v>382.75350000000009</v>
      </c>
      <c r="M1103" s="581"/>
      <c r="N1103" s="88"/>
      <c r="O1103" s="580"/>
      <c r="P1103" s="842" t="s">
        <v>980</v>
      </c>
      <c r="Q1103" s="49"/>
      <c r="R1103" s="49"/>
      <c r="S1103" s="49"/>
      <c r="T1103" s="49"/>
      <c r="U1103" s="49"/>
      <c r="V1103" s="49"/>
      <c r="W1103" s="49"/>
      <c r="X1103" s="49"/>
      <c r="Y1103" s="49"/>
      <c r="Z1103" s="49"/>
      <c r="AA1103" s="49"/>
      <c r="AB1103" s="49"/>
      <c r="AC1103" s="49"/>
      <c r="AD1103" s="49"/>
      <c r="AE1103" s="49"/>
      <c r="AF1103" s="49"/>
      <c r="AG1103" s="49"/>
      <c r="AH1103" s="49"/>
      <c r="AI1103" s="49"/>
      <c r="AJ1103" s="49"/>
      <c r="AK1103" s="49"/>
      <c r="AL1103" s="49"/>
      <c r="AM1103" s="49"/>
      <c r="AN1103" s="49"/>
      <c r="AO1103" s="49"/>
      <c r="AP1103" s="49"/>
      <c r="AQ1103" s="49"/>
      <c r="AR1103" s="49"/>
      <c r="AS1103" s="49"/>
      <c r="AT1103" s="49"/>
      <c r="AU1103" s="49"/>
      <c r="AV1103" s="49"/>
      <c r="AW1103" s="49"/>
      <c r="AX1103" s="49"/>
      <c r="AY1103" s="49"/>
      <c r="AZ1103" s="49"/>
      <c r="BA1103" s="49"/>
      <c r="BB1103" s="49"/>
      <c r="BC1103" s="49"/>
      <c r="BD1103" s="49"/>
      <c r="BE1103" s="49"/>
      <c r="BF1103" s="68"/>
    </row>
    <row r="1104" spans="1:58" s="51" customFormat="1" ht="28.5" customHeight="1">
      <c r="A1104" s="1126"/>
      <c r="B1104" s="932"/>
      <c r="C1104" s="1019"/>
      <c r="D1104" s="62">
        <v>2019</v>
      </c>
      <c r="E1104" s="507">
        <f>F1104+G1104+H1104+I1104+J1104</f>
        <v>36.131900000000002</v>
      </c>
      <c r="F1104" s="63">
        <v>26.653700000000001</v>
      </c>
      <c r="G1104" s="63">
        <v>0</v>
      </c>
      <c r="H1104" s="63">
        <v>0</v>
      </c>
      <c r="I1104" s="63">
        <v>0</v>
      </c>
      <c r="J1104" s="63">
        <v>9.4781999999999993</v>
      </c>
      <c r="K1104" s="76">
        <v>0</v>
      </c>
      <c r="L1104" s="497">
        <f t="shared" si="368"/>
        <v>36.131900000000002</v>
      </c>
      <c r="M1104" s="581"/>
      <c r="N1104" s="88"/>
      <c r="O1104" s="580"/>
      <c r="P1104" s="1016"/>
      <c r="Q1104" s="49"/>
      <c r="R1104" s="49"/>
      <c r="S1104" s="49"/>
      <c r="T1104" s="49"/>
      <c r="U1104" s="49"/>
      <c r="V1104" s="49"/>
      <c r="W1104" s="49"/>
      <c r="X1104" s="49"/>
      <c r="Y1104" s="49"/>
      <c r="Z1104" s="49"/>
      <c r="AA1104" s="49"/>
      <c r="AB1104" s="49"/>
      <c r="AC1104" s="49"/>
      <c r="AD1104" s="49"/>
      <c r="AE1104" s="49"/>
      <c r="AF1104" s="49"/>
      <c r="AG1104" s="49"/>
      <c r="AH1104" s="49"/>
      <c r="AI1104" s="49"/>
      <c r="AJ1104" s="49"/>
      <c r="AK1104" s="49"/>
      <c r="AL1104" s="49"/>
      <c r="AM1104" s="49"/>
      <c r="AN1104" s="49"/>
      <c r="AO1104" s="49"/>
      <c r="AP1104" s="49"/>
      <c r="AQ1104" s="49"/>
      <c r="AR1104" s="49"/>
      <c r="AS1104" s="49"/>
      <c r="AT1104" s="49"/>
      <c r="AU1104" s="49"/>
      <c r="AV1104" s="49"/>
      <c r="AW1104" s="49"/>
      <c r="AX1104" s="49"/>
      <c r="AY1104" s="49"/>
      <c r="AZ1104" s="49"/>
      <c r="BA1104" s="49"/>
      <c r="BB1104" s="49"/>
      <c r="BC1104" s="49"/>
      <c r="BD1104" s="49"/>
      <c r="BE1104" s="49"/>
      <c r="BF1104" s="68"/>
    </row>
    <row r="1105" spans="1:58" s="51" customFormat="1" ht="14.25" customHeight="1">
      <c r="A1105" s="1126"/>
      <c r="B1105" s="932"/>
      <c r="C1105" s="881" t="s">
        <v>1341</v>
      </c>
      <c r="D1105" s="62">
        <v>2020</v>
      </c>
      <c r="E1105" s="63">
        <f>F1105+G1105+H1105+I1105+J1105</f>
        <v>28.799999999999997</v>
      </c>
      <c r="F1105" s="63">
        <v>20.567599999999999</v>
      </c>
      <c r="G1105" s="63">
        <v>0</v>
      </c>
      <c r="H1105" s="63">
        <v>0</v>
      </c>
      <c r="I1105" s="63">
        <v>0</v>
      </c>
      <c r="J1105" s="63">
        <v>8.2324000000000002</v>
      </c>
      <c r="K1105" s="76">
        <v>0</v>
      </c>
      <c r="L1105" s="497">
        <f t="shared" si="368"/>
        <v>28.799999999999997</v>
      </c>
      <c r="M1105" s="581"/>
      <c r="N1105" s="88"/>
      <c r="O1105" s="580"/>
      <c r="P1105" s="1016"/>
      <c r="Q1105" s="49"/>
      <c r="R1105" s="49"/>
      <c r="S1105" s="49"/>
      <c r="T1105" s="49"/>
      <c r="U1105" s="49"/>
      <c r="V1105" s="49"/>
      <c r="W1105" s="49"/>
      <c r="X1105" s="49"/>
      <c r="Y1105" s="49"/>
      <c r="Z1105" s="49"/>
      <c r="AA1105" s="49"/>
      <c r="AB1105" s="49"/>
      <c r="AC1105" s="49"/>
      <c r="AD1105" s="49"/>
      <c r="AE1105" s="49"/>
      <c r="AF1105" s="49"/>
      <c r="AG1105" s="49"/>
      <c r="AH1105" s="49"/>
      <c r="AI1105" s="49"/>
      <c r="AJ1105" s="49"/>
      <c r="AK1105" s="49"/>
      <c r="AL1105" s="49"/>
      <c r="AM1105" s="49"/>
      <c r="AN1105" s="49"/>
      <c r="AO1105" s="49"/>
      <c r="AP1105" s="49"/>
      <c r="AQ1105" s="49"/>
      <c r="AR1105" s="49"/>
      <c r="AS1105" s="49"/>
      <c r="AT1105" s="49"/>
      <c r="AU1105" s="49"/>
      <c r="AV1105" s="49"/>
      <c r="AW1105" s="49"/>
      <c r="AX1105" s="49"/>
      <c r="AY1105" s="49"/>
      <c r="AZ1105" s="49"/>
      <c r="BA1105" s="49"/>
      <c r="BB1105" s="49"/>
      <c r="BC1105" s="49"/>
      <c r="BD1105" s="49"/>
      <c r="BE1105" s="49"/>
      <c r="BF1105" s="68"/>
    </row>
    <row r="1106" spans="1:58" s="51" customFormat="1" ht="14.25" customHeight="1">
      <c r="A1106" s="1126"/>
      <c r="B1106" s="932"/>
      <c r="C1106" s="882"/>
      <c r="D1106" s="62">
        <v>2021</v>
      </c>
      <c r="E1106" s="63">
        <v>33.381599999999999</v>
      </c>
      <c r="F1106" s="63">
        <v>23.9329</v>
      </c>
      <c r="G1106" s="63">
        <v>0</v>
      </c>
      <c r="H1106" s="63">
        <v>0</v>
      </c>
      <c r="I1106" s="63">
        <v>0</v>
      </c>
      <c r="J1106" s="63">
        <v>9.4487000000000005</v>
      </c>
      <c r="K1106" s="76">
        <v>0</v>
      </c>
      <c r="L1106" s="497">
        <f t="shared" si="368"/>
        <v>33.381599999999999</v>
      </c>
      <c r="M1106" s="581"/>
      <c r="N1106" s="88"/>
      <c r="O1106" s="580"/>
      <c r="P1106" s="1016"/>
      <c r="Q1106" s="49"/>
      <c r="R1106" s="49"/>
      <c r="S1106" s="49"/>
      <c r="T1106" s="49"/>
      <c r="U1106" s="49"/>
      <c r="V1106" s="49"/>
      <c r="W1106" s="49"/>
      <c r="X1106" s="49"/>
      <c r="Y1106" s="49"/>
      <c r="Z1106" s="49"/>
      <c r="AA1106" s="49"/>
      <c r="AB1106" s="49"/>
      <c r="AC1106" s="49"/>
      <c r="AD1106" s="49"/>
      <c r="AE1106" s="49"/>
      <c r="AF1106" s="49"/>
      <c r="AG1106" s="49"/>
      <c r="AH1106" s="49"/>
      <c r="AI1106" s="49"/>
      <c r="AJ1106" s="49"/>
      <c r="AK1106" s="49"/>
      <c r="AL1106" s="49"/>
      <c r="AM1106" s="49"/>
      <c r="AN1106" s="49"/>
      <c r="AO1106" s="49"/>
      <c r="AP1106" s="49"/>
      <c r="AQ1106" s="49"/>
      <c r="AR1106" s="49"/>
      <c r="AS1106" s="49"/>
      <c r="AT1106" s="49"/>
      <c r="AU1106" s="49"/>
      <c r="AV1106" s="49"/>
      <c r="AW1106" s="49"/>
      <c r="AX1106" s="49"/>
      <c r="AY1106" s="49"/>
      <c r="AZ1106" s="49"/>
      <c r="BA1106" s="49"/>
      <c r="BB1106" s="49"/>
      <c r="BC1106" s="49"/>
      <c r="BD1106" s="49"/>
      <c r="BE1106" s="49"/>
      <c r="BF1106" s="68"/>
    </row>
    <row r="1107" spans="1:58" s="51" customFormat="1" ht="14.25" customHeight="1">
      <c r="A1107" s="1126"/>
      <c r="B1107" s="932"/>
      <c r="C1107" s="882"/>
      <c r="D1107" s="62">
        <v>2022</v>
      </c>
      <c r="E1107" s="507">
        <f t="shared" ref="E1107:E1115" si="377">F1107+G1107+H1107+I1107+J1107</f>
        <v>24.152699999999999</v>
      </c>
      <c r="F1107" s="63">
        <v>24.152699999999999</v>
      </c>
      <c r="G1107" s="63">
        <v>0</v>
      </c>
      <c r="H1107" s="63">
        <v>0</v>
      </c>
      <c r="I1107" s="63">
        <v>0</v>
      </c>
      <c r="J1107" s="63">
        <v>0</v>
      </c>
      <c r="K1107" s="76">
        <v>0</v>
      </c>
      <c r="L1107" s="497">
        <f t="shared" si="368"/>
        <v>24.152699999999999</v>
      </c>
      <c r="M1107" s="581"/>
      <c r="N1107" s="88"/>
      <c r="O1107" s="580"/>
      <c r="P1107" s="1016"/>
      <c r="Q1107" s="49"/>
      <c r="R1107" s="49"/>
      <c r="S1107" s="49"/>
      <c r="T1107" s="49"/>
      <c r="U1107" s="49"/>
      <c r="V1107" s="49"/>
      <c r="W1107" s="49"/>
      <c r="X1107" s="49"/>
      <c r="Y1107" s="49"/>
      <c r="Z1107" s="49"/>
      <c r="AA1107" s="49"/>
      <c r="AB1107" s="49"/>
      <c r="AC1107" s="49"/>
      <c r="AD1107" s="49"/>
      <c r="AE1107" s="49"/>
      <c r="AF1107" s="49"/>
      <c r="AG1107" s="49"/>
      <c r="AH1107" s="49"/>
      <c r="AI1107" s="49"/>
      <c r="AJ1107" s="49"/>
      <c r="AK1107" s="49"/>
      <c r="AL1107" s="49"/>
      <c r="AM1107" s="49"/>
      <c r="AN1107" s="49"/>
      <c r="AO1107" s="49"/>
      <c r="AP1107" s="49"/>
      <c r="AQ1107" s="49"/>
      <c r="AR1107" s="49"/>
      <c r="AS1107" s="49"/>
      <c r="AT1107" s="49"/>
      <c r="AU1107" s="49"/>
      <c r="AV1107" s="49"/>
      <c r="AW1107" s="49"/>
      <c r="AX1107" s="49"/>
      <c r="AY1107" s="49"/>
      <c r="AZ1107" s="49"/>
      <c r="BA1107" s="49"/>
      <c r="BB1107" s="49"/>
      <c r="BC1107" s="49"/>
      <c r="BD1107" s="49"/>
      <c r="BE1107" s="49"/>
      <c r="BF1107" s="68"/>
    </row>
    <row r="1108" spans="1:58" s="51" customFormat="1" ht="14.25" customHeight="1">
      <c r="A1108" s="1126"/>
      <c r="B1108" s="932"/>
      <c r="C1108" s="882"/>
      <c r="D1108" s="62">
        <v>2023</v>
      </c>
      <c r="E1108" s="507">
        <f t="shared" si="377"/>
        <v>24.2683</v>
      </c>
      <c r="F1108" s="63">
        <v>24.2683</v>
      </c>
      <c r="G1108" s="63">
        <v>0</v>
      </c>
      <c r="H1108" s="63">
        <v>0</v>
      </c>
      <c r="I1108" s="63">
        <v>0</v>
      </c>
      <c r="J1108" s="63">
        <v>0</v>
      </c>
      <c r="K1108" s="76">
        <v>0</v>
      </c>
      <c r="L1108" s="497">
        <f t="shared" si="368"/>
        <v>24.2683</v>
      </c>
      <c r="M1108" s="581"/>
      <c r="N1108" s="88"/>
      <c r="O1108" s="580"/>
      <c r="P1108" s="1016"/>
      <c r="Q1108" s="49"/>
      <c r="R1108" s="49"/>
      <c r="S1108" s="49"/>
      <c r="T1108" s="49"/>
      <c r="U1108" s="49"/>
      <c r="V1108" s="49"/>
      <c r="W1108" s="49"/>
      <c r="X1108" s="49"/>
      <c r="Y1108" s="49"/>
      <c r="Z1108" s="49"/>
      <c r="AA1108" s="49"/>
      <c r="AB1108" s="49"/>
      <c r="AC1108" s="49"/>
      <c r="AD1108" s="49"/>
      <c r="AE1108" s="49"/>
      <c r="AF1108" s="49"/>
      <c r="AG1108" s="49"/>
      <c r="AH1108" s="49"/>
      <c r="AI1108" s="49"/>
      <c r="AJ1108" s="49"/>
      <c r="AK1108" s="49"/>
      <c r="AL1108" s="49"/>
      <c r="AM1108" s="49"/>
      <c r="AN1108" s="49"/>
      <c r="AO1108" s="49"/>
      <c r="AP1108" s="49"/>
      <c r="AQ1108" s="49"/>
      <c r="AR1108" s="49"/>
      <c r="AS1108" s="49"/>
      <c r="AT1108" s="49"/>
      <c r="AU1108" s="49"/>
      <c r="AV1108" s="49"/>
      <c r="AW1108" s="49"/>
      <c r="AX1108" s="49"/>
      <c r="AY1108" s="49"/>
      <c r="AZ1108" s="49"/>
      <c r="BA1108" s="49"/>
      <c r="BB1108" s="49"/>
      <c r="BC1108" s="49"/>
      <c r="BD1108" s="49"/>
      <c r="BE1108" s="49"/>
      <c r="BF1108" s="68"/>
    </row>
    <row r="1109" spans="1:58" s="51" customFormat="1" ht="14.25" customHeight="1">
      <c r="A1109" s="1126"/>
      <c r="B1109" s="932"/>
      <c r="C1109" s="882"/>
      <c r="D1109" s="62">
        <v>2024</v>
      </c>
      <c r="E1109" s="507">
        <f t="shared" si="377"/>
        <v>33.716999999999999</v>
      </c>
      <c r="F1109" s="63">
        <v>24.2683</v>
      </c>
      <c r="G1109" s="63">
        <v>0</v>
      </c>
      <c r="H1109" s="63">
        <v>0</v>
      </c>
      <c r="I1109" s="63">
        <v>0</v>
      </c>
      <c r="J1109" s="63">
        <v>9.4487000000000005</v>
      </c>
      <c r="K1109" s="76">
        <v>0</v>
      </c>
      <c r="L1109" s="497">
        <f t="shared" si="368"/>
        <v>33.716999999999999</v>
      </c>
      <c r="M1109" s="581"/>
      <c r="N1109" s="88"/>
      <c r="O1109" s="580"/>
      <c r="P1109" s="1016"/>
      <c r="Q1109" s="49"/>
      <c r="R1109" s="49"/>
      <c r="S1109" s="49"/>
      <c r="T1109" s="49"/>
      <c r="U1109" s="49"/>
      <c r="V1109" s="49"/>
      <c r="W1109" s="49"/>
      <c r="X1109" s="49"/>
      <c r="Y1109" s="49"/>
      <c r="Z1109" s="49"/>
      <c r="AA1109" s="49"/>
      <c r="AB1109" s="49"/>
      <c r="AC1109" s="49"/>
      <c r="AD1109" s="49"/>
      <c r="AE1109" s="49"/>
      <c r="AF1109" s="49"/>
      <c r="AG1109" s="49"/>
      <c r="AH1109" s="49"/>
      <c r="AI1109" s="49"/>
      <c r="AJ1109" s="49"/>
      <c r="AK1109" s="49"/>
      <c r="AL1109" s="49"/>
      <c r="AM1109" s="49"/>
      <c r="AN1109" s="49"/>
      <c r="AO1109" s="49"/>
      <c r="AP1109" s="49"/>
      <c r="AQ1109" s="49"/>
      <c r="AR1109" s="49"/>
      <c r="AS1109" s="49"/>
      <c r="AT1109" s="49"/>
      <c r="AU1109" s="49"/>
      <c r="AV1109" s="49"/>
      <c r="AW1109" s="49"/>
      <c r="AX1109" s="49"/>
      <c r="AY1109" s="49"/>
      <c r="AZ1109" s="49"/>
      <c r="BA1109" s="49"/>
      <c r="BB1109" s="49"/>
      <c r="BC1109" s="49"/>
      <c r="BD1109" s="49"/>
      <c r="BE1109" s="49"/>
      <c r="BF1109" s="68"/>
    </row>
    <row r="1110" spans="1:58" s="51" customFormat="1" ht="14.25" customHeight="1">
      <c r="A1110" s="1126"/>
      <c r="B1110" s="932"/>
      <c r="C1110" s="964"/>
      <c r="D1110" s="62">
        <v>2025</v>
      </c>
      <c r="E1110" s="507">
        <f t="shared" si="377"/>
        <v>33.716999999999999</v>
      </c>
      <c r="F1110" s="63">
        <v>24.2683</v>
      </c>
      <c r="G1110" s="63">
        <v>0</v>
      </c>
      <c r="H1110" s="63">
        <v>0</v>
      </c>
      <c r="I1110" s="63">
        <v>0</v>
      </c>
      <c r="J1110" s="63">
        <v>9.4487000000000005</v>
      </c>
      <c r="K1110" s="76">
        <v>0</v>
      </c>
      <c r="L1110" s="497">
        <f t="shared" si="368"/>
        <v>33.716999999999999</v>
      </c>
      <c r="M1110" s="581"/>
      <c r="N1110" s="88"/>
      <c r="O1110" s="580"/>
      <c r="P1110" s="1016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49"/>
      <c r="AU1110" s="49"/>
      <c r="AV1110" s="49"/>
      <c r="AW1110" s="49"/>
      <c r="AX1110" s="49"/>
      <c r="AY1110" s="49"/>
      <c r="AZ1110" s="49"/>
      <c r="BA1110" s="49"/>
      <c r="BB1110" s="49"/>
      <c r="BC1110" s="49"/>
      <c r="BD1110" s="49"/>
      <c r="BE1110" s="49"/>
      <c r="BF1110" s="68"/>
    </row>
    <row r="1111" spans="1:58" s="51" customFormat="1" ht="14.25" customHeight="1">
      <c r="A1111" s="1126"/>
      <c r="B1111" s="932"/>
      <c r="C1111" s="1019" t="s">
        <v>982</v>
      </c>
      <c r="D1111" s="62">
        <v>2026</v>
      </c>
      <c r="E1111" s="507">
        <f t="shared" si="377"/>
        <v>33.716999999999999</v>
      </c>
      <c r="F1111" s="63">
        <v>24.2683</v>
      </c>
      <c r="G1111" s="63">
        <v>0</v>
      </c>
      <c r="H1111" s="63">
        <v>0</v>
      </c>
      <c r="I1111" s="63">
        <v>0</v>
      </c>
      <c r="J1111" s="63">
        <v>9.4487000000000005</v>
      </c>
      <c r="K1111" s="76">
        <v>0</v>
      </c>
      <c r="L1111" s="497">
        <f t="shared" si="368"/>
        <v>33.716999999999999</v>
      </c>
      <c r="M1111" s="581"/>
      <c r="N1111" s="88"/>
      <c r="O1111" s="580"/>
      <c r="P1111" s="1016"/>
      <c r="Q1111" s="49"/>
      <c r="R1111" s="49"/>
      <c r="S1111" s="49"/>
      <c r="T1111" s="49"/>
      <c r="U1111" s="49"/>
      <c r="V1111" s="49"/>
      <c r="W1111" s="49"/>
      <c r="X1111" s="49"/>
      <c r="Y1111" s="49"/>
      <c r="Z1111" s="49"/>
      <c r="AA1111" s="49"/>
      <c r="AB1111" s="49"/>
      <c r="AC1111" s="49"/>
      <c r="AD1111" s="49"/>
      <c r="AE1111" s="49"/>
      <c r="AF1111" s="49"/>
      <c r="AG1111" s="49"/>
      <c r="AH1111" s="49"/>
      <c r="AI1111" s="49"/>
      <c r="AJ1111" s="49"/>
      <c r="AK1111" s="49"/>
      <c r="AL1111" s="49"/>
      <c r="AM1111" s="49"/>
      <c r="AN1111" s="49"/>
      <c r="AO1111" s="49"/>
      <c r="AP1111" s="49"/>
      <c r="AQ1111" s="49"/>
      <c r="AR1111" s="49"/>
      <c r="AS1111" s="49"/>
      <c r="AT1111" s="49"/>
      <c r="AU1111" s="49"/>
      <c r="AV1111" s="49"/>
      <c r="AW1111" s="49"/>
      <c r="AX1111" s="49"/>
      <c r="AY1111" s="49"/>
      <c r="AZ1111" s="49"/>
      <c r="BA1111" s="49"/>
      <c r="BB1111" s="49"/>
      <c r="BC1111" s="49"/>
      <c r="BD1111" s="49"/>
      <c r="BE1111" s="49"/>
      <c r="BF1111" s="68"/>
    </row>
    <row r="1112" spans="1:58" s="51" customFormat="1" ht="14.25" customHeight="1">
      <c r="A1112" s="1126"/>
      <c r="B1112" s="932"/>
      <c r="C1112" s="1019"/>
      <c r="D1112" s="62">
        <v>2027</v>
      </c>
      <c r="E1112" s="507">
        <f t="shared" si="377"/>
        <v>33.716999999999999</v>
      </c>
      <c r="F1112" s="63">
        <v>24.2683</v>
      </c>
      <c r="G1112" s="63">
        <v>0</v>
      </c>
      <c r="H1112" s="63">
        <v>0</v>
      </c>
      <c r="I1112" s="63">
        <v>0</v>
      </c>
      <c r="J1112" s="63">
        <v>9.4487000000000005</v>
      </c>
      <c r="K1112" s="76">
        <v>0</v>
      </c>
      <c r="L1112" s="497">
        <f t="shared" si="368"/>
        <v>33.716999999999999</v>
      </c>
      <c r="M1112" s="581"/>
      <c r="N1112" s="88"/>
      <c r="O1112" s="580"/>
      <c r="P1112" s="1016"/>
      <c r="Q1112" s="49"/>
      <c r="R1112" s="49"/>
      <c r="S1112" s="49"/>
      <c r="T1112" s="49"/>
      <c r="U1112" s="49"/>
      <c r="V1112" s="49"/>
      <c r="W1112" s="49"/>
      <c r="X1112" s="49"/>
      <c r="Y1112" s="49"/>
      <c r="Z1112" s="49"/>
      <c r="AA1112" s="49"/>
      <c r="AB1112" s="49"/>
      <c r="AC1112" s="49"/>
      <c r="AD1112" s="49"/>
      <c r="AE1112" s="49"/>
      <c r="AF1112" s="49"/>
      <c r="AG1112" s="49"/>
      <c r="AH1112" s="49"/>
      <c r="AI1112" s="49"/>
      <c r="AJ1112" s="49"/>
      <c r="AK1112" s="49"/>
      <c r="AL1112" s="49"/>
      <c r="AM1112" s="49"/>
      <c r="AN1112" s="49"/>
      <c r="AO1112" s="49"/>
      <c r="AP1112" s="49"/>
      <c r="AQ1112" s="49"/>
      <c r="AR1112" s="49"/>
      <c r="AS1112" s="49"/>
      <c r="AT1112" s="49"/>
      <c r="AU1112" s="49"/>
      <c r="AV1112" s="49"/>
      <c r="AW1112" s="49"/>
      <c r="AX1112" s="49"/>
      <c r="AY1112" s="49"/>
      <c r="AZ1112" s="49"/>
      <c r="BA1112" s="49"/>
      <c r="BB1112" s="49"/>
      <c r="BC1112" s="49"/>
      <c r="BD1112" s="49"/>
      <c r="BE1112" s="49"/>
      <c r="BF1112" s="68"/>
    </row>
    <row r="1113" spans="1:58" s="51" customFormat="1" ht="14.25" customHeight="1">
      <c r="A1113" s="1126"/>
      <c r="B1113" s="932"/>
      <c r="C1113" s="1019"/>
      <c r="D1113" s="62">
        <v>2028</v>
      </c>
      <c r="E1113" s="507">
        <f t="shared" si="377"/>
        <v>33.716999999999999</v>
      </c>
      <c r="F1113" s="63">
        <v>24.2683</v>
      </c>
      <c r="G1113" s="63">
        <v>0</v>
      </c>
      <c r="H1113" s="63">
        <v>0</v>
      </c>
      <c r="I1113" s="63">
        <v>0</v>
      </c>
      <c r="J1113" s="63">
        <v>9.4487000000000005</v>
      </c>
      <c r="K1113" s="76">
        <v>0</v>
      </c>
      <c r="L1113" s="497">
        <f t="shared" ref="L1113:L1144" si="378">F1113+G1113+H1113+I1113+J1113</f>
        <v>33.716999999999999</v>
      </c>
      <c r="M1113" s="581"/>
      <c r="N1113" s="88"/>
      <c r="O1113" s="580"/>
      <c r="P1113" s="1016"/>
      <c r="Q1113" s="49"/>
      <c r="R1113" s="49"/>
      <c r="S1113" s="49"/>
      <c r="T1113" s="49"/>
      <c r="U1113" s="49"/>
      <c r="V1113" s="49"/>
      <c r="W1113" s="49"/>
      <c r="X1113" s="49"/>
      <c r="Y1113" s="49"/>
      <c r="Z1113" s="49"/>
      <c r="AA1113" s="49"/>
      <c r="AB1113" s="49"/>
      <c r="AC1113" s="49"/>
      <c r="AD1113" s="49"/>
      <c r="AE1113" s="49"/>
      <c r="AF1113" s="49"/>
      <c r="AG1113" s="49"/>
      <c r="AH1113" s="49"/>
      <c r="AI1113" s="49"/>
      <c r="AJ1113" s="49"/>
      <c r="AK1113" s="49"/>
      <c r="AL1113" s="49"/>
      <c r="AM1113" s="49"/>
      <c r="AN1113" s="49"/>
      <c r="AO1113" s="49"/>
      <c r="AP1113" s="49"/>
      <c r="AQ1113" s="49"/>
      <c r="AR1113" s="49"/>
      <c r="AS1113" s="49"/>
      <c r="AT1113" s="49"/>
      <c r="AU1113" s="49"/>
      <c r="AV1113" s="49"/>
      <c r="AW1113" s="49"/>
      <c r="AX1113" s="49"/>
      <c r="AY1113" s="49"/>
      <c r="AZ1113" s="49"/>
      <c r="BA1113" s="49"/>
      <c r="BB1113" s="49"/>
      <c r="BC1113" s="49"/>
      <c r="BD1113" s="49"/>
      <c r="BE1113" s="49"/>
      <c r="BF1113" s="68"/>
    </row>
    <row r="1114" spans="1:58" s="51" customFormat="1" ht="14.25" customHeight="1">
      <c r="A1114" s="1126"/>
      <c r="B1114" s="932"/>
      <c r="C1114" s="1019"/>
      <c r="D1114" s="62">
        <v>2029</v>
      </c>
      <c r="E1114" s="507">
        <f t="shared" si="377"/>
        <v>33.716999999999999</v>
      </c>
      <c r="F1114" s="63">
        <v>24.2683</v>
      </c>
      <c r="G1114" s="63">
        <v>0</v>
      </c>
      <c r="H1114" s="63">
        <v>0</v>
      </c>
      <c r="I1114" s="63">
        <v>0</v>
      </c>
      <c r="J1114" s="63">
        <v>9.4487000000000005</v>
      </c>
      <c r="K1114" s="76">
        <v>0</v>
      </c>
      <c r="L1114" s="497">
        <f t="shared" si="378"/>
        <v>33.716999999999999</v>
      </c>
      <c r="M1114" s="581"/>
      <c r="N1114" s="88"/>
      <c r="O1114" s="580"/>
      <c r="P1114" s="1016"/>
      <c r="Q1114" s="49"/>
      <c r="R1114" s="49"/>
      <c r="S1114" s="49"/>
      <c r="T1114" s="49"/>
      <c r="U1114" s="49"/>
      <c r="V1114" s="49"/>
      <c r="W1114" s="49"/>
      <c r="X1114" s="49"/>
      <c r="Y1114" s="49"/>
      <c r="Z1114" s="49"/>
      <c r="AA1114" s="49"/>
      <c r="AB1114" s="49"/>
      <c r="AC1114" s="49"/>
      <c r="AD1114" s="49"/>
      <c r="AE1114" s="49"/>
      <c r="AF1114" s="49"/>
      <c r="AG1114" s="49"/>
      <c r="AH1114" s="49"/>
      <c r="AI1114" s="49"/>
      <c r="AJ1114" s="49"/>
      <c r="AK1114" s="49"/>
      <c r="AL1114" s="49"/>
      <c r="AM1114" s="49"/>
      <c r="AN1114" s="49"/>
      <c r="AO1114" s="49"/>
      <c r="AP1114" s="49"/>
      <c r="AQ1114" s="49"/>
      <c r="AR1114" s="49"/>
      <c r="AS1114" s="49"/>
      <c r="AT1114" s="49"/>
      <c r="AU1114" s="49"/>
      <c r="AV1114" s="49"/>
      <c r="AW1114" s="49"/>
      <c r="AX1114" s="49"/>
      <c r="AY1114" s="49"/>
      <c r="AZ1114" s="49"/>
      <c r="BA1114" s="49"/>
      <c r="BB1114" s="49"/>
      <c r="BC1114" s="49"/>
      <c r="BD1114" s="49"/>
      <c r="BE1114" s="49"/>
      <c r="BF1114" s="68"/>
    </row>
    <row r="1115" spans="1:58" s="51" customFormat="1" ht="14.25" customHeight="1">
      <c r="A1115" s="1127"/>
      <c r="B1115" s="933"/>
      <c r="C1115" s="1019"/>
      <c r="D1115" s="62">
        <v>2030</v>
      </c>
      <c r="E1115" s="507">
        <f t="shared" si="377"/>
        <v>33.716999999999999</v>
      </c>
      <c r="F1115" s="63">
        <v>24.2683</v>
      </c>
      <c r="G1115" s="63">
        <v>0</v>
      </c>
      <c r="H1115" s="63">
        <v>0</v>
      </c>
      <c r="I1115" s="63">
        <v>0</v>
      </c>
      <c r="J1115" s="63">
        <v>9.4487000000000005</v>
      </c>
      <c r="K1115" s="76">
        <v>0</v>
      </c>
      <c r="L1115" s="497">
        <f t="shared" si="378"/>
        <v>33.716999999999999</v>
      </c>
      <c r="M1115" s="581"/>
      <c r="N1115" s="88"/>
      <c r="O1115" s="580"/>
      <c r="P1115" s="843"/>
      <c r="Q1115" s="49"/>
      <c r="R1115" s="49"/>
      <c r="S1115" s="49"/>
      <c r="T1115" s="49"/>
      <c r="U1115" s="49"/>
      <c r="V1115" s="49"/>
      <c r="W1115" s="49"/>
      <c r="X1115" s="49"/>
      <c r="Y1115" s="49"/>
      <c r="Z1115" s="49"/>
      <c r="AA1115" s="49"/>
      <c r="AB1115" s="49"/>
      <c r="AC1115" s="49"/>
      <c r="AD1115" s="49"/>
      <c r="AE1115" s="49"/>
      <c r="AF1115" s="49"/>
      <c r="AG1115" s="49"/>
      <c r="AH1115" s="49"/>
      <c r="AI1115" s="49"/>
      <c r="AJ1115" s="49"/>
      <c r="AK1115" s="49"/>
      <c r="AL1115" s="49"/>
      <c r="AM1115" s="49"/>
      <c r="AN1115" s="49"/>
      <c r="AO1115" s="49"/>
      <c r="AP1115" s="49"/>
      <c r="AQ1115" s="49"/>
      <c r="AR1115" s="49"/>
      <c r="AS1115" s="49"/>
      <c r="AT1115" s="49"/>
      <c r="AU1115" s="49"/>
      <c r="AV1115" s="49"/>
      <c r="AW1115" s="49"/>
      <c r="AX1115" s="49"/>
      <c r="AY1115" s="49"/>
      <c r="AZ1115" s="49"/>
      <c r="BA1115" s="49"/>
      <c r="BB1115" s="49"/>
      <c r="BC1115" s="49"/>
      <c r="BD1115" s="49"/>
      <c r="BE1115" s="49"/>
      <c r="BF1115" s="68"/>
    </row>
    <row r="1116" spans="1:58" s="51" customFormat="1" ht="14.25" customHeight="1">
      <c r="A1116" s="794" t="s">
        <v>1000</v>
      </c>
      <c r="B1116" s="931" t="s">
        <v>984</v>
      </c>
      <c r="C1116" s="358"/>
      <c r="D1116" s="84" t="s">
        <v>16</v>
      </c>
      <c r="E1116" s="63">
        <f t="shared" ref="E1116:J1116" si="379">E1117+E1118+E1119+E1120+E1121+E1122+E1123+E1124+E1125+E1126+E1127</f>
        <v>42.815499999999993</v>
      </c>
      <c r="F1116" s="63">
        <f t="shared" si="379"/>
        <v>25.140899999999991</v>
      </c>
      <c r="G1116" s="63">
        <f t="shared" si="379"/>
        <v>0</v>
      </c>
      <c r="H1116" s="63">
        <f t="shared" si="379"/>
        <v>0</v>
      </c>
      <c r="I1116" s="63">
        <f t="shared" si="379"/>
        <v>0</v>
      </c>
      <c r="J1116" s="63">
        <f t="shared" si="379"/>
        <v>17.674599999999998</v>
      </c>
      <c r="K1116" s="76">
        <v>0</v>
      </c>
      <c r="L1116" s="497">
        <f t="shared" si="378"/>
        <v>42.815499999999986</v>
      </c>
      <c r="M1116" s="581"/>
      <c r="N1116" s="88"/>
      <c r="O1116" s="580"/>
      <c r="P1116" s="360"/>
      <c r="Q1116" s="49"/>
      <c r="R1116" s="49"/>
      <c r="S1116" s="49"/>
      <c r="T1116" s="49"/>
      <c r="U1116" s="49"/>
      <c r="V1116" s="49"/>
      <c r="W1116" s="49"/>
      <c r="X1116" s="49"/>
      <c r="Y1116" s="49"/>
      <c r="Z1116" s="49"/>
      <c r="AA1116" s="49"/>
      <c r="AB1116" s="49"/>
      <c r="AC1116" s="49"/>
      <c r="AD1116" s="49"/>
      <c r="AE1116" s="49"/>
      <c r="AF1116" s="49"/>
      <c r="AG1116" s="49"/>
      <c r="AH1116" s="49"/>
      <c r="AI1116" s="49"/>
      <c r="AJ1116" s="49"/>
      <c r="AK1116" s="49"/>
      <c r="AL1116" s="49"/>
      <c r="AM1116" s="49"/>
      <c r="AN1116" s="49"/>
      <c r="AO1116" s="49"/>
      <c r="AP1116" s="49"/>
      <c r="AQ1116" s="49"/>
      <c r="AR1116" s="49"/>
      <c r="AS1116" s="49"/>
      <c r="AT1116" s="49"/>
      <c r="AU1116" s="49"/>
      <c r="AV1116" s="49"/>
      <c r="AW1116" s="49"/>
      <c r="AX1116" s="49"/>
      <c r="AY1116" s="49"/>
      <c r="AZ1116" s="49"/>
      <c r="BA1116" s="49"/>
      <c r="BB1116" s="49"/>
      <c r="BC1116" s="49"/>
      <c r="BD1116" s="49"/>
      <c r="BE1116" s="49"/>
      <c r="BF1116" s="68"/>
    </row>
    <row r="1117" spans="1:58" s="51" customFormat="1" ht="14.25" customHeight="1">
      <c r="A1117" s="1126"/>
      <c r="B1117" s="932"/>
      <c r="C1117" s="881" t="s">
        <v>1341</v>
      </c>
      <c r="D1117" s="62">
        <v>2020</v>
      </c>
      <c r="E1117" s="63">
        <f t="shared" ref="E1117:E1127" si="380">F1117+G1117+H1117+I1117+J1117</f>
        <v>3.2515000000000001</v>
      </c>
      <c r="F1117" s="63">
        <v>2.0057</v>
      </c>
      <c r="G1117" s="63">
        <v>0</v>
      </c>
      <c r="H1117" s="63">
        <v>0</v>
      </c>
      <c r="I1117" s="63">
        <v>0</v>
      </c>
      <c r="J1117" s="63">
        <v>1.2458</v>
      </c>
      <c r="K1117" s="76">
        <v>0</v>
      </c>
      <c r="L1117" s="497">
        <f t="shared" si="378"/>
        <v>3.2515000000000001</v>
      </c>
      <c r="M1117" s="581"/>
      <c r="N1117" s="88"/>
      <c r="O1117" s="580"/>
      <c r="P1117" s="360"/>
      <c r="Q1117" s="49"/>
      <c r="R1117" s="49"/>
      <c r="S1117" s="49"/>
      <c r="T1117" s="49"/>
      <c r="U1117" s="49"/>
      <c r="V1117" s="49"/>
      <c r="W1117" s="49"/>
      <c r="X1117" s="49"/>
      <c r="Y1117" s="49"/>
      <c r="Z1117" s="49"/>
      <c r="AA1117" s="49"/>
      <c r="AB1117" s="49"/>
      <c r="AC1117" s="49"/>
      <c r="AD1117" s="49"/>
      <c r="AE1117" s="49"/>
      <c r="AF1117" s="49"/>
      <c r="AG1117" s="49"/>
      <c r="AH1117" s="49"/>
      <c r="AI1117" s="49"/>
      <c r="AJ1117" s="49"/>
      <c r="AK1117" s="49"/>
      <c r="AL1117" s="49"/>
      <c r="AM1117" s="49"/>
      <c r="AN1117" s="49"/>
      <c r="AO1117" s="49"/>
      <c r="AP1117" s="49"/>
      <c r="AQ1117" s="49"/>
      <c r="AR1117" s="49"/>
      <c r="AS1117" s="49"/>
      <c r="AT1117" s="49"/>
      <c r="AU1117" s="49"/>
      <c r="AV1117" s="49"/>
      <c r="AW1117" s="49"/>
      <c r="AX1117" s="49"/>
      <c r="AY1117" s="49"/>
      <c r="AZ1117" s="49"/>
      <c r="BA1117" s="49"/>
      <c r="BB1117" s="49"/>
      <c r="BC1117" s="49"/>
      <c r="BD1117" s="49"/>
      <c r="BE1117" s="49"/>
      <c r="BF1117" s="68"/>
    </row>
    <row r="1118" spans="1:58" s="51" customFormat="1" ht="14.25" customHeight="1">
      <c r="A1118" s="1126"/>
      <c r="B1118" s="932"/>
      <c r="C1118" s="882"/>
      <c r="D1118" s="62">
        <v>2021</v>
      </c>
      <c r="E1118" s="63">
        <f t="shared" si="380"/>
        <v>4.3616999999999999</v>
      </c>
      <c r="F1118" s="63">
        <v>2.3081</v>
      </c>
      <c r="G1118" s="63">
        <v>0</v>
      </c>
      <c r="H1118" s="63">
        <v>0</v>
      </c>
      <c r="I1118" s="63">
        <v>0</v>
      </c>
      <c r="J1118" s="63">
        <v>2.0535999999999999</v>
      </c>
      <c r="K1118" s="76">
        <v>0</v>
      </c>
      <c r="L1118" s="497">
        <f t="shared" si="378"/>
        <v>4.3616999999999999</v>
      </c>
      <c r="M1118" s="581"/>
      <c r="N1118" s="88"/>
      <c r="O1118" s="580"/>
      <c r="P1118" s="360"/>
      <c r="Q1118" s="49"/>
      <c r="R1118" s="49"/>
      <c r="S1118" s="49"/>
      <c r="T1118" s="49"/>
      <c r="U1118" s="49"/>
      <c r="V1118" s="49"/>
      <c r="W1118" s="49"/>
      <c r="X1118" s="49"/>
      <c r="Y1118" s="49"/>
      <c r="Z1118" s="49"/>
      <c r="AA1118" s="49"/>
      <c r="AB1118" s="49"/>
      <c r="AC1118" s="49"/>
      <c r="AD1118" s="49"/>
      <c r="AE1118" s="49"/>
      <c r="AF1118" s="49"/>
      <c r="AG1118" s="49"/>
      <c r="AH1118" s="49"/>
      <c r="AI1118" s="49"/>
      <c r="AJ1118" s="49"/>
      <c r="AK1118" s="49"/>
      <c r="AL1118" s="49"/>
      <c r="AM1118" s="49"/>
      <c r="AN1118" s="49"/>
      <c r="AO1118" s="49"/>
      <c r="AP1118" s="49"/>
      <c r="AQ1118" s="49"/>
      <c r="AR1118" s="49"/>
      <c r="AS1118" s="49"/>
      <c r="AT1118" s="49"/>
      <c r="AU1118" s="49"/>
      <c r="AV1118" s="49"/>
      <c r="AW1118" s="49"/>
      <c r="AX1118" s="49"/>
      <c r="AY1118" s="49"/>
      <c r="AZ1118" s="49"/>
      <c r="BA1118" s="49"/>
      <c r="BB1118" s="49"/>
      <c r="BC1118" s="49"/>
      <c r="BD1118" s="49"/>
      <c r="BE1118" s="49"/>
      <c r="BF1118" s="68"/>
    </row>
    <row r="1119" spans="1:58" s="51" customFormat="1" ht="14.25" customHeight="1">
      <c r="A1119" s="1126"/>
      <c r="B1119" s="932"/>
      <c r="C1119" s="882"/>
      <c r="D1119" s="62">
        <v>2022</v>
      </c>
      <c r="E1119" s="507">
        <f t="shared" si="380"/>
        <v>2.3111000000000002</v>
      </c>
      <c r="F1119" s="63">
        <v>2.3111000000000002</v>
      </c>
      <c r="G1119" s="63">
        <v>0</v>
      </c>
      <c r="H1119" s="63">
        <v>0</v>
      </c>
      <c r="I1119" s="63">
        <v>0</v>
      </c>
      <c r="J1119" s="63">
        <v>0</v>
      </c>
      <c r="K1119" s="76">
        <v>0</v>
      </c>
      <c r="L1119" s="497">
        <f t="shared" si="378"/>
        <v>2.3111000000000002</v>
      </c>
      <c r="M1119" s="581"/>
      <c r="N1119" s="88"/>
      <c r="O1119" s="580"/>
      <c r="P1119" s="360"/>
      <c r="Q1119" s="49"/>
      <c r="R1119" s="49"/>
      <c r="S1119" s="49"/>
      <c r="T1119" s="49"/>
      <c r="U1119" s="49"/>
      <c r="V1119" s="49"/>
      <c r="W1119" s="49"/>
      <c r="X1119" s="49"/>
      <c r="Y1119" s="49"/>
      <c r="Z1119" s="49"/>
      <c r="AA1119" s="49"/>
      <c r="AB1119" s="49"/>
      <c r="AC1119" s="49"/>
      <c r="AD1119" s="49"/>
      <c r="AE1119" s="49"/>
      <c r="AF1119" s="49"/>
      <c r="AG1119" s="49"/>
      <c r="AH1119" s="49"/>
      <c r="AI1119" s="49"/>
      <c r="AJ1119" s="49"/>
      <c r="AK1119" s="49"/>
      <c r="AL1119" s="49"/>
      <c r="AM1119" s="49"/>
      <c r="AN1119" s="49"/>
      <c r="AO1119" s="49"/>
      <c r="AP1119" s="49"/>
      <c r="AQ1119" s="49"/>
      <c r="AR1119" s="49"/>
      <c r="AS1119" s="49"/>
      <c r="AT1119" s="49"/>
      <c r="AU1119" s="49"/>
      <c r="AV1119" s="49"/>
      <c r="AW1119" s="49"/>
      <c r="AX1119" s="49"/>
      <c r="AY1119" s="49"/>
      <c r="AZ1119" s="49"/>
      <c r="BA1119" s="49"/>
      <c r="BB1119" s="49"/>
      <c r="BC1119" s="49"/>
      <c r="BD1119" s="49"/>
      <c r="BE1119" s="49"/>
      <c r="BF1119" s="68"/>
    </row>
    <row r="1120" spans="1:58" s="51" customFormat="1" ht="14.25" customHeight="1">
      <c r="A1120" s="478"/>
      <c r="B1120" s="932"/>
      <c r="C1120" s="882"/>
      <c r="D1120" s="62">
        <v>2023</v>
      </c>
      <c r="E1120" s="63">
        <f t="shared" si="380"/>
        <v>2.3144999999999998</v>
      </c>
      <c r="F1120" s="63">
        <v>2.3144999999999998</v>
      </c>
      <c r="G1120" s="63">
        <v>0</v>
      </c>
      <c r="H1120" s="63">
        <v>0</v>
      </c>
      <c r="I1120" s="63">
        <v>0</v>
      </c>
      <c r="J1120" s="63">
        <v>0</v>
      </c>
      <c r="K1120" s="76">
        <v>0</v>
      </c>
      <c r="L1120" s="497">
        <f t="shared" si="378"/>
        <v>2.3144999999999998</v>
      </c>
      <c r="M1120" s="581"/>
      <c r="N1120" s="88"/>
      <c r="O1120" s="580"/>
      <c r="P1120" s="360"/>
      <c r="Q1120" s="49"/>
      <c r="R1120" s="49"/>
      <c r="S1120" s="49"/>
      <c r="T1120" s="49"/>
      <c r="U1120" s="49"/>
      <c r="V1120" s="49"/>
      <c r="W1120" s="49"/>
      <c r="X1120" s="49"/>
      <c r="Y1120" s="49"/>
      <c r="Z1120" s="49"/>
      <c r="AA1120" s="49"/>
      <c r="AB1120" s="49"/>
      <c r="AC1120" s="49"/>
      <c r="AD1120" s="49"/>
      <c r="AE1120" s="49"/>
      <c r="AF1120" s="49"/>
      <c r="AG1120" s="49"/>
      <c r="AH1120" s="49"/>
      <c r="AI1120" s="49"/>
      <c r="AJ1120" s="49"/>
      <c r="AK1120" s="49"/>
      <c r="AL1120" s="49"/>
      <c r="AM1120" s="49"/>
      <c r="AN1120" s="49"/>
      <c r="AO1120" s="49"/>
      <c r="AP1120" s="49"/>
      <c r="AQ1120" s="49"/>
      <c r="AR1120" s="49"/>
      <c r="AS1120" s="49"/>
      <c r="AT1120" s="49"/>
      <c r="AU1120" s="49"/>
      <c r="AV1120" s="49"/>
      <c r="AW1120" s="49"/>
      <c r="AX1120" s="49"/>
      <c r="AY1120" s="49"/>
      <c r="AZ1120" s="49"/>
      <c r="BA1120" s="49"/>
      <c r="BB1120" s="49"/>
      <c r="BC1120" s="49"/>
      <c r="BD1120" s="49"/>
      <c r="BE1120" s="49"/>
      <c r="BF1120" s="68"/>
    </row>
    <row r="1121" spans="1:58" s="51" customFormat="1" ht="14.25" customHeight="1">
      <c r="A1121" s="478"/>
      <c r="B1121" s="932"/>
      <c r="C1121" s="882"/>
      <c r="D1121" s="62">
        <v>2024</v>
      </c>
      <c r="E1121" s="63">
        <f t="shared" si="380"/>
        <v>4.3681000000000001</v>
      </c>
      <c r="F1121" s="63">
        <v>2.3144999999999998</v>
      </c>
      <c r="G1121" s="63">
        <v>0</v>
      </c>
      <c r="H1121" s="63">
        <v>0</v>
      </c>
      <c r="I1121" s="63">
        <v>0</v>
      </c>
      <c r="J1121" s="63">
        <v>2.0535999999999999</v>
      </c>
      <c r="K1121" s="76">
        <v>0</v>
      </c>
      <c r="L1121" s="497">
        <f t="shared" si="378"/>
        <v>4.3681000000000001</v>
      </c>
      <c r="M1121" s="581"/>
      <c r="N1121" s="88"/>
      <c r="O1121" s="580"/>
      <c r="P1121" s="360"/>
      <c r="Q1121" s="49"/>
      <c r="R1121" s="49"/>
      <c r="S1121" s="49"/>
      <c r="T1121" s="49"/>
      <c r="U1121" s="49"/>
      <c r="V1121" s="49"/>
      <c r="W1121" s="49"/>
      <c r="X1121" s="49"/>
      <c r="Y1121" s="49"/>
      <c r="Z1121" s="49"/>
      <c r="AA1121" s="49"/>
      <c r="AB1121" s="49"/>
      <c r="AC1121" s="49"/>
      <c r="AD1121" s="49"/>
      <c r="AE1121" s="49"/>
      <c r="AF1121" s="49"/>
      <c r="AG1121" s="49"/>
      <c r="AH1121" s="49"/>
      <c r="AI1121" s="49"/>
      <c r="AJ1121" s="49"/>
      <c r="AK1121" s="49"/>
      <c r="AL1121" s="49"/>
      <c r="AM1121" s="49"/>
      <c r="AN1121" s="49"/>
      <c r="AO1121" s="49"/>
      <c r="AP1121" s="49"/>
      <c r="AQ1121" s="49"/>
      <c r="AR1121" s="49"/>
      <c r="AS1121" s="49"/>
      <c r="AT1121" s="49"/>
      <c r="AU1121" s="49"/>
      <c r="AV1121" s="49"/>
      <c r="AW1121" s="49"/>
      <c r="AX1121" s="49"/>
      <c r="AY1121" s="49"/>
      <c r="AZ1121" s="49"/>
      <c r="BA1121" s="49"/>
      <c r="BB1121" s="49"/>
      <c r="BC1121" s="49"/>
      <c r="BD1121" s="49"/>
      <c r="BE1121" s="49"/>
      <c r="BF1121" s="68"/>
    </row>
    <row r="1122" spans="1:58" s="51" customFormat="1" ht="14.25" customHeight="1">
      <c r="A1122" s="478"/>
      <c r="B1122" s="932"/>
      <c r="C1122" s="964"/>
      <c r="D1122" s="62">
        <v>2025</v>
      </c>
      <c r="E1122" s="63">
        <f t="shared" si="380"/>
        <v>4.3681000000000001</v>
      </c>
      <c r="F1122" s="63">
        <v>2.3144999999999998</v>
      </c>
      <c r="G1122" s="63">
        <v>0</v>
      </c>
      <c r="H1122" s="63">
        <v>0</v>
      </c>
      <c r="I1122" s="63">
        <v>0</v>
      </c>
      <c r="J1122" s="63">
        <v>2.0535999999999999</v>
      </c>
      <c r="K1122" s="76">
        <v>0</v>
      </c>
      <c r="L1122" s="497">
        <f t="shared" si="378"/>
        <v>4.3681000000000001</v>
      </c>
      <c r="M1122" s="581"/>
      <c r="N1122" s="88"/>
      <c r="O1122" s="580"/>
      <c r="P1122" s="360"/>
      <c r="Q1122" s="49"/>
      <c r="R1122" s="49"/>
      <c r="S1122" s="49"/>
      <c r="T1122" s="49"/>
      <c r="U1122" s="49"/>
      <c r="V1122" s="49"/>
      <c r="W1122" s="49"/>
      <c r="X1122" s="49"/>
      <c r="Y1122" s="49"/>
      <c r="Z1122" s="49"/>
      <c r="AA1122" s="49"/>
      <c r="AB1122" s="49"/>
      <c r="AC1122" s="49"/>
      <c r="AD1122" s="49"/>
      <c r="AE1122" s="49"/>
      <c r="AF1122" s="49"/>
      <c r="AG1122" s="49"/>
      <c r="AH1122" s="49"/>
      <c r="AI1122" s="49"/>
      <c r="AJ1122" s="49"/>
      <c r="AK1122" s="49"/>
      <c r="AL1122" s="49"/>
      <c r="AM1122" s="49"/>
      <c r="AN1122" s="49"/>
      <c r="AO1122" s="49"/>
      <c r="AP1122" s="49"/>
      <c r="AQ1122" s="49"/>
      <c r="AR1122" s="49"/>
      <c r="AS1122" s="49"/>
      <c r="AT1122" s="49"/>
      <c r="AU1122" s="49"/>
      <c r="AV1122" s="49"/>
      <c r="AW1122" s="49"/>
      <c r="AX1122" s="49"/>
      <c r="AY1122" s="49"/>
      <c r="AZ1122" s="49"/>
      <c r="BA1122" s="49"/>
      <c r="BB1122" s="49"/>
      <c r="BC1122" s="49"/>
      <c r="BD1122" s="49"/>
      <c r="BE1122" s="49"/>
      <c r="BF1122" s="68"/>
    </row>
    <row r="1123" spans="1:58" s="51" customFormat="1" ht="14.25" customHeight="1">
      <c r="A1123" s="478"/>
      <c r="B1123" s="932"/>
      <c r="C1123" s="881" t="s">
        <v>982</v>
      </c>
      <c r="D1123" s="62">
        <v>2026</v>
      </c>
      <c r="E1123" s="63">
        <f t="shared" si="380"/>
        <v>4.3681000000000001</v>
      </c>
      <c r="F1123" s="63">
        <v>2.3144999999999998</v>
      </c>
      <c r="G1123" s="63">
        <v>0</v>
      </c>
      <c r="H1123" s="63">
        <v>0</v>
      </c>
      <c r="I1123" s="63">
        <v>0</v>
      </c>
      <c r="J1123" s="63">
        <v>2.0535999999999999</v>
      </c>
      <c r="K1123" s="76">
        <v>0</v>
      </c>
      <c r="L1123" s="497">
        <f t="shared" si="378"/>
        <v>4.3681000000000001</v>
      </c>
      <c r="M1123" s="581"/>
      <c r="N1123" s="88"/>
      <c r="O1123" s="580"/>
      <c r="P1123" s="360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49"/>
      <c r="AU1123" s="49"/>
      <c r="AV1123" s="49"/>
      <c r="AW1123" s="49"/>
      <c r="AX1123" s="49"/>
      <c r="AY1123" s="49"/>
      <c r="AZ1123" s="49"/>
      <c r="BA1123" s="49"/>
      <c r="BB1123" s="49"/>
      <c r="BC1123" s="49"/>
      <c r="BD1123" s="49"/>
      <c r="BE1123" s="49"/>
      <c r="BF1123" s="68"/>
    </row>
    <row r="1124" spans="1:58" s="51" customFormat="1" ht="14.25" customHeight="1">
      <c r="A1124" s="478"/>
      <c r="B1124" s="932"/>
      <c r="C1124" s="882"/>
      <c r="D1124" s="62">
        <v>2027</v>
      </c>
      <c r="E1124" s="63">
        <f t="shared" si="380"/>
        <v>4.3681000000000001</v>
      </c>
      <c r="F1124" s="63">
        <v>2.3144999999999998</v>
      </c>
      <c r="G1124" s="63">
        <v>0</v>
      </c>
      <c r="H1124" s="63">
        <v>0</v>
      </c>
      <c r="I1124" s="63">
        <v>0</v>
      </c>
      <c r="J1124" s="63">
        <v>2.0535999999999999</v>
      </c>
      <c r="K1124" s="76">
        <v>0</v>
      </c>
      <c r="L1124" s="497">
        <f t="shared" si="378"/>
        <v>4.3681000000000001</v>
      </c>
      <c r="M1124" s="581"/>
      <c r="N1124" s="88"/>
      <c r="O1124" s="580"/>
      <c r="P1124" s="360"/>
      <c r="Q1124" s="49"/>
      <c r="R1124" s="49"/>
      <c r="S1124" s="49"/>
      <c r="T1124" s="49"/>
      <c r="U1124" s="49"/>
      <c r="V1124" s="49"/>
      <c r="W1124" s="49"/>
      <c r="X1124" s="49"/>
      <c r="Y1124" s="49"/>
      <c r="Z1124" s="49"/>
      <c r="AA1124" s="49"/>
      <c r="AB1124" s="49"/>
      <c r="AC1124" s="49"/>
      <c r="AD1124" s="49"/>
      <c r="AE1124" s="49"/>
      <c r="AF1124" s="49"/>
      <c r="AG1124" s="49"/>
      <c r="AH1124" s="49"/>
      <c r="AI1124" s="49"/>
      <c r="AJ1124" s="49"/>
      <c r="AK1124" s="49"/>
      <c r="AL1124" s="49"/>
      <c r="AM1124" s="49"/>
      <c r="AN1124" s="49"/>
      <c r="AO1124" s="49"/>
      <c r="AP1124" s="49"/>
      <c r="AQ1124" s="49"/>
      <c r="AR1124" s="49"/>
      <c r="AS1124" s="49"/>
      <c r="AT1124" s="49"/>
      <c r="AU1124" s="49"/>
      <c r="AV1124" s="49"/>
      <c r="AW1124" s="49"/>
      <c r="AX1124" s="49"/>
      <c r="AY1124" s="49"/>
      <c r="AZ1124" s="49"/>
      <c r="BA1124" s="49"/>
      <c r="BB1124" s="49"/>
      <c r="BC1124" s="49"/>
      <c r="BD1124" s="49"/>
      <c r="BE1124" s="49"/>
      <c r="BF1124" s="68"/>
    </row>
    <row r="1125" spans="1:58" s="51" customFormat="1" ht="14.25" customHeight="1">
      <c r="A1125" s="478"/>
      <c r="B1125" s="932"/>
      <c r="C1125" s="882"/>
      <c r="D1125" s="62">
        <v>2028</v>
      </c>
      <c r="E1125" s="63">
        <f t="shared" si="380"/>
        <v>4.3681000000000001</v>
      </c>
      <c r="F1125" s="63">
        <v>2.3144999999999998</v>
      </c>
      <c r="G1125" s="63">
        <v>0</v>
      </c>
      <c r="H1125" s="63">
        <v>0</v>
      </c>
      <c r="I1125" s="63">
        <v>0</v>
      </c>
      <c r="J1125" s="63">
        <v>2.0535999999999999</v>
      </c>
      <c r="K1125" s="76">
        <v>0</v>
      </c>
      <c r="L1125" s="497">
        <f t="shared" si="378"/>
        <v>4.3681000000000001</v>
      </c>
      <c r="M1125" s="581"/>
      <c r="N1125" s="88"/>
      <c r="O1125" s="580"/>
      <c r="P1125" s="360"/>
      <c r="Q1125" s="49"/>
      <c r="R1125" s="49"/>
      <c r="S1125" s="49"/>
      <c r="T1125" s="49"/>
      <c r="U1125" s="49"/>
      <c r="V1125" s="49"/>
      <c r="W1125" s="49"/>
      <c r="X1125" s="49"/>
      <c r="Y1125" s="49"/>
      <c r="Z1125" s="49"/>
      <c r="AA1125" s="49"/>
      <c r="AB1125" s="49"/>
      <c r="AC1125" s="49"/>
      <c r="AD1125" s="49"/>
      <c r="AE1125" s="49"/>
      <c r="AF1125" s="49"/>
      <c r="AG1125" s="49"/>
      <c r="AH1125" s="49"/>
      <c r="AI1125" s="49"/>
      <c r="AJ1125" s="49"/>
      <c r="AK1125" s="49"/>
      <c r="AL1125" s="49"/>
      <c r="AM1125" s="49"/>
      <c r="AN1125" s="49"/>
      <c r="AO1125" s="49"/>
      <c r="AP1125" s="49"/>
      <c r="AQ1125" s="49"/>
      <c r="AR1125" s="49"/>
      <c r="AS1125" s="49"/>
      <c r="AT1125" s="49"/>
      <c r="AU1125" s="49"/>
      <c r="AV1125" s="49"/>
      <c r="AW1125" s="49"/>
      <c r="AX1125" s="49"/>
      <c r="AY1125" s="49"/>
      <c r="AZ1125" s="49"/>
      <c r="BA1125" s="49"/>
      <c r="BB1125" s="49"/>
      <c r="BC1125" s="49"/>
      <c r="BD1125" s="49"/>
      <c r="BE1125" s="49"/>
      <c r="BF1125" s="68"/>
    </row>
    <row r="1126" spans="1:58" s="51" customFormat="1" ht="14.25" customHeight="1">
      <c r="A1126" s="478"/>
      <c r="B1126" s="932"/>
      <c r="C1126" s="882"/>
      <c r="D1126" s="62">
        <v>2029</v>
      </c>
      <c r="E1126" s="63">
        <f t="shared" si="380"/>
        <v>4.3681000000000001</v>
      </c>
      <c r="F1126" s="63">
        <v>2.3144999999999998</v>
      </c>
      <c r="G1126" s="63">
        <v>0</v>
      </c>
      <c r="H1126" s="63">
        <v>0</v>
      </c>
      <c r="I1126" s="63">
        <v>0</v>
      </c>
      <c r="J1126" s="63">
        <v>2.0535999999999999</v>
      </c>
      <c r="K1126" s="76">
        <v>0</v>
      </c>
      <c r="L1126" s="497">
        <f t="shared" si="378"/>
        <v>4.3681000000000001</v>
      </c>
      <c r="M1126" s="581"/>
      <c r="N1126" s="88"/>
      <c r="O1126" s="580"/>
      <c r="P1126" s="360"/>
      <c r="Q1126" s="49"/>
      <c r="R1126" s="49"/>
      <c r="S1126" s="49"/>
      <c r="T1126" s="49"/>
      <c r="U1126" s="49"/>
      <c r="V1126" s="49"/>
      <c r="W1126" s="49"/>
      <c r="X1126" s="49"/>
      <c r="Y1126" s="49"/>
      <c r="Z1126" s="49"/>
      <c r="AA1126" s="49"/>
      <c r="AB1126" s="49"/>
      <c r="AC1126" s="49"/>
      <c r="AD1126" s="49"/>
      <c r="AE1126" s="49"/>
      <c r="AF1126" s="49"/>
      <c r="AG1126" s="49"/>
      <c r="AH1126" s="49"/>
      <c r="AI1126" s="49"/>
      <c r="AJ1126" s="49"/>
      <c r="AK1126" s="49"/>
      <c r="AL1126" s="49"/>
      <c r="AM1126" s="49"/>
      <c r="AN1126" s="49"/>
      <c r="AO1126" s="49"/>
      <c r="AP1126" s="49"/>
      <c r="AQ1126" s="49"/>
      <c r="AR1126" s="49"/>
      <c r="AS1126" s="49"/>
      <c r="AT1126" s="49"/>
      <c r="AU1126" s="49"/>
      <c r="AV1126" s="49"/>
      <c r="AW1126" s="49"/>
      <c r="AX1126" s="49"/>
      <c r="AY1126" s="49"/>
      <c r="AZ1126" s="49"/>
      <c r="BA1126" s="49"/>
      <c r="BB1126" s="49"/>
      <c r="BC1126" s="49"/>
      <c r="BD1126" s="49"/>
      <c r="BE1126" s="49"/>
      <c r="BF1126" s="68"/>
    </row>
    <row r="1127" spans="1:58" s="51" customFormat="1" ht="14.25" customHeight="1">
      <c r="A1127" s="478"/>
      <c r="B1127" s="933"/>
      <c r="C1127" s="964"/>
      <c r="D1127" s="62">
        <v>2030</v>
      </c>
      <c r="E1127" s="63">
        <f t="shared" si="380"/>
        <v>4.3681000000000001</v>
      </c>
      <c r="F1127" s="63">
        <v>2.3144999999999998</v>
      </c>
      <c r="G1127" s="63">
        <v>0</v>
      </c>
      <c r="H1127" s="63">
        <v>0</v>
      </c>
      <c r="I1127" s="63">
        <v>0</v>
      </c>
      <c r="J1127" s="63">
        <v>2.0535999999999999</v>
      </c>
      <c r="K1127" s="76">
        <v>0</v>
      </c>
      <c r="L1127" s="497">
        <f t="shared" si="378"/>
        <v>4.3681000000000001</v>
      </c>
      <c r="M1127" s="581"/>
      <c r="N1127" s="88"/>
      <c r="O1127" s="580"/>
      <c r="P1127" s="360"/>
      <c r="Q1127" s="49"/>
      <c r="R1127" s="49"/>
      <c r="S1127" s="49"/>
      <c r="T1127" s="49"/>
      <c r="U1127" s="49"/>
      <c r="V1127" s="49"/>
      <c r="W1127" s="49"/>
      <c r="X1127" s="49"/>
      <c r="Y1127" s="49"/>
      <c r="Z1127" s="49"/>
      <c r="AA1127" s="49"/>
      <c r="AB1127" s="49"/>
      <c r="AC1127" s="49"/>
      <c r="AD1127" s="49"/>
      <c r="AE1127" s="49"/>
      <c r="AF1127" s="49"/>
      <c r="AG1127" s="49"/>
      <c r="AH1127" s="49"/>
      <c r="AI1127" s="49"/>
      <c r="AJ1127" s="49"/>
      <c r="AK1127" s="49"/>
      <c r="AL1127" s="49"/>
      <c r="AM1127" s="49"/>
      <c r="AN1127" s="49"/>
      <c r="AO1127" s="49"/>
      <c r="AP1127" s="49"/>
      <c r="AQ1127" s="49"/>
      <c r="AR1127" s="49"/>
      <c r="AS1127" s="49"/>
      <c r="AT1127" s="49"/>
      <c r="AU1127" s="49"/>
      <c r="AV1127" s="49"/>
      <c r="AW1127" s="49"/>
      <c r="AX1127" s="49"/>
      <c r="AY1127" s="49"/>
      <c r="AZ1127" s="49"/>
      <c r="BA1127" s="49"/>
      <c r="BB1127" s="49"/>
      <c r="BC1127" s="49"/>
      <c r="BD1127" s="49"/>
      <c r="BE1127" s="49"/>
      <c r="BF1127" s="68"/>
    </row>
    <row r="1128" spans="1:58" s="51" customFormat="1" ht="23.25" customHeight="1">
      <c r="A1128" s="921" t="s">
        <v>1342</v>
      </c>
      <c r="B1128" s="915" t="s">
        <v>987</v>
      </c>
      <c r="C1128" s="358"/>
      <c r="D1128" s="84" t="s">
        <v>16</v>
      </c>
      <c r="E1128" s="85">
        <f t="shared" ref="E1128:J1128" si="381">E1129+E1130+E1131+E1132+E1133+E1134+E1135+E1136+E1137+E1138+E1139+E1140</f>
        <v>1628.6886000000004</v>
      </c>
      <c r="F1128" s="85">
        <f t="shared" si="381"/>
        <v>1628.6886000000004</v>
      </c>
      <c r="G1128" s="85">
        <f t="shared" si="381"/>
        <v>0</v>
      </c>
      <c r="H1128" s="85">
        <f t="shared" si="381"/>
        <v>0</v>
      </c>
      <c r="I1128" s="85">
        <f t="shared" si="381"/>
        <v>0</v>
      </c>
      <c r="J1128" s="85">
        <f t="shared" si="381"/>
        <v>0</v>
      </c>
      <c r="K1128" s="76">
        <v>0</v>
      </c>
      <c r="L1128" s="497">
        <f t="shared" si="378"/>
        <v>1628.6886000000004</v>
      </c>
      <c r="M1128" s="581"/>
      <c r="N1128" s="88"/>
      <c r="O1128" s="580"/>
      <c r="P1128" s="842" t="s">
        <v>980</v>
      </c>
      <c r="Q1128" s="49"/>
      <c r="R1128" s="49"/>
      <c r="S1128" s="49"/>
      <c r="T1128" s="49"/>
      <c r="U1128" s="49"/>
      <c r="V1128" s="49"/>
      <c r="W1128" s="49"/>
      <c r="X1128" s="49"/>
      <c r="Y1128" s="49"/>
      <c r="Z1128" s="49"/>
      <c r="AA1128" s="49"/>
      <c r="AB1128" s="49"/>
      <c r="AC1128" s="49"/>
      <c r="AD1128" s="49"/>
      <c r="AE1128" s="49"/>
      <c r="AF1128" s="49"/>
      <c r="AG1128" s="49"/>
      <c r="AH1128" s="49"/>
      <c r="AI1128" s="49"/>
      <c r="AJ1128" s="49"/>
      <c r="AK1128" s="49"/>
      <c r="AL1128" s="49"/>
      <c r="AM1128" s="49"/>
      <c r="AN1128" s="49"/>
      <c r="AO1128" s="49"/>
      <c r="AP1128" s="49"/>
      <c r="AQ1128" s="49"/>
      <c r="AR1128" s="49"/>
      <c r="AS1128" s="49"/>
      <c r="AT1128" s="49"/>
      <c r="AU1128" s="49"/>
      <c r="AV1128" s="49"/>
      <c r="AW1128" s="49"/>
      <c r="AX1128" s="49"/>
      <c r="AY1128" s="49"/>
      <c r="AZ1128" s="49"/>
      <c r="BA1128" s="49"/>
      <c r="BB1128" s="49"/>
      <c r="BC1128" s="49"/>
      <c r="BD1128" s="49"/>
      <c r="BE1128" s="49"/>
      <c r="BF1128" s="68"/>
    </row>
    <row r="1129" spans="1:58" s="51" customFormat="1" ht="54.75" customHeight="1">
      <c r="A1129" s="921"/>
      <c r="B1129" s="999"/>
      <c r="C1129" s="470" t="s">
        <v>1341</v>
      </c>
      <c r="D1129" s="62">
        <v>2019</v>
      </c>
      <c r="E1129" s="63">
        <f t="shared" ref="E1129:E1140" si="382">F1129</f>
        <v>143.0934</v>
      </c>
      <c r="F1129" s="63">
        <v>143.0934</v>
      </c>
      <c r="G1129" s="63">
        <v>0</v>
      </c>
      <c r="H1129" s="63">
        <v>0</v>
      </c>
      <c r="I1129" s="63">
        <v>0</v>
      </c>
      <c r="J1129" s="63">
        <v>0</v>
      </c>
      <c r="K1129" s="76">
        <v>0</v>
      </c>
      <c r="L1129" s="497">
        <f t="shared" si="378"/>
        <v>143.0934</v>
      </c>
      <c r="M1129" s="581"/>
      <c r="N1129" s="88"/>
      <c r="O1129" s="580"/>
      <c r="P1129" s="1125"/>
      <c r="Q1129" s="49"/>
      <c r="R1129" s="49"/>
      <c r="S1129" s="49"/>
      <c r="T1129" s="49"/>
      <c r="U1129" s="49"/>
      <c r="V1129" s="49"/>
      <c r="W1129" s="49"/>
      <c r="X1129" s="49"/>
      <c r="Y1129" s="49"/>
      <c r="Z1129" s="49"/>
      <c r="AA1129" s="49"/>
      <c r="AB1129" s="49"/>
      <c r="AC1129" s="49"/>
      <c r="AD1129" s="49"/>
      <c r="AE1129" s="49"/>
      <c r="AF1129" s="49"/>
      <c r="AG1129" s="49"/>
      <c r="AH1129" s="49"/>
      <c r="AI1129" s="49"/>
      <c r="AJ1129" s="49"/>
      <c r="AK1129" s="49"/>
      <c r="AL1129" s="49"/>
      <c r="AM1129" s="49"/>
      <c r="AN1129" s="49"/>
      <c r="AO1129" s="49"/>
      <c r="AP1129" s="49"/>
      <c r="AQ1129" s="49"/>
      <c r="AR1129" s="49"/>
      <c r="AS1129" s="49"/>
      <c r="AT1129" s="49"/>
      <c r="AU1129" s="49"/>
      <c r="AV1129" s="49"/>
      <c r="AW1129" s="49"/>
      <c r="AX1129" s="49"/>
      <c r="AY1129" s="49"/>
      <c r="AZ1129" s="49"/>
      <c r="BA1129" s="49"/>
      <c r="BB1129" s="49"/>
      <c r="BC1129" s="49"/>
      <c r="BD1129" s="49"/>
      <c r="BE1129" s="49"/>
      <c r="BF1129" s="68"/>
    </row>
    <row r="1130" spans="1:58" s="51" customFormat="1" ht="15.75" customHeight="1">
      <c r="A1130" s="582"/>
      <c r="B1130" s="867" t="s">
        <v>988</v>
      </c>
      <c r="C1130" s="915" t="s">
        <v>1341</v>
      </c>
      <c r="D1130" s="62">
        <v>2020</v>
      </c>
      <c r="E1130" s="63">
        <f t="shared" si="382"/>
        <v>145.28030000000001</v>
      </c>
      <c r="F1130" s="63">
        <v>145.28030000000001</v>
      </c>
      <c r="G1130" s="63">
        <v>0</v>
      </c>
      <c r="H1130" s="63">
        <v>0</v>
      </c>
      <c r="I1130" s="63">
        <v>0</v>
      </c>
      <c r="J1130" s="63">
        <v>0</v>
      </c>
      <c r="K1130" s="76">
        <v>0</v>
      </c>
      <c r="L1130" s="497">
        <f t="shared" si="378"/>
        <v>145.28030000000001</v>
      </c>
      <c r="M1130" s="581"/>
      <c r="N1130" s="88"/>
      <c r="O1130" s="580"/>
      <c r="P1130" s="1125"/>
      <c r="Q1130" s="49"/>
      <c r="R1130" s="49"/>
      <c r="S1130" s="49"/>
      <c r="T1130" s="49"/>
      <c r="U1130" s="49"/>
      <c r="V1130" s="49"/>
      <c r="W1130" s="49"/>
      <c r="X1130" s="49"/>
      <c r="Y1130" s="49"/>
      <c r="Z1130" s="49"/>
      <c r="AA1130" s="49"/>
      <c r="AB1130" s="49"/>
      <c r="AC1130" s="49"/>
      <c r="AD1130" s="49"/>
      <c r="AE1130" s="49"/>
      <c r="AF1130" s="49"/>
      <c r="AG1130" s="49"/>
      <c r="AH1130" s="49"/>
      <c r="AI1130" s="49"/>
      <c r="AJ1130" s="49"/>
      <c r="AK1130" s="49"/>
      <c r="AL1130" s="49"/>
      <c r="AM1130" s="49"/>
      <c r="AN1130" s="49"/>
      <c r="AO1130" s="49"/>
      <c r="AP1130" s="49"/>
      <c r="AQ1130" s="49"/>
      <c r="AR1130" s="49"/>
      <c r="AS1130" s="49"/>
      <c r="AT1130" s="49"/>
      <c r="AU1130" s="49"/>
      <c r="AV1130" s="49"/>
      <c r="AW1130" s="49"/>
      <c r="AX1130" s="49"/>
      <c r="AY1130" s="49"/>
      <c r="AZ1130" s="49"/>
      <c r="BA1130" s="49"/>
      <c r="BB1130" s="49"/>
      <c r="BC1130" s="49"/>
      <c r="BD1130" s="49"/>
      <c r="BE1130" s="49"/>
      <c r="BF1130" s="68"/>
    </row>
    <row r="1131" spans="1:58" s="51" customFormat="1" ht="15.75" customHeight="1">
      <c r="A1131" s="582"/>
      <c r="B1131" s="872"/>
      <c r="C1131" s="916"/>
      <c r="D1131" s="62">
        <v>2021</v>
      </c>
      <c r="E1131" s="63">
        <f t="shared" si="382"/>
        <v>137.75960000000001</v>
      </c>
      <c r="F1131" s="63">
        <v>137.75960000000001</v>
      </c>
      <c r="G1131" s="63">
        <v>0</v>
      </c>
      <c r="H1131" s="63">
        <v>0</v>
      </c>
      <c r="I1131" s="63">
        <v>0</v>
      </c>
      <c r="J1131" s="63">
        <v>0</v>
      </c>
      <c r="K1131" s="76">
        <v>0</v>
      </c>
      <c r="L1131" s="497">
        <f t="shared" si="378"/>
        <v>137.75960000000001</v>
      </c>
      <c r="M1131" s="581"/>
      <c r="N1131" s="88"/>
      <c r="O1131" s="580"/>
      <c r="P1131" s="1125"/>
      <c r="Q1131" s="49"/>
      <c r="R1131" s="49"/>
      <c r="S1131" s="49"/>
      <c r="T1131" s="49"/>
      <c r="U1131" s="49"/>
      <c r="V1131" s="49"/>
      <c r="W1131" s="49"/>
      <c r="X1131" s="49"/>
      <c r="Y1131" s="49"/>
      <c r="Z1131" s="49"/>
      <c r="AA1131" s="49"/>
      <c r="AB1131" s="49"/>
      <c r="AC1131" s="49"/>
      <c r="AD1131" s="49"/>
      <c r="AE1131" s="49"/>
      <c r="AF1131" s="49"/>
      <c r="AG1131" s="49"/>
      <c r="AH1131" s="49"/>
      <c r="AI1131" s="49"/>
      <c r="AJ1131" s="49"/>
      <c r="AK1131" s="49"/>
      <c r="AL1131" s="49"/>
      <c r="AM1131" s="49"/>
      <c r="AN1131" s="49"/>
      <c r="AO1131" s="49"/>
      <c r="AP1131" s="49"/>
      <c r="AQ1131" s="49"/>
      <c r="AR1131" s="49"/>
      <c r="AS1131" s="49"/>
      <c r="AT1131" s="49"/>
      <c r="AU1131" s="49"/>
      <c r="AV1131" s="49"/>
      <c r="AW1131" s="49"/>
      <c r="AX1131" s="49"/>
      <c r="AY1131" s="49"/>
      <c r="AZ1131" s="49"/>
      <c r="BA1131" s="49"/>
      <c r="BB1131" s="49"/>
      <c r="BC1131" s="49"/>
      <c r="BD1131" s="49"/>
      <c r="BE1131" s="49"/>
      <c r="BF1131" s="68"/>
    </row>
    <row r="1132" spans="1:58" s="51" customFormat="1" ht="15.75" customHeight="1">
      <c r="A1132" s="582"/>
      <c r="B1132" s="872"/>
      <c r="C1132" s="916"/>
      <c r="D1132" s="62">
        <v>2022</v>
      </c>
      <c r="E1132" s="63">
        <f t="shared" si="382"/>
        <v>137.26730000000001</v>
      </c>
      <c r="F1132" s="63">
        <v>137.26730000000001</v>
      </c>
      <c r="G1132" s="63">
        <v>0</v>
      </c>
      <c r="H1132" s="63">
        <v>0</v>
      </c>
      <c r="I1132" s="63">
        <v>0</v>
      </c>
      <c r="J1132" s="63">
        <v>0</v>
      </c>
      <c r="K1132" s="76">
        <v>0</v>
      </c>
      <c r="L1132" s="497">
        <f t="shared" si="378"/>
        <v>137.26730000000001</v>
      </c>
      <c r="M1132" s="581"/>
      <c r="N1132" s="88"/>
      <c r="O1132" s="580"/>
      <c r="P1132" s="1125"/>
      <c r="Q1132" s="49"/>
      <c r="R1132" s="49"/>
      <c r="S1132" s="49"/>
      <c r="T1132" s="49"/>
      <c r="U1132" s="49"/>
      <c r="V1132" s="49"/>
      <c r="W1132" s="49"/>
      <c r="X1132" s="49"/>
      <c r="Y1132" s="49"/>
      <c r="Z1132" s="49"/>
      <c r="AA1132" s="49"/>
      <c r="AB1132" s="49"/>
      <c r="AC1132" s="49"/>
      <c r="AD1132" s="49"/>
      <c r="AE1132" s="49"/>
      <c r="AF1132" s="49"/>
      <c r="AG1132" s="49"/>
      <c r="AH1132" s="49"/>
      <c r="AI1132" s="49"/>
      <c r="AJ1132" s="49"/>
      <c r="AK1132" s="49"/>
      <c r="AL1132" s="49"/>
      <c r="AM1132" s="49"/>
      <c r="AN1132" s="49"/>
      <c r="AO1132" s="49"/>
      <c r="AP1132" s="49"/>
      <c r="AQ1132" s="49"/>
      <c r="AR1132" s="49"/>
      <c r="AS1132" s="49"/>
      <c r="AT1132" s="49"/>
      <c r="AU1132" s="49"/>
      <c r="AV1132" s="49"/>
      <c r="AW1132" s="49"/>
      <c r="AX1132" s="49"/>
      <c r="AY1132" s="49"/>
      <c r="AZ1132" s="49"/>
      <c r="BA1132" s="49"/>
      <c r="BB1132" s="49"/>
      <c r="BC1132" s="49"/>
      <c r="BD1132" s="49"/>
      <c r="BE1132" s="49"/>
      <c r="BF1132" s="68"/>
    </row>
    <row r="1133" spans="1:58" s="51" customFormat="1" ht="15.75" customHeight="1">
      <c r="A1133" s="386" t="s">
        <v>1343</v>
      </c>
      <c r="B1133" s="872"/>
      <c r="C1133" s="916"/>
      <c r="D1133" s="62">
        <v>2023</v>
      </c>
      <c r="E1133" s="63">
        <f t="shared" si="382"/>
        <v>133.161</v>
      </c>
      <c r="F1133" s="63">
        <v>133.161</v>
      </c>
      <c r="G1133" s="63">
        <v>0</v>
      </c>
      <c r="H1133" s="63">
        <v>0</v>
      </c>
      <c r="I1133" s="63">
        <v>0</v>
      </c>
      <c r="J1133" s="63">
        <v>0</v>
      </c>
      <c r="K1133" s="76">
        <v>0</v>
      </c>
      <c r="L1133" s="497">
        <f t="shared" si="378"/>
        <v>133.161</v>
      </c>
      <c r="M1133" s="581"/>
      <c r="N1133" s="88"/>
      <c r="O1133" s="580"/>
      <c r="P1133" s="1125"/>
      <c r="Q1133" s="49"/>
      <c r="R1133" s="49"/>
      <c r="S1133" s="49"/>
      <c r="T1133" s="49"/>
      <c r="U1133" s="49"/>
      <c r="V1133" s="49"/>
      <c r="W1133" s="49"/>
      <c r="X1133" s="49"/>
      <c r="Y1133" s="49"/>
      <c r="Z1133" s="49"/>
      <c r="AA1133" s="49"/>
      <c r="AB1133" s="49"/>
      <c r="AC1133" s="49"/>
      <c r="AD1133" s="49"/>
      <c r="AE1133" s="49"/>
      <c r="AF1133" s="49"/>
      <c r="AG1133" s="49"/>
      <c r="AH1133" s="49"/>
      <c r="AI1133" s="49"/>
      <c r="AJ1133" s="49"/>
      <c r="AK1133" s="49"/>
      <c r="AL1133" s="49"/>
      <c r="AM1133" s="49"/>
      <c r="AN1133" s="49"/>
      <c r="AO1133" s="49"/>
      <c r="AP1133" s="49"/>
      <c r="AQ1133" s="49"/>
      <c r="AR1133" s="49"/>
      <c r="AS1133" s="49"/>
      <c r="AT1133" s="49"/>
      <c r="AU1133" s="49"/>
      <c r="AV1133" s="49"/>
      <c r="AW1133" s="49"/>
      <c r="AX1133" s="49"/>
      <c r="AY1133" s="49"/>
      <c r="AZ1133" s="49"/>
      <c r="BA1133" s="49"/>
      <c r="BB1133" s="49"/>
      <c r="BC1133" s="49"/>
      <c r="BD1133" s="49"/>
      <c r="BE1133" s="49"/>
      <c r="BF1133" s="68"/>
    </row>
    <row r="1134" spans="1:58" s="51" customFormat="1" ht="14.25" customHeight="1">
      <c r="A1134" s="582"/>
      <c r="B1134" s="872"/>
      <c r="C1134" s="916"/>
      <c r="D1134" s="62">
        <v>2024</v>
      </c>
      <c r="E1134" s="63">
        <f t="shared" si="382"/>
        <v>133.161</v>
      </c>
      <c r="F1134" s="63">
        <v>133.161</v>
      </c>
      <c r="G1134" s="63">
        <v>0</v>
      </c>
      <c r="H1134" s="63">
        <v>0</v>
      </c>
      <c r="I1134" s="63">
        <v>0</v>
      </c>
      <c r="J1134" s="63">
        <v>0</v>
      </c>
      <c r="K1134" s="76">
        <v>0</v>
      </c>
      <c r="L1134" s="497">
        <f t="shared" si="378"/>
        <v>133.161</v>
      </c>
      <c r="M1134" s="581"/>
      <c r="N1134" s="88"/>
      <c r="O1134" s="580"/>
      <c r="P1134" s="1125"/>
      <c r="Q1134" s="49"/>
      <c r="R1134" s="49"/>
      <c r="S1134" s="49"/>
      <c r="T1134" s="49"/>
      <c r="U1134" s="49"/>
      <c r="V1134" s="49"/>
      <c r="W1134" s="49"/>
      <c r="X1134" s="49"/>
      <c r="Y1134" s="49"/>
      <c r="Z1134" s="49"/>
      <c r="AA1134" s="49"/>
      <c r="AB1134" s="49"/>
      <c r="AC1134" s="49"/>
      <c r="AD1134" s="49"/>
      <c r="AE1134" s="49"/>
      <c r="AF1134" s="49"/>
      <c r="AG1134" s="49"/>
      <c r="AH1134" s="49"/>
      <c r="AI1134" s="49"/>
      <c r="AJ1134" s="49"/>
      <c r="AK1134" s="49"/>
      <c r="AL1134" s="49"/>
      <c r="AM1134" s="49"/>
      <c r="AN1134" s="49"/>
      <c r="AO1134" s="49"/>
      <c r="AP1134" s="49"/>
      <c r="AQ1134" s="49"/>
      <c r="AR1134" s="49"/>
      <c r="AS1134" s="49"/>
      <c r="AT1134" s="49"/>
      <c r="AU1134" s="49"/>
      <c r="AV1134" s="49"/>
      <c r="AW1134" s="49"/>
      <c r="AX1134" s="49"/>
      <c r="AY1134" s="49"/>
      <c r="AZ1134" s="49"/>
      <c r="BA1134" s="49"/>
      <c r="BB1134" s="49"/>
      <c r="BC1134" s="49"/>
      <c r="BD1134" s="49"/>
      <c r="BE1134" s="49"/>
      <c r="BF1134" s="68"/>
    </row>
    <row r="1135" spans="1:58" s="51" customFormat="1" ht="14.25" customHeight="1">
      <c r="A1135" s="582"/>
      <c r="B1135" s="872"/>
      <c r="C1135" s="999"/>
      <c r="D1135" s="62">
        <v>2025</v>
      </c>
      <c r="E1135" s="63">
        <f t="shared" si="382"/>
        <v>133.161</v>
      </c>
      <c r="F1135" s="63">
        <v>133.161</v>
      </c>
      <c r="G1135" s="63">
        <v>0</v>
      </c>
      <c r="H1135" s="63">
        <v>0</v>
      </c>
      <c r="I1135" s="63">
        <v>0</v>
      </c>
      <c r="J1135" s="63">
        <v>0</v>
      </c>
      <c r="K1135" s="76">
        <v>0</v>
      </c>
      <c r="L1135" s="497">
        <f t="shared" si="378"/>
        <v>133.161</v>
      </c>
      <c r="M1135" s="581"/>
      <c r="N1135" s="88"/>
      <c r="O1135" s="580"/>
      <c r="P1135" s="1125"/>
      <c r="Q1135" s="49"/>
      <c r="R1135" s="49"/>
      <c r="S1135" s="49"/>
      <c r="T1135" s="49"/>
      <c r="U1135" s="49"/>
      <c r="V1135" s="49"/>
      <c r="W1135" s="49"/>
      <c r="X1135" s="49"/>
      <c r="Y1135" s="49"/>
      <c r="Z1135" s="49"/>
      <c r="AA1135" s="49"/>
      <c r="AB1135" s="49"/>
      <c r="AC1135" s="49"/>
      <c r="AD1135" s="49"/>
      <c r="AE1135" s="49"/>
      <c r="AF1135" s="49"/>
      <c r="AG1135" s="49"/>
      <c r="AH1135" s="49"/>
      <c r="AI1135" s="49"/>
      <c r="AJ1135" s="49"/>
      <c r="AK1135" s="49"/>
      <c r="AL1135" s="49"/>
      <c r="AM1135" s="49"/>
      <c r="AN1135" s="49"/>
      <c r="AO1135" s="49"/>
      <c r="AP1135" s="49"/>
      <c r="AQ1135" s="49"/>
      <c r="AR1135" s="49"/>
      <c r="AS1135" s="49"/>
      <c r="AT1135" s="49"/>
      <c r="AU1135" s="49"/>
      <c r="AV1135" s="49"/>
      <c r="AW1135" s="49"/>
      <c r="AX1135" s="49"/>
      <c r="AY1135" s="49"/>
      <c r="AZ1135" s="49"/>
      <c r="BA1135" s="49"/>
      <c r="BB1135" s="49"/>
      <c r="BC1135" s="49"/>
      <c r="BD1135" s="49"/>
      <c r="BE1135" s="49"/>
      <c r="BF1135" s="68"/>
    </row>
    <row r="1136" spans="1:58" s="51" customFormat="1" ht="14.25" customHeight="1">
      <c r="A1136" s="582"/>
      <c r="B1136" s="872"/>
      <c r="C1136" s="881" t="s">
        <v>982</v>
      </c>
      <c r="D1136" s="62">
        <v>2026</v>
      </c>
      <c r="E1136" s="63">
        <f t="shared" si="382"/>
        <v>133.161</v>
      </c>
      <c r="F1136" s="63">
        <v>133.161</v>
      </c>
      <c r="G1136" s="63">
        <v>0</v>
      </c>
      <c r="H1136" s="63">
        <v>0</v>
      </c>
      <c r="I1136" s="63">
        <v>0</v>
      </c>
      <c r="J1136" s="63">
        <v>0</v>
      </c>
      <c r="K1136" s="76">
        <v>0</v>
      </c>
      <c r="L1136" s="497">
        <f t="shared" si="378"/>
        <v>133.161</v>
      </c>
      <c r="M1136" s="581"/>
      <c r="N1136" s="88"/>
      <c r="O1136" s="580"/>
      <c r="P1136" s="1125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49"/>
      <c r="AU1136" s="49"/>
      <c r="AV1136" s="49"/>
      <c r="AW1136" s="49"/>
      <c r="AX1136" s="49"/>
      <c r="AY1136" s="49"/>
      <c r="AZ1136" s="49"/>
      <c r="BA1136" s="49"/>
      <c r="BB1136" s="49"/>
      <c r="BC1136" s="49"/>
      <c r="BD1136" s="49"/>
      <c r="BE1136" s="49"/>
      <c r="BF1136" s="68"/>
    </row>
    <row r="1137" spans="1:58" s="51" customFormat="1" ht="14.25" customHeight="1">
      <c r="A1137" s="582"/>
      <c r="B1137" s="872"/>
      <c r="C1137" s="882"/>
      <c r="D1137" s="62">
        <v>2027</v>
      </c>
      <c r="E1137" s="63">
        <f t="shared" si="382"/>
        <v>133.161</v>
      </c>
      <c r="F1137" s="63">
        <v>133.161</v>
      </c>
      <c r="G1137" s="63">
        <v>0</v>
      </c>
      <c r="H1137" s="63">
        <v>0</v>
      </c>
      <c r="I1137" s="63">
        <v>0</v>
      </c>
      <c r="J1137" s="63">
        <v>0</v>
      </c>
      <c r="K1137" s="76">
        <v>0</v>
      </c>
      <c r="L1137" s="497">
        <f t="shared" si="378"/>
        <v>133.161</v>
      </c>
      <c r="M1137" s="581"/>
      <c r="N1137" s="88"/>
      <c r="O1137" s="580"/>
      <c r="P1137" s="1125"/>
      <c r="Q1137" s="49"/>
      <c r="R1137" s="49"/>
      <c r="S1137" s="49"/>
      <c r="T1137" s="49"/>
      <c r="U1137" s="49"/>
      <c r="V1137" s="49"/>
      <c r="W1137" s="49"/>
      <c r="X1137" s="49"/>
      <c r="Y1137" s="49"/>
      <c r="Z1137" s="49"/>
      <c r="AA1137" s="49"/>
      <c r="AB1137" s="49"/>
      <c r="AC1137" s="49"/>
      <c r="AD1137" s="49"/>
      <c r="AE1137" s="49"/>
      <c r="AF1137" s="49"/>
      <c r="AG1137" s="49"/>
      <c r="AH1137" s="49"/>
      <c r="AI1137" s="49"/>
      <c r="AJ1137" s="49"/>
      <c r="AK1137" s="49"/>
      <c r="AL1137" s="49"/>
      <c r="AM1137" s="49"/>
      <c r="AN1137" s="49"/>
      <c r="AO1137" s="49"/>
      <c r="AP1137" s="49"/>
      <c r="AQ1137" s="49"/>
      <c r="AR1137" s="49"/>
      <c r="AS1137" s="49"/>
      <c r="AT1137" s="49"/>
      <c r="AU1137" s="49"/>
      <c r="AV1137" s="49"/>
      <c r="AW1137" s="49"/>
      <c r="AX1137" s="49"/>
      <c r="AY1137" s="49"/>
      <c r="AZ1137" s="49"/>
      <c r="BA1137" s="49"/>
      <c r="BB1137" s="49"/>
      <c r="BC1137" s="49"/>
      <c r="BD1137" s="49"/>
      <c r="BE1137" s="49"/>
      <c r="BF1137" s="68"/>
    </row>
    <row r="1138" spans="1:58" s="51" customFormat="1" ht="14.25" customHeight="1">
      <c r="A1138" s="582"/>
      <c r="B1138" s="872"/>
      <c r="C1138" s="882"/>
      <c r="D1138" s="62">
        <v>2028</v>
      </c>
      <c r="E1138" s="63">
        <f t="shared" si="382"/>
        <v>133.161</v>
      </c>
      <c r="F1138" s="63">
        <v>133.161</v>
      </c>
      <c r="G1138" s="63">
        <v>0</v>
      </c>
      <c r="H1138" s="63">
        <v>0</v>
      </c>
      <c r="I1138" s="63">
        <v>0</v>
      </c>
      <c r="J1138" s="63">
        <v>0</v>
      </c>
      <c r="K1138" s="76">
        <v>0</v>
      </c>
      <c r="L1138" s="497">
        <f t="shared" si="378"/>
        <v>133.161</v>
      </c>
      <c r="M1138" s="581"/>
      <c r="N1138" s="88"/>
      <c r="O1138" s="580"/>
      <c r="P1138" s="1125"/>
      <c r="Q1138" s="49"/>
      <c r="R1138" s="49"/>
      <c r="S1138" s="49"/>
      <c r="T1138" s="49"/>
      <c r="U1138" s="49"/>
      <c r="V1138" s="49"/>
      <c r="W1138" s="49"/>
      <c r="X1138" s="49"/>
      <c r="Y1138" s="49"/>
      <c r="Z1138" s="49"/>
      <c r="AA1138" s="49"/>
      <c r="AB1138" s="49"/>
      <c r="AC1138" s="49"/>
      <c r="AD1138" s="49"/>
      <c r="AE1138" s="49"/>
      <c r="AF1138" s="49"/>
      <c r="AG1138" s="49"/>
      <c r="AH1138" s="49"/>
      <c r="AI1138" s="49"/>
      <c r="AJ1138" s="49"/>
      <c r="AK1138" s="49"/>
      <c r="AL1138" s="49"/>
      <c r="AM1138" s="49"/>
      <c r="AN1138" s="49"/>
      <c r="AO1138" s="49"/>
      <c r="AP1138" s="49"/>
      <c r="AQ1138" s="49"/>
      <c r="AR1138" s="49"/>
      <c r="AS1138" s="49"/>
      <c r="AT1138" s="49"/>
      <c r="AU1138" s="49"/>
      <c r="AV1138" s="49"/>
      <c r="AW1138" s="49"/>
      <c r="AX1138" s="49"/>
      <c r="AY1138" s="49"/>
      <c r="AZ1138" s="49"/>
      <c r="BA1138" s="49"/>
      <c r="BB1138" s="49"/>
      <c r="BC1138" s="49"/>
      <c r="BD1138" s="49"/>
      <c r="BE1138" s="49"/>
      <c r="BF1138" s="68"/>
    </row>
    <row r="1139" spans="1:58" s="51" customFormat="1" ht="14.25" customHeight="1">
      <c r="A1139" s="582"/>
      <c r="B1139" s="872"/>
      <c r="C1139" s="882"/>
      <c r="D1139" s="62">
        <v>2029</v>
      </c>
      <c r="E1139" s="63">
        <f t="shared" si="382"/>
        <v>133.161</v>
      </c>
      <c r="F1139" s="63">
        <v>133.161</v>
      </c>
      <c r="G1139" s="63">
        <v>0</v>
      </c>
      <c r="H1139" s="63">
        <v>0</v>
      </c>
      <c r="I1139" s="63">
        <v>0</v>
      </c>
      <c r="J1139" s="63">
        <v>0</v>
      </c>
      <c r="K1139" s="76">
        <v>0</v>
      </c>
      <c r="L1139" s="497">
        <f t="shared" si="378"/>
        <v>133.161</v>
      </c>
      <c r="M1139" s="581"/>
      <c r="N1139" s="88"/>
      <c r="O1139" s="580"/>
      <c r="P1139" s="1125"/>
      <c r="Q1139" s="49"/>
      <c r="R1139" s="49"/>
      <c r="S1139" s="49"/>
      <c r="T1139" s="49"/>
      <c r="U1139" s="49"/>
      <c r="V1139" s="49"/>
      <c r="W1139" s="49"/>
      <c r="X1139" s="49"/>
      <c r="Y1139" s="49"/>
      <c r="Z1139" s="49"/>
      <c r="AA1139" s="49"/>
      <c r="AB1139" s="49"/>
      <c r="AC1139" s="49"/>
      <c r="AD1139" s="49"/>
      <c r="AE1139" s="49"/>
      <c r="AF1139" s="49"/>
      <c r="AG1139" s="49"/>
      <c r="AH1139" s="49"/>
      <c r="AI1139" s="49"/>
      <c r="AJ1139" s="49"/>
      <c r="AK1139" s="49"/>
      <c r="AL1139" s="49"/>
      <c r="AM1139" s="49"/>
      <c r="AN1139" s="49"/>
      <c r="AO1139" s="49"/>
      <c r="AP1139" s="49"/>
      <c r="AQ1139" s="49"/>
      <c r="AR1139" s="49"/>
      <c r="AS1139" s="49"/>
      <c r="AT1139" s="49"/>
      <c r="AU1139" s="49"/>
      <c r="AV1139" s="49"/>
      <c r="AW1139" s="49"/>
      <c r="AX1139" s="49"/>
      <c r="AY1139" s="49"/>
      <c r="AZ1139" s="49"/>
      <c r="BA1139" s="49"/>
      <c r="BB1139" s="49"/>
      <c r="BC1139" s="49"/>
      <c r="BD1139" s="49"/>
      <c r="BE1139" s="49"/>
      <c r="BF1139" s="68"/>
    </row>
    <row r="1140" spans="1:58" s="51" customFormat="1" ht="14.25" customHeight="1">
      <c r="A1140" s="547"/>
      <c r="B1140" s="873"/>
      <c r="C1140" s="964"/>
      <c r="D1140" s="62">
        <v>2030</v>
      </c>
      <c r="E1140" s="63">
        <f t="shared" si="382"/>
        <v>133.161</v>
      </c>
      <c r="F1140" s="63">
        <v>133.161</v>
      </c>
      <c r="G1140" s="63">
        <v>0</v>
      </c>
      <c r="H1140" s="63">
        <v>0</v>
      </c>
      <c r="I1140" s="63">
        <v>0</v>
      </c>
      <c r="J1140" s="63">
        <v>0</v>
      </c>
      <c r="K1140" s="76">
        <v>0</v>
      </c>
      <c r="L1140" s="497">
        <f t="shared" si="378"/>
        <v>133.161</v>
      </c>
      <c r="M1140" s="581"/>
      <c r="N1140" s="88"/>
      <c r="O1140" s="580"/>
      <c r="P1140" s="1103"/>
      <c r="Q1140" s="49"/>
      <c r="R1140" s="49"/>
      <c r="S1140" s="49"/>
      <c r="T1140" s="49"/>
      <c r="U1140" s="49"/>
      <c r="V1140" s="49"/>
      <c r="W1140" s="49"/>
      <c r="X1140" s="49"/>
      <c r="Y1140" s="49"/>
      <c r="Z1140" s="49"/>
      <c r="AA1140" s="49"/>
      <c r="AB1140" s="49"/>
      <c r="AC1140" s="49"/>
      <c r="AD1140" s="49"/>
      <c r="AE1140" s="49"/>
      <c r="AF1140" s="49"/>
      <c r="AG1140" s="49"/>
      <c r="AH1140" s="49"/>
      <c r="AI1140" s="49"/>
      <c r="AJ1140" s="49"/>
      <c r="AK1140" s="49"/>
      <c r="AL1140" s="49"/>
      <c r="AM1140" s="49"/>
      <c r="AN1140" s="49"/>
      <c r="AO1140" s="49"/>
      <c r="AP1140" s="49"/>
      <c r="AQ1140" s="49"/>
      <c r="AR1140" s="49"/>
      <c r="AS1140" s="49"/>
      <c r="AT1140" s="49"/>
      <c r="AU1140" s="49"/>
      <c r="AV1140" s="49"/>
      <c r="AW1140" s="49"/>
      <c r="AX1140" s="49"/>
      <c r="AY1140" s="49"/>
      <c r="AZ1140" s="49"/>
      <c r="BA1140" s="49"/>
      <c r="BB1140" s="49"/>
      <c r="BC1140" s="49"/>
      <c r="BD1140" s="49"/>
      <c r="BE1140" s="49"/>
      <c r="BF1140" s="68"/>
    </row>
    <row r="1141" spans="1:58" s="51" customFormat="1" ht="12.75" customHeight="1">
      <c r="A1141" s="1128" t="s">
        <v>1037</v>
      </c>
      <c r="B1141" s="929" t="s">
        <v>990</v>
      </c>
      <c r="C1141" s="583"/>
      <c r="D1141" s="84" t="s">
        <v>16</v>
      </c>
      <c r="E1141" s="85">
        <f t="shared" ref="E1141:J1141" si="383">E1142+E1143+E1144+E1145+E1146+E1147+E1148+E1149+E1150+E1151+E1152+E1153</f>
        <v>14.662811641518081</v>
      </c>
      <c r="F1141" s="85">
        <f t="shared" si="383"/>
        <v>14.662811641518081</v>
      </c>
      <c r="G1141" s="85">
        <f t="shared" si="383"/>
        <v>0</v>
      </c>
      <c r="H1141" s="85">
        <f t="shared" si="383"/>
        <v>0</v>
      </c>
      <c r="I1141" s="85">
        <f t="shared" si="383"/>
        <v>0</v>
      </c>
      <c r="J1141" s="85">
        <f t="shared" si="383"/>
        <v>0</v>
      </c>
      <c r="K1141" s="76">
        <v>0</v>
      </c>
      <c r="L1141" s="497">
        <f t="shared" si="378"/>
        <v>14.662811641518081</v>
      </c>
      <c r="M1141" s="581"/>
      <c r="N1141" s="88"/>
      <c r="O1141" s="301"/>
      <c r="P1141" s="477"/>
      <c r="Q1141" s="49"/>
      <c r="R1141" s="49"/>
      <c r="S1141" s="49"/>
      <c r="T1141" s="49"/>
      <c r="U1141" s="49"/>
      <c r="V1141" s="49"/>
      <c r="W1141" s="49"/>
      <c r="X1141" s="49"/>
      <c r="Y1141" s="49"/>
      <c r="Z1141" s="49"/>
      <c r="AA1141" s="49"/>
      <c r="AB1141" s="49"/>
      <c r="AC1141" s="49"/>
      <c r="AD1141" s="49"/>
      <c r="AE1141" s="49"/>
      <c r="AF1141" s="49"/>
      <c r="AG1141" s="49"/>
      <c r="AH1141" s="49"/>
      <c r="AI1141" s="49"/>
      <c r="AJ1141" s="49"/>
      <c r="AK1141" s="49"/>
      <c r="AL1141" s="49"/>
      <c r="AM1141" s="49"/>
      <c r="AN1141" s="49"/>
      <c r="AO1141" s="49"/>
      <c r="AP1141" s="49"/>
      <c r="AQ1141" s="49"/>
      <c r="AR1141" s="49"/>
      <c r="AS1141" s="49"/>
      <c r="AT1141" s="49"/>
      <c r="AU1141" s="49"/>
      <c r="AV1141" s="49"/>
      <c r="AW1141" s="49"/>
      <c r="AX1141" s="49"/>
      <c r="AY1141" s="49"/>
      <c r="AZ1141" s="49"/>
      <c r="BA1141" s="49"/>
      <c r="BB1141" s="49"/>
      <c r="BC1141" s="49"/>
      <c r="BD1141" s="49"/>
      <c r="BE1141" s="49"/>
      <c r="BF1141" s="68"/>
    </row>
    <row r="1142" spans="1:58" s="51" customFormat="1" ht="12.75" customHeight="1">
      <c r="A1142" s="1183"/>
      <c r="B1142" s="953"/>
      <c r="C1142" s="479"/>
      <c r="D1142" s="84">
        <v>2019</v>
      </c>
      <c r="E1142" s="85">
        <f t="shared" ref="E1142:J1142" si="384">E1162</f>
        <v>0.05</v>
      </c>
      <c r="F1142" s="85">
        <f t="shared" si="384"/>
        <v>0.05</v>
      </c>
      <c r="G1142" s="85">
        <f t="shared" si="384"/>
        <v>0</v>
      </c>
      <c r="H1142" s="85">
        <f t="shared" si="384"/>
        <v>0</v>
      </c>
      <c r="I1142" s="85">
        <f t="shared" si="384"/>
        <v>0</v>
      </c>
      <c r="J1142" s="85">
        <f t="shared" si="384"/>
        <v>0</v>
      </c>
      <c r="K1142" s="76">
        <v>0</v>
      </c>
      <c r="L1142" s="497">
        <f t="shared" si="378"/>
        <v>0.05</v>
      </c>
      <c r="M1142" s="581"/>
      <c r="N1142" s="88"/>
      <c r="O1142" s="301"/>
      <c r="P1142" s="477"/>
      <c r="Q1142" s="49"/>
      <c r="R1142" s="49"/>
      <c r="S1142" s="49"/>
      <c r="T1142" s="49"/>
      <c r="U1142" s="49"/>
      <c r="V1142" s="49"/>
      <c r="W1142" s="49"/>
      <c r="X1142" s="49"/>
      <c r="Y1142" s="49"/>
      <c r="Z1142" s="49"/>
      <c r="AA1142" s="49"/>
      <c r="AB1142" s="49"/>
      <c r="AC1142" s="49"/>
      <c r="AD1142" s="49"/>
      <c r="AE1142" s="49"/>
      <c r="AF1142" s="49"/>
      <c r="AG1142" s="49"/>
      <c r="AH1142" s="49"/>
      <c r="AI1142" s="49"/>
      <c r="AJ1142" s="49"/>
      <c r="AK1142" s="49"/>
      <c r="AL1142" s="49"/>
      <c r="AM1142" s="49"/>
      <c r="AN1142" s="49"/>
      <c r="AO1142" s="49"/>
      <c r="AP1142" s="49"/>
      <c r="AQ1142" s="49"/>
      <c r="AR1142" s="49"/>
      <c r="AS1142" s="49"/>
      <c r="AT1142" s="49"/>
      <c r="AU1142" s="49"/>
      <c r="AV1142" s="49"/>
      <c r="AW1142" s="49"/>
      <c r="AX1142" s="49"/>
      <c r="AY1142" s="49"/>
      <c r="AZ1142" s="49"/>
      <c r="BA1142" s="49"/>
      <c r="BB1142" s="49"/>
      <c r="BC1142" s="49"/>
      <c r="BD1142" s="49"/>
      <c r="BE1142" s="49"/>
      <c r="BF1142" s="68"/>
    </row>
    <row r="1143" spans="1:58" s="51" customFormat="1" ht="12.75" customHeight="1">
      <c r="A1143" s="1183"/>
      <c r="B1143" s="953"/>
      <c r="C1143" s="479"/>
      <c r="D1143" s="84">
        <v>2020</v>
      </c>
      <c r="E1143" s="85">
        <f t="shared" ref="E1143:J1143" si="385">E1190</f>
        <v>7.2400000000000006E-2</v>
      </c>
      <c r="F1143" s="85">
        <f t="shared" si="385"/>
        <v>7.2400000000000006E-2</v>
      </c>
      <c r="G1143" s="85">
        <f t="shared" si="385"/>
        <v>0</v>
      </c>
      <c r="H1143" s="85">
        <f t="shared" si="385"/>
        <v>0</v>
      </c>
      <c r="I1143" s="85">
        <f t="shared" si="385"/>
        <v>0</v>
      </c>
      <c r="J1143" s="85">
        <f t="shared" si="385"/>
        <v>0</v>
      </c>
      <c r="K1143" s="76">
        <v>0</v>
      </c>
      <c r="L1143" s="497">
        <f t="shared" si="378"/>
        <v>7.2400000000000006E-2</v>
      </c>
      <c r="M1143" s="581"/>
      <c r="N1143" s="88"/>
      <c r="O1143" s="301"/>
      <c r="P1143" s="477"/>
      <c r="Q1143" s="49"/>
      <c r="R1143" s="49"/>
      <c r="S1143" s="49"/>
      <c r="T1143" s="49"/>
      <c r="U1143" s="49"/>
      <c r="V1143" s="49"/>
      <c r="W1143" s="49"/>
      <c r="X1143" s="49"/>
      <c r="Y1143" s="49"/>
      <c r="Z1143" s="49"/>
      <c r="AA1143" s="49"/>
      <c r="AB1143" s="49"/>
      <c r="AC1143" s="49"/>
      <c r="AD1143" s="49"/>
      <c r="AE1143" s="49"/>
      <c r="AF1143" s="49"/>
      <c r="AG1143" s="49"/>
      <c r="AH1143" s="49"/>
      <c r="AI1143" s="49"/>
      <c r="AJ1143" s="49"/>
      <c r="AK1143" s="49"/>
      <c r="AL1143" s="49"/>
      <c r="AM1143" s="49"/>
      <c r="AN1143" s="49"/>
      <c r="AO1143" s="49"/>
      <c r="AP1143" s="49"/>
      <c r="AQ1143" s="49"/>
      <c r="AR1143" s="49"/>
      <c r="AS1143" s="49"/>
      <c r="AT1143" s="49"/>
      <c r="AU1143" s="49"/>
      <c r="AV1143" s="49"/>
      <c r="AW1143" s="49"/>
      <c r="AX1143" s="49"/>
      <c r="AY1143" s="49"/>
      <c r="AZ1143" s="49"/>
      <c r="BA1143" s="49"/>
      <c r="BB1143" s="49"/>
      <c r="BC1143" s="49"/>
      <c r="BD1143" s="49"/>
      <c r="BE1143" s="49"/>
      <c r="BF1143" s="68"/>
    </row>
    <row r="1144" spans="1:58" s="51" customFormat="1" ht="12.75" customHeight="1">
      <c r="A1144" s="1183"/>
      <c r="B1144" s="953"/>
      <c r="C1144" s="479"/>
      <c r="D1144" s="84">
        <v>2021</v>
      </c>
      <c r="E1144" s="85">
        <f t="shared" ref="E1144:J1144" si="386">E1164+E1191+E1196+E1198</f>
        <v>1.1375</v>
      </c>
      <c r="F1144" s="85">
        <f t="shared" si="386"/>
        <v>1.1375</v>
      </c>
      <c r="G1144" s="85">
        <f t="shared" si="386"/>
        <v>0</v>
      </c>
      <c r="H1144" s="85">
        <f t="shared" si="386"/>
        <v>0</v>
      </c>
      <c r="I1144" s="85">
        <f t="shared" si="386"/>
        <v>0</v>
      </c>
      <c r="J1144" s="85">
        <f t="shared" si="386"/>
        <v>0</v>
      </c>
      <c r="K1144" s="76">
        <v>0</v>
      </c>
      <c r="L1144" s="497">
        <f t="shared" si="378"/>
        <v>1.1375</v>
      </c>
      <c r="M1144" s="581"/>
      <c r="N1144" s="88"/>
      <c r="O1144" s="301"/>
      <c r="P1144" s="477"/>
      <c r="Q1144" s="49"/>
      <c r="R1144" s="49"/>
      <c r="S1144" s="49"/>
      <c r="T1144" s="49"/>
      <c r="U1144" s="49"/>
      <c r="V1144" s="49"/>
      <c r="W1144" s="49"/>
      <c r="X1144" s="49"/>
      <c r="Y1144" s="49"/>
      <c r="Z1144" s="49"/>
      <c r="AA1144" s="49"/>
      <c r="AB1144" s="49"/>
      <c r="AC1144" s="49"/>
      <c r="AD1144" s="49"/>
      <c r="AE1144" s="49"/>
      <c r="AF1144" s="49"/>
      <c r="AG1144" s="49"/>
      <c r="AH1144" s="49"/>
      <c r="AI1144" s="49"/>
      <c r="AJ1144" s="49"/>
      <c r="AK1144" s="49"/>
      <c r="AL1144" s="49"/>
      <c r="AM1144" s="49"/>
      <c r="AN1144" s="49"/>
      <c r="AO1144" s="49"/>
      <c r="AP1144" s="49"/>
      <c r="AQ1144" s="49"/>
      <c r="AR1144" s="49"/>
      <c r="AS1144" s="49"/>
      <c r="AT1144" s="49"/>
      <c r="AU1144" s="49"/>
      <c r="AV1144" s="49"/>
      <c r="AW1144" s="49"/>
      <c r="AX1144" s="49"/>
      <c r="AY1144" s="49"/>
      <c r="AZ1144" s="49"/>
      <c r="BA1144" s="49"/>
      <c r="BB1144" s="49"/>
      <c r="BC1144" s="49"/>
      <c r="BD1144" s="49"/>
      <c r="BE1144" s="49"/>
      <c r="BF1144" s="68"/>
    </row>
    <row r="1145" spans="1:58" s="51" customFormat="1" ht="12.75" customHeight="1">
      <c r="A1145" s="1183"/>
      <c r="B1145" s="953"/>
      <c r="C1145" s="479"/>
      <c r="D1145" s="84">
        <v>2022</v>
      </c>
      <c r="E1145" s="85">
        <f t="shared" ref="E1145:J1145" si="387">E1165+E1192+E1199</f>
        <v>1.038</v>
      </c>
      <c r="F1145" s="85">
        <f t="shared" si="387"/>
        <v>1.038</v>
      </c>
      <c r="G1145" s="85">
        <f t="shared" si="387"/>
        <v>0</v>
      </c>
      <c r="H1145" s="85">
        <f t="shared" si="387"/>
        <v>0</v>
      </c>
      <c r="I1145" s="85">
        <f t="shared" si="387"/>
        <v>0</v>
      </c>
      <c r="J1145" s="85">
        <f t="shared" si="387"/>
        <v>0</v>
      </c>
      <c r="K1145" s="76">
        <v>0</v>
      </c>
      <c r="L1145" s="497">
        <f t="shared" ref="L1145:L1152" si="388">F1145+G1145+H1145+I1145+J1145</f>
        <v>1.038</v>
      </c>
      <c r="M1145" s="581"/>
      <c r="N1145" s="88"/>
      <c r="O1145" s="301"/>
      <c r="P1145" s="477"/>
      <c r="Q1145" s="49"/>
      <c r="R1145" s="49"/>
      <c r="S1145" s="49"/>
      <c r="T1145" s="49"/>
      <c r="U1145" s="49"/>
      <c r="V1145" s="49"/>
      <c r="W1145" s="49"/>
      <c r="X1145" s="49"/>
      <c r="Y1145" s="49"/>
      <c r="Z1145" s="49"/>
      <c r="AA1145" s="49"/>
      <c r="AB1145" s="49"/>
      <c r="AC1145" s="49"/>
      <c r="AD1145" s="49"/>
      <c r="AE1145" s="49"/>
      <c r="AF1145" s="49"/>
      <c r="AG1145" s="49"/>
      <c r="AH1145" s="49"/>
      <c r="AI1145" s="49"/>
      <c r="AJ1145" s="49"/>
      <c r="AK1145" s="49"/>
      <c r="AL1145" s="49"/>
      <c r="AM1145" s="49"/>
      <c r="AN1145" s="49"/>
      <c r="AO1145" s="49"/>
      <c r="AP1145" s="49"/>
      <c r="AQ1145" s="49"/>
      <c r="AR1145" s="49"/>
      <c r="AS1145" s="49"/>
      <c r="AT1145" s="49"/>
      <c r="AU1145" s="49"/>
      <c r="AV1145" s="49"/>
      <c r="AW1145" s="49"/>
      <c r="AX1145" s="49"/>
      <c r="AY1145" s="49"/>
      <c r="AZ1145" s="49"/>
      <c r="BA1145" s="49"/>
      <c r="BB1145" s="49"/>
      <c r="BC1145" s="49"/>
      <c r="BD1145" s="49"/>
      <c r="BE1145" s="49"/>
      <c r="BF1145" s="68"/>
    </row>
    <row r="1146" spans="1:58" s="51" customFormat="1" ht="12.75" customHeight="1">
      <c r="A1146" s="1183"/>
      <c r="B1146" s="953"/>
      <c r="C1146" s="479"/>
      <c r="D1146" s="84">
        <v>2023</v>
      </c>
      <c r="E1146" s="85">
        <f t="shared" ref="E1146:J1146" si="389">E1166+E1188+E1193+E1200</f>
        <v>1.0649999999999999</v>
      </c>
      <c r="F1146" s="85">
        <f t="shared" si="389"/>
        <v>1.0649999999999999</v>
      </c>
      <c r="G1146" s="85">
        <f t="shared" si="389"/>
        <v>0</v>
      </c>
      <c r="H1146" s="85">
        <f t="shared" si="389"/>
        <v>0</v>
      </c>
      <c r="I1146" s="85">
        <f t="shared" si="389"/>
        <v>0</v>
      </c>
      <c r="J1146" s="85">
        <f t="shared" si="389"/>
        <v>0</v>
      </c>
      <c r="K1146" s="76">
        <v>0</v>
      </c>
      <c r="L1146" s="497">
        <f t="shared" si="388"/>
        <v>1.0649999999999999</v>
      </c>
      <c r="M1146" s="581"/>
      <c r="N1146" s="88"/>
      <c r="O1146" s="301"/>
      <c r="P1146" s="477"/>
      <c r="Q1146" s="49"/>
      <c r="R1146" s="49"/>
      <c r="S1146" s="49"/>
      <c r="T1146" s="49"/>
      <c r="U1146" s="49"/>
      <c r="V1146" s="49"/>
      <c r="W1146" s="49"/>
      <c r="X1146" s="49"/>
      <c r="Y1146" s="49"/>
      <c r="Z1146" s="49"/>
      <c r="AA1146" s="49"/>
      <c r="AB1146" s="49"/>
      <c r="AC1146" s="49"/>
      <c r="AD1146" s="49"/>
      <c r="AE1146" s="49"/>
      <c r="AF1146" s="49"/>
      <c r="AG1146" s="49"/>
      <c r="AH1146" s="49"/>
      <c r="AI1146" s="49"/>
      <c r="AJ1146" s="49"/>
      <c r="AK1146" s="49"/>
      <c r="AL1146" s="49"/>
      <c r="AM1146" s="49"/>
      <c r="AN1146" s="49"/>
      <c r="AO1146" s="49"/>
      <c r="AP1146" s="49"/>
      <c r="AQ1146" s="49"/>
      <c r="AR1146" s="49"/>
      <c r="AS1146" s="49"/>
      <c r="AT1146" s="49"/>
      <c r="AU1146" s="49"/>
      <c r="AV1146" s="49"/>
      <c r="AW1146" s="49"/>
      <c r="AX1146" s="49"/>
      <c r="AY1146" s="49"/>
      <c r="AZ1146" s="49"/>
      <c r="BA1146" s="49"/>
      <c r="BB1146" s="49"/>
      <c r="BC1146" s="49"/>
      <c r="BD1146" s="49"/>
      <c r="BE1146" s="49"/>
      <c r="BF1146" s="68"/>
    </row>
    <row r="1147" spans="1:58" s="51" customFormat="1" ht="12.75" customHeight="1">
      <c r="A1147" s="1183"/>
      <c r="B1147" s="953"/>
      <c r="C1147" s="479"/>
      <c r="D1147" s="84">
        <v>2024</v>
      </c>
      <c r="E1147" s="85">
        <f t="shared" ref="E1147:J1147" si="390">E1167+E1194+E1201</f>
        <v>1.6612</v>
      </c>
      <c r="F1147" s="85">
        <f t="shared" si="390"/>
        <v>1.6612</v>
      </c>
      <c r="G1147" s="85">
        <f t="shared" si="390"/>
        <v>0</v>
      </c>
      <c r="H1147" s="85">
        <f t="shared" si="390"/>
        <v>0</v>
      </c>
      <c r="I1147" s="85">
        <f t="shared" si="390"/>
        <v>0</v>
      </c>
      <c r="J1147" s="85">
        <f t="shared" si="390"/>
        <v>0</v>
      </c>
      <c r="K1147" s="76">
        <v>0</v>
      </c>
      <c r="L1147" s="497">
        <f t="shared" si="388"/>
        <v>1.6612</v>
      </c>
      <c r="M1147" s="581"/>
      <c r="N1147" s="88"/>
      <c r="O1147" s="301"/>
      <c r="P1147" s="477"/>
      <c r="Q1147" s="49"/>
      <c r="R1147" s="49"/>
      <c r="S1147" s="49"/>
      <c r="T1147" s="49"/>
      <c r="U1147" s="49"/>
      <c r="V1147" s="49"/>
      <c r="W1147" s="49"/>
      <c r="X1147" s="49"/>
      <c r="Y1147" s="49"/>
      <c r="Z1147" s="49"/>
      <c r="AA1147" s="49"/>
      <c r="AB1147" s="49"/>
      <c r="AC1147" s="49"/>
      <c r="AD1147" s="49"/>
      <c r="AE1147" s="49"/>
      <c r="AF1147" s="49"/>
      <c r="AG1147" s="49"/>
      <c r="AH1147" s="49"/>
      <c r="AI1147" s="49"/>
      <c r="AJ1147" s="49"/>
      <c r="AK1147" s="49"/>
      <c r="AL1147" s="49"/>
      <c r="AM1147" s="49"/>
      <c r="AN1147" s="49"/>
      <c r="AO1147" s="49"/>
      <c r="AP1147" s="49"/>
      <c r="AQ1147" s="49"/>
      <c r="AR1147" s="49"/>
      <c r="AS1147" s="49"/>
      <c r="AT1147" s="49"/>
      <c r="AU1147" s="49"/>
      <c r="AV1147" s="49"/>
      <c r="AW1147" s="49"/>
      <c r="AX1147" s="49"/>
      <c r="AY1147" s="49"/>
      <c r="AZ1147" s="49"/>
      <c r="BA1147" s="49"/>
      <c r="BB1147" s="49"/>
      <c r="BC1147" s="49"/>
      <c r="BD1147" s="49"/>
      <c r="BE1147" s="49"/>
      <c r="BF1147" s="68"/>
    </row>
    <row r="1148" spans="1:58" s="51" customFormat="1" ht="12.75" customHeight="1">
      <c r="A1148" s="1183"/>
      <c r="B1148" s="953"/>
      <c r="C1148" s="479"/>
      <c r="D1148" s="84">
        <v>2025</v>
      </c>
      <c r="E1148" s="85">
        <f t="shared" ref="E1148:J1148" si="391">E1168+E1202</f>
        <v>1.1152</v>
      </c>
      <c r="F1148" s="85">
        <f t="shared" si="391"/>
        <v>1.1152</v>
      </c>
      <c r="G1148" s="85">
        <f t="shared" si="391"/>
        <v>0</v>
      </c>
      <c r="H1148" s="85">
        <f t="shared" si="391"/>
        <v>0</v>
      </c>
      <c r="I1148" s="85">
        <f t="shared" si="391"/>
        <v>0</v>
      </c>
      <c r="J1148" s="85">
        <f t="shared" si="391"/>
        <v>0</v>
      </c>
      <c r="K1148" s="76">
        <v>0</v>
      </c>
      <c r="L1148" s="497">
        <f t="shared" si="388"/>
        <v>1.1152</v>
      </c>
      <c r="M1148" s="581"/>
      <c r="N1148" s="88"/>
      <c r="O1148" s="301"/>
      <c r="P1148" s="477"/>
      <c r="Q1148" s="49"/>
      <c r="R1148" s="49"/>
      <c r="S1148" s="49"/>
      <c r="T1148" s="49"/>
      <c r="U1148" s="49"/>
      <c r="V1148" s="49"/>
      <c r="W1148" s="49"/>
      <c r="X1148" s="49"/>
      <c r="Y1148" s="49"/>
      <c r="Z1148" s="49"/>
      <c r="AA1148" s="49"/>
      <c r="AB1148" s="49"/>
      <c r="AC1148" s="49"/>
      <c r="AD1148" s="49"/>
      <c r="AE1148" s="49"/>
      <c r="AF1148" s="49"/>
      <c r="AG1148" s="49"/>
      <c r="AH1148" s="49"/>
      <c r="AI1148" s="49"/>
      <c r="AJ1148" s="49"/>
      <c r="AK1148" s="49"/>
      <c r="AL1148" s="49"/>
      <c r="AM1148" s="49"/>
      <c r="AN1148" s="49"/>
      <c r="AO1148" s="49"/>
      <c r="AP1148" s="49"/>
      <c r="AQ1148" s="49"/>
      <c r="AR1148" s="49"/>
      <c r="AS1148" s="49"/>
      <c r="AT1148" s="49"/>
      <c r="AU1148" s="49"/>
      <c r="AV1148" s="49"/>
      <c r="AW1148" s="49"/>
      <c r="AX1148" s="49"/>
      <c r="AY1148" s="49"/>
      <c r="AZ1148" s="49"/>
      <c r="BA1148" s="49"/>
      <c r="BB1148" s="49"/>
      <c r="BC1148" s="49"/>
      <c r="BD1148" s="49"/>
      <c r="BE1148" s="49"/>
      <c r="BF1148" s="68"/>
    </row>
    <row r="1149" spans="1:58" s="51" customFormat="1" ht="12.75" customHeight="1">
      <c r="A1149" s="1183"/>
      <c r="B1149" s="953"/>
      <c r="C1149" s="479"/>
      <c r="D1149" s="84">
        <v>2026</v>
      </c>
      <c r="E1149" s="85">
        <f>E1155+E1169+E1175</f>
        <v>2.188968</v>
      </c>
      <c r="F1149" s="85">
        <f>F1155+F1175+F1169</f>
        <v>2.188968</v>
      </c>
      <c r="G1149" s="85">
        <f>G1155+G1175</f>
        <v>0</v>
      </c>
      <c r="H1149" s="85">
        <f>H1155+H1175</f>
        <v>0</v>
      </c>
      <c r="I1149" s="85">
        <f>I1155+I1175</f>
        <v>0</v>
      </c>
      <c r="J1149" s="85">
        <f>J1155+J1175</f>
        <v>0</v>
      </c>
      <c r="K1149" s="76">
        <v>0</v>
      </c>
      <c r="L1149" s="497">
        <f t="shared" si="388"/>
        <v>2.188968</v>
      </c>
      <c r="M1149" s="581"/>
      <c r="N1149" s="88"/>
      <c r="O1149" s="301"/>
      <c r="P1149" s="477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49"/>
      <c r="AU1149" s="49"/>
      <c r="AV1149" s="49"/>
      <c r="AW1149" s="49"/>
      <c r="AX1149" s="49"/>
      <c r="AY1149" s="49"/>
      <c r="AZ1149" s="49"/>
      <c r="BA1149" s="49"/>
      <c r="BB1149" s="49"/>
      <c r="BC1149" s="49"/>
      <c r="BD1149" s="49"/>
      <c r="BE1149" s="49"/>
      <c r="BF1149" s="68"/>
    </row>
    <row r="1150" spans="1:58" s="51" customFormat="1" ht="12.75" customHeight="1">
      <c r="A1150" s="1183"/>
      <c r="B1150" s="953"/>
      <c r="C1150" s="1125"/>
      <c r="D1150" s="84">
        <v>2027</v>
      </c>
      <c r="E1150" s="85">
        <f>E1156+E1170+E1176</f>
        <v>2.19652672</v>
      </c>
      <c r="F1150" s="85">
        <f>F1156+F1176+F1170</f>
        <v>2.19652672</v>
      </c>
      <c r="G1150" s="85">
        <f>G1156+G1176+G1170</f>
        <v>0</v>
      </c>
      <c r="H1150" s="85">
        <f>H1156+H1176+H1170</f>
        <v>0</v>
      </c>
      <c r="I1150" s="85">
        <f>I1156+I1176+I1170</f>
        <v>0</v>
      </c>
      <c r="J1150" s="85">
        <f>J1156+J1176+J1170</f>
        <v>0</v>
      </c>
      <c r="K1150" s="76">
        <v>0</v>
      </c>
      <c r="L1150" s="497">
        <f t="shared" si="388"/>
        <v>2.19652672</v>
      </c>
      <c r="M1150" s="581"/>
      <c r="N1150" s="88"/>
      <c r="O1150" s="301"/>
      <c r="P1150" s="477"/>
      <c r="Q1150" s="49"/>
      <c r="R1150" s="49"/>
      <c r="S1150" s="49"/>
      <c r="T1150" s="49"/>
      <c r="U1150" s="49"/>
      <c r="V1150" s="49"/>
      <c r="W1150" s="49"/>
      <c r="X1150" s="49"/>
      <c r="Y1150" s="49"/>
      <c r="Z1150" s="49"/>
      <c r="AA1150" s="49"/>
      <c r="AB1150" s="49"/>
      <c r="AC1150" s="49"/>
      <c r="AD1150" s="49"/>
      <c r="AE1150" s="49"/>
      <c r="AF1150" s="49"/>
      <c r="AG1150" s="49"/>
      <c r="AH1150" s="49"/>
      <c r="AI1150" s="49"/>
      <c r="AJ1150" s="49"/>
      <c r="AK1150" s="49"/>
      <c r="AL1150" s="49"/>
      <c r="AM1150" s="49"/>
      <c r="AN1150" s="49"/>
      <c r="AO1150" s="49"/>
      <c r="AP1150" s="49"/>
      <c r="AQ1150" s="49"/>
      <c r="AR1150" s="49"/>
      <c r="AS1150" s="49"/>
      <c r="AT1150" s="49"/>
      <c r="AU1150" s="49"/>
      <c r="AV1150" s="49"/>
      <c r="AW1150" s="49"/>
      <c r="AX1150" s="49"/>
      <c r="AY1150" s="49"/>
      <c r="AZ1150" s="49"/>
      <c r="BA1150" s="49"/>
      <c r="BB1150" s="49"/>
      <c r="BC1150" s="49"/>
      <c r="BD1150" s="49"/>
      <c r="BE1150" s="49"/>
      <c r="BF1150" s="68"/>
    </row>
    <row r="1151" spans="1:58" s="51" customFormat="1" ht="12.75" customHeight="1">
      <c r="A1151" s="1183"/>
      <c r="B1151" s="953"/>
      <c r="C1151" s="1125"/>
      <c r="D1151" s="84">
        <v>2028</v>
      </c>
      <c r="E1151" s="85">
        <f>E1157+E1177+E1171</f>
        <v>2.2043877888000001</v>
      </c>
      <c r="F1151" s="85">
        <f>F1157+F1177+F1171</f>
        <v>2.2043877888000001</v>
      </c>
      <c r="G1151" s="85">
        <f>G1157+G1177</f>
        <v>0</v>
      </c>
      <c r="H1151" s="85">
        <f>H1157+H1177</f>
        <v>0</v>
      </c>
      <c r="I1151" s="85">
        <f>I1157+I1177</f>
        <v>0</v>
      </c>
      <c r="J1151" s="85">
        <f>J1157+J1177</f>
        <v>0</v>
      </c>
      <c r="K1151" s="76">
        <v>0</v>
      </c>
      <c r="L1151" s="497">
        <f t="shared" si="388"/>
        <v>2.2043877888000001</v>
      </c>
      <c r="M1151" s="581"/>
      <c r="N1151" s="88"/>
      <c r="O1151" s="301"/>
      <c r="P1151" s="477"/>
      <c r="Q1151" s="49"/>
      <c r="R1151" s="49"/>
      <c r="S1151" s="49"/>
      <c r="T1151" s="49"/>
      <c r="U1151" s="49"/>
      <c r="V1151" s="49"/>
      <c r="W1151" s="49"/>
      <c r="X1151" s="49"/>
      <c r="Y1151" s="49"/>
      <c r="Z1151" s="49"/>
      <c r="AA1151" s="49"/>
      <c r="AB1151" s="49"/>
      <c r="AC1151" s="49"/>
      <c r="AD1151" s="49"/>
      <c r="AE1151" s="49"/>
      <c r="AF1151" s="49"/>
      <c r="AG1151" s="49"/>
      <c r="AH1151" s="49"/>
      <c r="AI1151" s="49"/>
      <c r="AJ1151" s="49"/>
      <c r="AK1151" s="49"/>
      <c r="AL1151" s="49"/>
      <c r="AM1151" s="49"/>
      <c r="AN1151" s="49"/>
      <c r="AO1151" s="49"/>
      <c r="AP1151" s="49"/>
      <c r="AQ1151" s="49"/>
      <c r="AR1151" s="49"/>
      <c r="AS1151" s="49"/>
      <c r="AT1151" s="49"/>
      <c r="AU1151" s="49"/>
      <c r="AV1151" s="49"/>
      <c r="AW1151" s="49"/>
      <c r="AX1151" s="49"/>
      <c r="AY1151" s="49"/>
      <c r="AZ1151" s="49"/>
      <c r="BA1151" s="49"/>
      <c r="BB1151" s="49"/>
      <c r="BC1151" s="49"/>
      <c r="BD1151" s="49"/>
      <c r="BE1151" s="49"/>
      <c r="BF1151" s="68"/>
    </row>
    <row r="1152" spans="1:58" s="51" customFormat="1" ht="12.75" customHeight="1">
      <c r="A1152" s="1183"/>
      <c r="B1152" s="953"/>
      <c r="C1152" s="1125"/>
      <c r="D1152" s="84">
        <v>2029</v>
      </c>
      <c r="E1152" s="85">
        <f>E1178+E1172</f>
        <v>1.712563300352</v>
      </c>
      <c r="F1152" s="85">
        <f>F1178+F1172</f>
        <v>1.712563300352</v>
      </c>
      <c r="G1152" s="85">
        <f>G1178</f>
        <v>0</v>
      </c>
      <c r="H1152" s="85">
        <f>H1178</f>
        <v>0</v>
      </c>
      <c r="I1152" s="85">
        <f>I1178</f>
        <v>0</v>
      </c>
      <c r="J1152" s="85">
        <f>J1178</f>
        <v>0</v>
      </c>
      <c r="K1152" s="76">
        <v>0</v>
      </c>
      <c r="L1152" s="497">
        <f t="shared" si="388"/>
        <v>1.712563300352</v>
      </c>
      <c r="M1152" s="581"/>
      <c r="N1152" s="88"/>
      <c r="O1152" s="301"/>
      <c r="P1152" s="477"/>
      <c r="Q1152" s="49"/>
      <c r="R1152" s="49"/>
      <c r="S1152" s="49"/>
      <c r="T1152" s="49"/>
      <c r="U1152" s="49"/>
      <c r="V1152" s="49"/>
      <c r="W1152" s="49"/>
      <c r="X1152" s="49"/>
      <c r="Y1152" s="49"/>
      <c r="Z1152" s="49"/>
      <c r="AA1152" s="49"/>
      <c r="AB1152" s="49"/>
      <c r="AC1152" s="49"/>
      <c r="AD1152" s="49"/>
      <c r="AE1152" s="49"/>
      <c r="AF1152" s="49"/>
      <c r="AG1152" s="49"/>
      <c r="AH1152" s="49"/>
      <c r="AI1152" s="49"/>
      <c r="AJ1152" s="49"/>
      <c r="AK1152" s="49"/>
      <c r="AL1152" s="49"/>
      <c r="AM1152" s="49"/>
      <c r="AN1152" s="49"/>
      <c r="AO1152" s="49"/>
      <c r="AP1152" s="49"/>
      <c r="AQ1152" s="49"/>
      <c r="AR1152" s="49"/>
      <c r="AS1152" s="49"/>
      <c r="AT1152" s="49"/>
      <c r="AU1152" s="49"/>
      <c r="AV1152" s="49"/>
      <c r="AW1152" s="49"/>
      <c r="AX1152" s="49"/>
      <c r="AY1152" s="49"/>
      <c r="AZ1152" s="49"/>
      <c r="BA1152" s="49"/>
      <c r="BB1152" s="49"/>
      <c r="BC1152" s="49"/>
      <c r="BD1152" s="49"/>
      <c r="BE1152" s="49"/>
      <c r="BF1152" s="68"/>
    </row>
    <row r="1153" spans="1:58" s="51" customFormat="1" ht="15.75" customHeight="1">
      <c r="A1153" s="1184"/>
      <c r="B1153" s="954"/>
      <c r="C1153" s="1103"/>
      <c r="D1153" s="84">
        <v>2030</v>
      </c>
      <c r="E1153" s="85">
        <f>F1153</f>
        <v>0.22106583236608005</v>
      </c>
      <c r="F1153" s="85">
        <f>F1173</f>
        <v>0.22106583236608005</v>
      </c>
      <c r="G1153" s="85">
        <f>H1153</f>
        <v>0</v>
      </c>
      <c r="H1153" s="85">
        <f>I1153</f>
        <v>0</v>
      </c>
      <c r="I1153" s="85">
        <f>J1153</f>
        <v>0</v>
      </c>
      <c r="J1153" s="85">
        <f>L1153</f>
        <v>0</v>
      </c>
      <c r="K1153" s="76">
        <v>0</v>
      </c>
      <c r="L1153" s="497"/>
      <c r="M1153" s="581"/>
      <c r="N1153" s="88"/>
      <c r="O1153" s="301"/>
      <c r="P1153" s="557"/>
      <c r="Q1153" s="49"/>
      <c r="R1153" s="49"/>
      <c r="S1153" s="49"/>
      <c r="T1153" s="49"/>
      <c r="U1153" s="49"/>
      <c r="V1153" s="49"/>
      <c r="W1153" s="49"/>
      <c r="X1153" s="49"/>
      <c r="Y1153" s="49"/>
      <c r="Z1153" s="49"/>
      <c r="AA1153" s="49"/>
      <c r="AB1153" s="49"/>
      <c r="AC1153" s="49"/>
      <c r="AD1153" s="49"/>
      <c r="AE1153" s="49"/>
      <c r="AF1153" s="49"/>
      <c r="AG1153" s="49"/>
      <c r="AH1153" s="49"/>
      <c r="AI1153" s="49"/>
      <c r="AJ1153" s="49"/>
      <c r="AK1153" s="49"/>
      <c r="AL1153" s="49"/>
      <c r="AM1153" s="49"/>
      <c r="AN1153" s="49"/>
      <c r="AO1153" s="49"/>
      <c r="AP1153" s="49"/>
      <c r="AQ1153" s="49"/>
      <c r="AR1153" s="49"/>
      <c r="AS1153" s="49"/>
      <c r="AT1153" s="49"/>
      <c r="AU1153" s="49"/>
      <c r="AV1153" s="49"/>
      <c r="AW1153" s="49"/>
      <c r="AX1153" s="49"/>
      <c r="AY1153" s="49"/>
      <c r="AZ1153" s="49"/>
      <c r="BA1153" s="49"/>
      <c r="BB1153" s="49"/>
      <c r="BC1153" s="49"/>
      <c r="BD1153" s="49"/>
      <c r="BE1153" s="49"/>
      <c r="BF1153" s="68"/>
    </row>
    <row r="1154" spans="1:58" s="51" customFormat="1" ht="14.25" customHeight="1">
      <c r="A1154" s="794" t="s">
        <v>1040</v>
      </c>
      <c r="B1154" s="838" t="s">
        <v>992</v>
      </c>
      <c r="C1154" s="881" t="s">
        <v>1344</v>
      </c>
      <c r="D1154" s="84" t="s">
        <v>16</v>
      </c>
      <c r="E1154" s="85">
        <f t="shared" ref="E1154:J1154" si="392">E1155+E1157+E1156</f>
        <v>1.5</v>
      </c>
      <c r="F1154" s="85">
        <f t="shared" si="392"/>
        <v>1.5</v>
      </c>
      <c r="G1154" s="85">
        <f t="shared" si="392"/>
        <v>0</v>
      </c>
      <c r="H1154" s="85">
        <f t="shared" si="392"/>
        <v>0</v>
      </c>
      <c r="I1154" s="85">
        <f t="shared" si="392"/>
        <v>0</v>
      </c>
      <c r="J1154" s="85">
        <f t="shared" si="392"/>
        <v>0</v>
      </c>
      <c r="K1154" s="76">
        <v>0</v>
      </c>
      <c r="L1154" s="497">
        <f t="shared" ref="L1154:L1189" si="393">F1154+G1154+H1154+I1154+J1154</f>
        <v>1.5</v>
      </c>
      <c r="M1154" s="581"/>
      <c r="N1154" s="88"/>
      <c r="O1154" s="301"/>
      <c r="P1154" s="842" t="s">
        <v>369</v>
      </c>
      <c r="Q1154" s="49"/>
      <c r="R1154" s="49"/>
      <c r="S1154" s="49"/>
      <c r="T1154" s="49"/>
      <c r="U1154" s="49"/>
      <c r="V1154" s="49"/>
      <c r="W1154" s="49"/>
      <c r="X1154" s="49"/>
      <c r="Y1154" s="49"/>
      <c r="Z1154" s="49"/>
      <c r="AA1154" s="49"/>
      <c r="AB1154" s="49"/>
      <c r="AC1154" s="49"/>
      <c r="AD1154" s="49"/>
      <c r="AE1154" s="49"/>
      <c r="AF1154" s="49"/>
      <c r="AG1154" s="49"/>
      <c r="AH1154" s="49"/>
      <c r="AI1154" s="49"/>
      <c r="AJ1154" s="49"/>
      <c r="AK1154" s="49"/>
      <c r="AL1154" s="49"/>
      <c r="AM1154" s="49"/>
      <c r="AN1154" s="49"/>
      <c r="AO1154" s="49"/>
      <c r="AP1154" s="49"/>
      <c r="AQ1154" s="49"/>
      <c r="AR1154" s="49"/>
      <c r="AS1154" s="49"/>
      <c r="AT1154" s="49"/>
      <c r="AU1154" s="49"/>
      <c r="AV1154" s="49"/>
      <c r="AW1154" s="49"/>
      <c r="AX1154" s="49"/>
      <c r="AY1154" s="49"/>
      <c r="AZ1154" s="49"/>
      <c r="BA1154" s="49"/>
      <c r="BB1154" s="49"/>
      <c r="BC1154" s="49"/>
      <c r="BD1154" s="49"/>
      <c r="BE1154" s="49"/>
      <c r="BF1154" s="68"/>
    </row>
    <row r="1155" spans="1:58" s="51" customFormat="1">
      <c r="A1155" s="795"/>
      <c r="B1155" s="889"/>
      <c r="C1155" s="882"/>
      <c r="D1155" s="84">
        <v>2026</v>
      </c>
      <c r="E1155" s="63">
        <f t="shared" ref="E1155:F1157" si="394">E1158</f>
        <v>0.5</v>
      </c>
      <c r="F1155" s="63">
        <f t="shared" si="394"/>
        <v>0.5</v>
      </c>
      <c r="G1155" s="63">
        <v>0</v>
      </c>
      <c r="H1155" s="63">
        <v>0</v>
      </c>
      <c r="I1155" s="63">
        <v>0</v>
      </c>
      <c r="J1155" s="63">
        <v>0</v>
      </c>
      <c r="K1155" s="76">
        <v>0</v>
      </c>
      <c r="L1155" s="497">
        <f t="shared" si="393"/>
        <v>0.5</v>
      </c>
      <c r="M1155" s="581"/>
      <c r="N1155" s="88"/>
      <c r="O1155" s="301"/>
      <c r="P1155" s="1016"/>
      <c r="Q1155" s="49"/>
      <c r="R1155" s="49"/>
      <c r="S1155" s="49"/>
      <c r="T1155" s="49"/>
      <c r="U1155" s="49"/>
      <c r="V1155" s="49"/>
      <c r="W1155" s="49"/>
      <c r="X1155" s="49"/>
      <c r="Y1155" s="49"/>
      <c r="Z1155" s="49"/>
      <c r="AA1155" s="49"/>
      <c r="AB1155" s="49"/>
      <c r="AC1155" s="49"/>
      <c r="AD1155" s="49"/>
      <c r="AE1155" s="49"/>
      <c r="AF1155" s="49"/>
      <c r="AG1155" s="49"/>
      <c r="AH1155" s="49"/>
      <c r="AI1155" s="49"/>
      <c r="AJ1155" s="49"/>
      <c r="AK1155" s="49"/>
      <c r="AL1155" s="49"/>
      <c r="AM1155" s="49"/>
      <c r="AN1155" s="49"/>
      <c r="AO1155" s="49"/>
      <c r="AP1155" s="49"/>
      <c r="AQ1155" s="49"/>
      <c r="AR1155" s="49"/>
      <c r="AS1155" s="49"/>
      <c r="AT1155" s="49"/>
      <c r="AU1155" s="49"/>
      <c r="AV1155" s="49"/>
      <c r="AW1155" s="49"/>
      <c r="AX1155" s="49"/>
      <c r="AY1155" s="49"/>
      <c r="AZ1155" s="49"/>
      <c r="BA1155" s="49"/>
      <c r="BB1155" s="49"/>
      <c r="BC1155" s="49"/>
      <c r="BD1155" s="49"/>
      <c r="BE1155" s="49"/>
      <c r="BF1155" s="68"/>
    </row>
    <row r="1156" spans="1:58" s="51" customFormat="1">
      <c r="A1156" s="795"/>
      <c r="B1156" s="889"/>
      <c r="C1156" s="882"/>
      <c r="D1156" s="84">
        <v>2027</v>
      </c>
      <c r="E1156" s="63">
        <f t="shared" si="394"/>
        <v>0.5</v>
      </c>
      <c r="F1156" s="63">
        <f t="shared" si="394"/>
        <v>0.5</v>
      </c>
      <c r="G1156" s="63">
        <f t="shared" ref="G1156:J1157" si="395">G1159</f>
        <v>0</v>
      </c>
      <c r="H1156" s="63">
        <f t="shared" si="395"/>
        <v>0</v>
      </c>
      <c r="I1156" s="63">
        <f t="shared" si="395"/>
        <v>0</v>
      </c>
      <c r="J1156" s="63">
        <f t="shared" si="395"/>
        <v>0</v>
      </c>
      <c r="K1156" s="76">
        <v>0</v>
      </c>
      <c r="L1156" s="497">
        <f t="shared" si="393"/>
        <v>0.5</v>
      </c>
      <c r="M1156" s="581"/>
      <c r="N1156" s="88"/>
      <c r="O1156" s="301"/>
      <c r="P1156" s="1016"/>
      <c r="Q1156" s="49"/>
      <c r="R1156" s="49"/>
      <c r="S1156" s="49"/>
      <c r="T1156" s="49"/>
      <c r="U1156" s="49"/>
      <c r="V1156" s="49"/>
      <c r="W1156" s="49"/>
      <c r="X1156" s="49"/>
      <c r="Y1156" s="49"/>
      <c r="Z1156" s="49"/>
      <c r="AA1156" s="49"/>
      <c r="AB1156" s="49"/>
      <c r="AC1156" s="49"/>
      <c r="AD1156" s="49"/>
      <c r="AE1156" s="49"/>
      <c r="AF1156" s="49"/>
      <c r="AG1156" s="49"/>
      <c r="AH1156" s="49"/>
      <c r="AI1156" s="49"/>
      <c r="AJ1156" s="49"/>
      <c r="AK1156" s="49"/>
      <c r="AL1156" s="49"/>
      <c r="AM1156" s="49"/>
      <c r="AN1156" s="49"/>
      <c r="AO1156" s="49"/>
      <c r="AP1156" s="49"/>
      <c r="AQ1156" s="49"/>
      <c r="AR1156" s="49"/>
      <c r="AS1156" s="49"/>
      <c r="AT1156" s="49"/>
      <c r="AU1156" s="49"/>
      <c r="AV1156" s="49"/>
      <c r="AW1156" s="49"/>
      <c r="AX1156" s="49"/>
      <c r="AY1156" s="49"/>
      <c r="AZ1156" s="49"/>
      <c r="BA1156" s="49"/>
      <c r="BB1156" s="49"/>
      <c r="BC1156" s="49"/>
      <c r="BD1156" s="49"/>
      <c r="BE1156" s="49"/>
      <c r="BF1156" s="68"/>
    </row>
    <row r="1157" spans="1:58" s="51" customFormat="1" ht="29.25" customHeight="1">
      <c r="A1157" s="795"/>
      <c r="B1157" s="889"/>
      <c r="C1157" s="882"/>
      <c r="D1157" s="84">
        <v>2028</v>
      </c>
      <c r="E1157" s="63">
        <f t="shared" si="394"/>
        <v>0.5</v>
      </c>
      <c r="F1157" s="63">
        <f t="shared" si="394"/>
        <v>0.5</v>
      </c>
      <c r="G1157" s="63">
        <f t="shared" si="395"/>
        <v>0</v>
      </c>
      <c r="H1157" s="63">
        <f t="shared" si="395"/>
        <v>0</v>
      </c>
      <c r="I1157" s="63">
        <f t="shared" si="395"/>
        <v>0</v>
      </c>
      <c r="J1157" s="63">
        <f t="shared" si="395"/>
        <v>0</v>
      </c>
      <c r="K1157" s="76">
        <v>0</v>
      </c>
      <c r="L1157" s="497">
        <f t="shared" si="393"/>
        <v>0.5</v>
      </c>
      <c r="M1157" s="581"/>
      <c r="N1157" s="88"/>
      <c r="O1157" s="301"/>
      <c r="P1157" s="1016"/>
      <c r="Q1157" s="49"/>
      <c r="R1157" s="49"/>
      <c r="S1157" s="49"/>
      <c r="T1157" s="49"/>
      <c r="U1157" s="49"/>
      <c r="V1157" s="49"/>
      <c r="W1157" s="49"/>
      <c r="X1157" s="49"/>
      <c r="Y1157" s="49"/>
      <c r="Z1157" s="49"/>
      <c r="AA1157" s="49"/>
      <c r="AB1157" s="49"/>
      <c r="AC1157" s="49"/>
      <c r="AD1157" s="49"/>
      <c r="AE1157" s="49"/>
      <c r="AF1157" s="49"/>
      <c r="AG1157" s="49"/>
      <c r="AH1157" s="49"/>
      <c r="AI1157" s="49"/>
      <c r="AJ1157" s="49"/>
      <c r="AK1157" s="49"/>
      <c r="AL1157" s="49"/>
      <c r="AM1157" s="49"/>
      <c r="AN1157" s="49"/>
      <c r="AO1157" s="49"/>
      <c r="AP1157" s="49"/>
      <c r="AQ1157" s="49"/>
      <c r="AR1157" s="49"/>
      <c r="AS1157" s="49"/>
      <c r="AT1157" s="49"/>
      <c r="AU1157" s="49"/>
      <c r="AV1157" s="49"/>
      <c r="AW1157" s="49"/>
      <c r="AX1157" s="49"/>
      <c r="AY1157" s="49"/>
      <c r="AZ1157" s="49"/>
      <c r="BA1157" s="49"/>
      <c r="BB1157" s="49"/>
      <c r="BC1157" s="49"/>
      <c r="BD1157" s="49"/>
      <c r="BE1157" s="49"/>
      <c r="BF1157" s="68"/>
    </row>
    <row r="1158" spans="1:58" s="51" customFormat="1" ht="23.25" customHeight="1">
      <c r="A1158" s="59" t="s">
        <v>1042</v>
      </c>
      <c r="B1158" s="182" t="s">
        <v>995</v>
      </c>
      <c r="C1158" s="882"/>
      <c r="D1158" s="62">
        <v>2026</v>
      </c>
      <c r="E1158" s="63">
        <f>F1158+G1158+H1158+I1158+J1158</f>
        <v>0.5</v>
      </c>
      <c r="F1158" s="63">
        <v>0.5</v>
      </c>
      <c r="G1158" s="63">
        <v>0</v>
      </c>
      <c r="H1158" s="63">
        <v>0</v>
      </c>
      <c r="I1158" s="63">
        <v>0</v>
      </c>
      <c r="J1158" s="63">
        <v>0</v>
      </c>
      <c r="K1158" s="76">
        <v>0</v>
      </c>
      <c r="L1158" s="497">
        <f t="shared" si="393"/>
        <v>0.5</v>
      </c>
      <c r="M1158" s="581"/>
      <c r="N1158" s="88"/>
      <c r="O1158" s="301"/>
      <c r="P1158" s="1125"/>
      <c r="Q1158" s="49"/>
      <c r="R1158" s="49"/>
      <c r="S1158" s="49"/>
      <c r="T1158" s="49"/>
      <c r="U1158" s="49"/>
      <c r="V1158" s="49"/>
      <c r="W1158" s="49"/>
      <c r="X1158" s="49"/>
      <c r="Y1158" s="49"/>
      <c r="Z1158" s="49"/>
      <c r="AA1158" s="49"/>
      <c r="AB1158" s="49"/>
      <c r="AC1158" s="49"/>
      <c r="AD1158" s="49"/>
      <c r="AE1158" s="49"/>
      <c r="AF1158" s="49"/>
      <c r="AG1158" s="49"/>
      <c r="AH1158" s="49"/>
      <c r="AI1158" s="49"/>
      <c r="AJ1158" s="49"/>
      <c r="AK1158" s="49"/>
      <c r="AL1158" s="49"/>
      <c r="AM1158" s="49"/>
      <c r="AN1158" s="49"/>
      <c r="AO1158" s="49"/>
      <c r="AP1158" s="49"/>
      <c r="AQ1158" s="49"/>
      <c r="AR1158" s="49"/>
      <c r="AS1158" s="49"/>
      <c r="AT1158" s="49"/>
      <c r="AU1158" s="49"/>
      <c r="AV1158" s="49"/>
      <c r="AW1158" s="49"/>
      <c r="AX1158" s="49"/>
      <c r="AY1158" s="49"/>
      <c r="AZ1158" s="49"/>
      <c r="BA1158" s="49"/>
      <c r="BB1158" s="49"/>
      <c r="BC1158" s="49"/>
      <c r="BD1158" s="49"/>
      <c r="BE1158" s="49"/>
      <c r="BF1158" s="68"/>
    </row>
    <row r="1159" spans="1:58" s="51" customFormat="1" ht="23.25" customHeight="1">
      <c r="A1159" s="59" t="s">
        <v>1044</v>
      </c>
      <c r="B1159" s="182" t="s">
        <v>997</v>
      </c>
      <c r="C1159" s="882"/>
      <c r="D1159" s="62">
        <v>2027</v>
      </c>
      <c r="E1159" s="63">
        <f>F1159+G1159+H1159+I1159+J1159</f>
        <v>0.5</v>
      </c>
      <c r="F1159" s="63">
        <v>0.5</v>
      </c>
      <c r="G1159" s="63">
        <v>0</v>
      </c>
      <c r="H1159" s="63">
        <v>0</v>
      </c>
      <c r="I1159" s="63">
        <v>0</v>
      </c>
      <c r="J1159" s="63">
        <v>0</v>
      </c>
      <c r="K1159" s="76">
        <v>0</v>
      </c>
      <c r="L1159" s="497">
        <f t="shared" si="393"/>
        <v>0.5</v>
      </c>
      <c r="M1159" s="581"/>
      <c r="N1159" s="88"/>
      <c r="O1159" s="301"/>
      <c r="P1159" s="1125"/>
      <c r="Q1159" s="49"/>
      <c r="R1159" s="49"/>
      <c r="S1159" s="49"/>
      <c r="T1159" s="49"/>
      <c r="U1159" s="49"/>
      <c r="V1159" s="49"/>
      <c r="W1159" s="49"/>
      <c r="X1159" s="49"/>
      <c r="Y1159" s="49"/>
      <c r="Z1159" s="49"/>
      <c r="AA1159" s="49"/>
      <c r="AB1159" s="49"/>
      <c r="AC1159" s="49"/>
      <c r="AD1159" s="49"/>
      <c r="AE1159" s="49"/>
      <c r="AF1159" s="49"/>
      <c r="AG1159" s="49"/>
      <c r="AH1159" s="49"/>
      <c r="AI1159" s="49"/>
      <c r="AJ1159" s="49"/>
      <c r="AK1159" s="49"/>
      <c r="AL1159" s="49"/>
      <c r="AM1159" s="49"/>
      <c r="AN1159" s="49"/>
      <c r="AO1159" s="49"/>
      <c r="AP1159" s="49"/>
      <c r="AQ1159" s="49"/>
      <c r="AR1159" s="49"/>
      <c r="AS1159" s="49"/>
      <c r="AT1159" s="49"/>
      <c r="AU1159" s="49"/>
      <c r="AV1159" s="49"/>
      <c r="AW1159" s="49"/>
      <c r="AX1159" s="49"/>
      <c r="AY1159" s="49"/>
      <c r="AZ1159" s="49"/>
      <c r="BA1159" s="49"/>
      <c r="BB1159" s="49"/>
      <c r="BC1159" s="49"/>
      <c r="BD1159" s="49"/>
      <c r="BE1159" s="49"/>
      <c r="BF1159" s="68"/>
    </row>
    <row r="1160" spans="1:58" s="51" customFormat="1" ht="23.25" customHeight="1">
      <c r="A1160" s="59" t="s">
        <v>1046</v>
      </c>
      <c r="B1160" s="182" t="s">
        <v>999</v>
      </c>
      <c r="C1160" s="964"/>
      <c r="D1160" s="62">
        <v>2028</v>
      </c>
      <c r="E1160" s="63">
        <f>F1160+G1160+H1160+I1160+J1160</f>
        <v>0.5</v>
      </c>
      <c r="F1160" s="63">
        <v>0.5</v>
      </c>
      <c r="G1160" s="63">
        <v>0</v>
      </c>
      <c r="H1160" s="63">
        <v>0</v>
      </c>
      <c r="I1160" s="63">
        <v>0</v>
      </c>
      <c r="J1160" s="63">
        <v>0</v>
      </c>
      <c r="K1160" s="76">
        <v>0</v>
      </c>
      <c r="L1160" s="497">
        <f t="shared" si="393"/>
        <v>0.5</v>
      </c>
      <c r="M1160" s="581"/>
      <c r="N1160" s="88"/>
      <c r="O1160" s="301"/>
      <c r="P1160" s="1125"/>
      <c r="Q1160" s="49"/>
      <c r="R1160" s="49"/>
      <c r="S1160" s="49"/>
      <c r="T1160" s="49"/>
      <c r="U1160" s="49"/>
      <c r="V1160" s="49"/>
      <c r="W1160" s="49"/>
      <c r="X1160" s="49"/>
      <c r="Y1160" s="49"/>
      <c r="Z1160" s="49"/>
      <c r="AA1160" s="49"/>
      <c r="AB1160" s="49"/>
      <c r="AC1160" s="49"/>
      <c r="AD1160" s="49"/>
      <c r="AE1160" s="49"/>
      <c r="AF1160" s="49"/>
      <c r="AG1160" s="49"/>
      <c r="AH1160" s="49"/>
      <c r="AI1160" s="49"/>
      <c r="AJ1160" s="49"/>
      <c r="AK1160" s="49"/>
      <c r="AL1160" s="49"/>
      <c r="AM1160" s="49"/>
      <c r="AN1160" s="49"/>
      <c r="AO1160" s="49"/>
      <c r="AP1160" s="49"/>
      <c r="AQ1160" s="49"/>
      <c r="AR1160" s="49"/>
      <c r="AS1160" s="49"/>
      <c r="AT1160" s="49"/>
      <c r="AU1160" s="49"/>
      <c r="AV1160" s="49"/>
      <c r="AW1160" s="49"/>
      <c r="AX1160" s="49"/>
      <c r="AY1160" s="49"/>
      <c r="AZ1160" s="49"/>
      <c r="BA1160" s="49"/>
      <c r="BB1160" s="49"/>
      <c r="BC1160" s="49"/>
      <c r="BD1160" s="49"/>
      <c r="BE1160" s="49"/>
      <c r="BF1160" s="68"/>
    </row>
    <row r="1161" spans="1:58" s="51" customFormat="1" ht="21" customHeight="1">
      <c r="A1161" s="972" t="s">
        <v>1345</v>
      </c>
      <c r="B1161" s="838" t="s">
        <v>1001</v>
      </c>
      <c r="C1161" s="881" t="s">
        <v>993</v>
      </c>
      <c r="D1161" s="84" t="s">
        <v>429</v>
      </c>
      <c r="E1161" s="85">
        <f t="shared" ref="E1161:J1161" si="396">E1162+E1163+E1164+E1165+E1166+E1167+E1168+E1169+E1170+E1171+E1172+E1173</f>
        <v>1.5799116415180803</v>
      </c>
      <c r="F1161" s="85">
        <f t="shared" si="396"/>
        <v>1.5799116415180803</v>
      </c>
      <c r="G1161" s="85">
        <f t="shared" si="396"/>
        <v>0</v>
      </c>
      <c r="H1161" s="85">
        <f t="shared" si="396"/>
        <v>0</v>
      </c>
      <c r="I1161" s="85">
        <f t="shared" si="396"/>
        <v>0</v>
      </c>
      <c r="J1161" s="85">
        <f t="shared" si="396"/>
        <v>0</v>
      </c>
      <c r="K1161" s="76">
        <v>0</v>
      </c>
      <c r="L1161" s="497">
        <f t="shared" si="393"/>
        <v>1.5799116415180803</v>
      </c>
      <c r="M1161" s="581"/>
      <c r="N1161" s="88"/>
      <c r="O1161" s="301"/>
      <c r="P1161" s="1125"/>
      <c r="Q1161" s="49"/>
      <c r="R1161" s="49"/>
      <c r="S1161" s="49"/>
      <c r="T1161" s="49"/>
      <c r="U1161" s="49"/>
      <c r="V1161" s="49"/>
      <c r="W1161" s="49"/>
      <c r="X1161" s="49"/>
      <c r="Y1161" s="49"/>
      <c r="Z1161" s="49"/>
      <c r="AA1161" s="49"/>
      <c r="AB1161" s="49"/>
      <c r="AC1161" s="49"/>
      <c r="AD1161" s="49"/>
      <c r="AE1161" s="49"/>
      <c r="AF1161" s="49"/>
      <c r="AG1161" s="49"/>
      <c r="AH1161" s="49"/>
      <c r="AI1161" s="49"/>
      <c r="AJ1161" s="49"/>
      <c r="AK1161" s="49"/>
      <c r="AL1161" s="49"/>
      <c r="AM1161" s="49"/>
      <c r="AN1161" s="49"/>
      <c r="AO1161" s="49"/>
      <c r="AP1161" s="49"/>
      <c r="AQ1161" s="49"/>
      <c r="AR1161" s="49"/>
      <c r="AS1161" s="49"/>
      <c r="AT1161" s="49"/>
      <c r="AU1161" s="49"/>
      <c r="AV1161" s="49"/>
      <c r="AW1161" s="49"/>
      <c r="AX1161" s="49"/>
      <c r="AY1161" s="49"/>
      <c r="AZ1161" s="49"/>
      <c r="BA1161" s="49"/>
      <c r="BB1161" s="49"/>
      <c r="BC1161" s="49"/>
      <c r="BD1161" s="49"/>
      <c r="BE1161" s="49"/>
      <c r="BF1161" s="68"/>
    </row>
    <row r="1162" spans="1:58" s="51" customFormat="1">
      <c r="A1162" s="973"/>
      <c r="B1162" s="839"/>
      <c r="C1162" s="882"/>
      <c r="D1162" s="62">
        <v>2019</v>
      </c>
      <c r="E1162" s="63">
        <f t="shared" ref="E1162:E1173" si="397">F1162+G1162+H1162+I1162+J1162</f>
        <v>0.05</v>
      </c>
      <c r="F1162" s="63">
        <v>0.05</v>
      </c>
      <c r="G1162" s="63">
        <v>0</v>
      </c>
      <c r="H1162" s="63">
        <v>0</v>
      </c>
      <c r="I1162" s="63">
        <v>0</v>
      </c>
      <c r="J1162" s="63">
        <v>0</v>
      </c>
      <c r="K1162" s="76">
        <v>0</v>
      </c>
      <c r="L1162" s="497">
        <f t="shared" si="393"/>
        <v>0.05</v>
      </c>
      <c r="M1162" s="581"/>
      <c r="N1162" s="88"/>
      <c r="O1162" s="301"/>
      <c r="P1162" s="1125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49"/>
      <c r="AU1162" s="49"/>
      <c r="AV1162" s="49"/>
      <c r="AW1162" s="49"/>
      <c r="AX1162" s="49"/>
      <c r="AY1162" s="49"/>
      <c r="AZ1162" s="49"/>
      <c r="BA1162" s="49"/>
      <c r="BB1162" s="49"/>
      <c r="BC1162" s="49"/>
      <c r="BD1162" s="49"/>
      <c r="BE1162" s="49"/>
      <c r="BF1162" s="68"/>
    </row>
    <row r="1163" spans="1:58" s="51" customFormat="1">
      <c r="A1163" s="973"/>
      <c r="B1163" s="839"/>
      <c r="C1163" s="882"/>
      <c r="D1163" s="62">
        <v>2020</v>
      </c>
      <c r="E1163" s="63">
        <f t="shared" si="397"/>
        <v>0</v>
      </c>
      <c r="F1163" s="63">
        <v>0</v>
      </c>
      <c r="G1163" s="63">
        <v>0</v>
      </c>
      <c r="H1163" s="63">
        <v>0</v>
      </c>
      <c r="I1163" s="63">
        <v>0</v>
      </c>
      <c r="J1163" s="63">
        <v>0</v>
      </c>
      <c r="K1163" s="76">
        <v>0</v>
      </c>
      <c r="L1163" s="497">
        <f t="shared" si="393"/>
        <v>0</v>
      </c>
      <c r="M1163" s="581"/>
      <c r="N1163" s="88"/>
      <c r="O1163" s="301"/>
      <c r="P1163" s="1125"/>
      <c r="Q1163" s="49"/>
      <c r="R1163" s="49"/>
      <c r="S1163" s="49"/>
      <c r="T1163" s="49"/>
      <c r="U1163" s="49"/>
      <c r="V1163" s="49"/>
      <c r="W1163" s="49"/>
      <c r="X1163" s="49"/>
      <c r="Y1163" s="49"/>
      <c r="Z1163" s="49"/>
      <c r="AA1163" s="49"/>
      <c r="AB1163" s="49"/>
      <c r="AC1163" s="49"/>
      <c r="AD1163" s="49"/>
      <c r="AE1163" s="49"/>
      <c r="AF1163" s="49"/>
      <c r="AG1163" s="49"/>
      <c r="AH1163" s="49"/>
      <c r="AI1163" s="49"/>
      <c r="AJ1163" s="49"/>
      <c r="AK1163" s="49"/>
      <c r="AL1163" s="49"/>
      <c r="AM1163" s="49"/>
      <c r="AN1163" s="49"/>
      <c r="AO1163" s="49"/>
      <c r="AP1163" s="49"/>
      <c r="AQ1163" s="49"/>
      <c r="AR1163" s="49"/>
      <c r="AS1163" s="49"/>
      <c r="AT1163" s="49"/>
      <c r="AU1163" s="49"/>
      <c r="AV1163" s="49"/>
      <c r="AW1163" s="49"/>
      <c r="AX1163" s="49"/>
      <c r="AY1163" s="49"/>
      <c r="AZ1163" s="49"/>
      <c r="BA1163" s="49"/>
      <c r="BB1163" s="49"/>
      <c r="BC1163" s="49"/>
      <c r="BD1163" s="49"/>
      <c r="BE1163" s="49"/>
      <c r="BF1163" s="68"/>
    </row>
    <row r="1164" spans="1:58" s="51" customFormat="1">
      <c r="A1164" s="973"/>
      <c r="B1164" s="839"/>
      <c r="C1164" s="882"/>
      <c r="D1164" s="62">
        <v>2021</v>
      </c>
      <c r="E1164" s="63">
        <f t="shared" si="397"/>
        <v>0.05</v>
      </c>
      <c r="F1164" s="63">
        <v>0.05</v>
      </c>
      <c r="G1164" s="63">
        <v>0</v>
      </c>
      <c r="H1164" s="63">
        <v>0</v>
      </c>
      <c r="I1164" s="63">
        <v>0</v>
      </c>
      <c r="J1164" s="63">
        <v>0</v>
      </c>
      <c r="K1164" s="76">
        <v>0</v>
      </c>
      <c r="L1164" s="497">
        <f t="shared" si="393"/>
        <v>0.05</v>
      </c>
      <c r="M1164" s="581"/>
      <c r="N1164" s="88"/>
      <c r="O1164" s="301"/>
      <c r="P1164" s="1125"/>
      <c r="Q1164" s="49"/>
      <c r="R1164" s="49"/>
      <c r="S1164" s="49"/>
      <c r="T1164" s="49"/>
      <c r="U1164" s="49"/>
      <c r="V1164" s="49"/>
      <c r="W1164" s="49"/>
      <c r="X1164" s="49"/>
      <c r="Y1164" s="49"/>
      <c r="Z1164" s="49"/>
      <c r="AA1164" s="49"/>
      <c r="AB1164" s="49"/>
      <c r="AC1164" s="49"/>
      <c r="AD1164" s="49"/>
      <c r="AE1164" s="49"/>
      <c r="AF1164" s="49"/>
      <c r="AG1164" s="49"/>
      <c r="AH1164" s="49"/>
      <c r="AI1164" s="49"/>
      <c r="AJ1164" s="49"/>
      <c r="AK1164" s="49"/>
      <c r="AL1164" s="49"/>
      <c r="AM1164" s="49"/>
      <c r="AN1164" s="49"/>
      <c r="AO1164" s="49"/>
      <c r="AP1164" s="49"/>
      <c r="AQ1164" s="49"/>
      <c r="AR1164" s="49"/>
      <c r="AS1164" s="49"/>
      <c r="AT1164" s="49"/>
      <c r="AU1164" s="49"/>
      <c r="AV1164" s="49"/>
      <c r="AW1164" s="49"/>
      <c r="AX1164" s="49"/>
      <c r="AY1164" s="49"/>
      <c r="AZ1164" s="49"/>
      <c r="BA1164" s="49"/>
      <c r="BB1164" s="49"/>
      <c r="BC1164" s="49"/>
      <c r="BD1164" s="49"/>
      <c r="BE1164" s="49"/>
      <c r="BF1164" s="68"/>
    </row>
    <row r="1165" spans="1:58" s="51" customFormat="1">
      <c r="A1165" s="973"/>
      <c r="B1165" s="839"/>
      <c r="C1165" s="882"/>
      <c r="D1165" s="62">
        <v>2022</v>
      </c>
      <c r="E1165" s="63">
        <f t="shared" si="397"/>
        <v>0.05</v>
      </c>
      <c r="F1165" s="63">
        <v>0.05</v>
      </c>
      <c r="G1165" s="63">
        <v>0</v>
      </c>
      <c r="H1165" s="63">
        <v>0</v>
      </c>
      <c r="I1165" s="63">
        <v>0</v>
      </c>
      <c r="J1165" s="63">
        <v>0</v>
      </c>
      <c r="K1165" s="76">
        <v>0</v>
      </c>
      <c r="L1165" s="497">
        <f t="shared" si="393"/>
        <v>0.05</v>
      </c>
      <c r="M1165" s="581"/>
      <c r="N1165" s="88"/>
      <c r="O1165" s="301"/>
      <c r="P1165" s="1125"/>
      <c r="Q1165" s="49"/>
      <c r="R1165" s="49"/>
      <c r="S1165" s="49"/>
      <c r="T1165" s="49"/>
      <c r="U1165" s="49"/>
      <c r="V1165" s="49"/>
      <c r="W1165" s="49"/>
      <c r="X1165" s="49"/>
      <c r="Y1165" s="49"/>
      <c r="Z1165" s="49"/>
      <c r="AA1165" s="49"/>
      <c r="AB1165" s="49"/>
      <c r="AC1165" s="49"/>
      <c r="AD1165" s="49"/>
      <c r="AE1165" s="49"/>
      <c r="AF1165" s="49"/>
      <c r="AG1165" s="49"/>
      <c r="AH1165" s="49"/>
      <c r="AI1165" s="49"/>
      <c r="AJ1165" s="49"/>
      <c r="AK1165" s="49"/>
      <c r="AL1165" s="49"/>
      <c r="AM1165" s="49"/>
      <c r="AN1165" s="49"/>
      <c r="AO1165" s="49"/>
      <c r="AP1165" s="49"/>
      <c r="AQ1165" s="49"/>
      <c r="AR1165" s="49"/>
      <c r="AS1165" s="49"/>
      <c r="AT1165" s="49"/>
      <c r="AU1165" s="49"/>
      <c r="AV1165" s="49"/>
      <c r="AW1165" s="49"/>
      <c r="AX1165" s="49"/>
      <c r="AY1165" s="49"/>
      <c r="AZ1165" s="49"/>
      <c r="BA1165" s="49"/>
      <c r="BB1165" s="49"/>
      <c r="BC1165" s="49"/>
      <c r="BD1165" s="49"/>
      <c r="BE1165" s="49"/>
      <c r="BF1165" s="68"/>
    </row>
    <row r="1166" spans="1:58" s="51" customFormat="1">
      <c r="A1166" s="973"/>
      <c r="B1166" s="839"/>
      <c r="C1166" s="882"/>
      <c r="D1166" s="62">
        <v>2023</v>
      </c>
      <c r="E1166" s="63">
        <f t="shared" si="397"/>
        <v>0.05</v>
      </c>
      <c r="F1166" s="63">
        <v>0.05</v>
      </c>
      <c r="G1166" s="63">
        <v>0</v>
      </c>
      <c r="H1166" s="63">
        <v>0</v>
      </c>
      <c r="I1166" s="63">
        <v>0</v>
      </c>
      <c r="J1166" s="63">
        <v>0</v>
      </c>
      <c r="K1166" s="76">
        <v>0</v>
      </c>
      <c r="L1166" s="497">
        <f t="shared" si="393"/>
        <v>0.05</v>
      </c>
      <c r="M1166" s="581"/>
      <c r="N1166" s="88"/>
      <c r="O1166" s="301"/>
      <c r="P1166" s="1125"/>
      <c r="Q1166" s="49"/>
      <c r="R1166" s="49"/>
      <c r="S1166" s="49"/>
      <c r="T1166" s="49"/>
      <c r="U1166" s="49"/>
      <c r="V1166" s="49"/>
      <c r="W1166" s="49"/>
      <c r="X1166" s="49"/>
      <c r="Y1166" s="49"/>
      <c r="Z1166" s="49"/>
      <c r="AA1166" s="49"/>
      <c r="AB1166" s="49"/>
      <c r="AC1166" s="49"/>
      <c r="AD1166" s="49"/>
      <c r="AE1166" s="49"/>
      <c r="AF1166" s="49"/>
      <c r="AG1166" s="49"/>
      <c r="AH1166" s="49"/>
      <c r="AI1166" s="49"/>
      <c r="AJ1166" s="49"/>
      <c r="AK1166" s="49"/>
      <c r="AL1166" s="49"/>
      <c r="AM1166" s="49"/>
      <c r="AN1166" s="49"/>
      <c r="AO1166" s="49"/>
      <c r="AP1166" s="49"/>
      <c r="AQ1166" s="49"/>
      <c r="AR1166" s="49"/>
      <c r="AS1166" s="49"/>
      <c r="AT1166" s="49"/>
      <c r="AU1166" s="49"/>
      <c r="AV1166" s="49"/>
      <c r="AW1166" s="49"/>
      <c r="AX1166" s="49"/>
      <c r="AY1166" s="49"/>
      <c r="AZ1166" s="49"/>
      <c r="BA1166" s="49"/>
      <c r="BB1166" s="49"/>
      <c r="BC1166" s="49"/>
      <c r="BD1166" s="49"/>
      <c r="BE1166" s="49"/>
      <c r="BF1166" s="68"/>
    </row>
    <row r="1167" spans="1:58" s="51" customFormat="1">
      <c r="A1167" s="973"/>
      <c r="B1167" s="839"/>
      <c r="C1167" s="882"/>
      <c r="D1167" s="62">
        <v>2024</v>
      </c>
      <c r="E1167" s="63">
        <f t="shared" si="397"/>
        <v>0.17469999999999999</v>
      </c>
      <c r="F1167" s="63">
        <v>0.17469999999999999</v>
      </c>
      <c r="G1167" s="63">
        <v>0</v>
      </c>
      <c r="H1167" s="63">
        <v>0</v>
      </c>
      <c r="I1167" s="63">
        <v>0</v>
      </c>
      <c r="J1167" s="63">
        <v>0</v>
      </c>
      <c r="K1167" s="76">
        <v>0</v>
      </c>
      <c r="L1167" s="497">
        <f t="shared" si="393"/>
        <v>0.17469999999999999</v>
      </c>
      <c r="M1167" s="581"/>
      <c r="N1167" s="88"/>
      <c r="O1167" s="301"/>
      <c r="P1167" s="1125"/>
      <c r="Q1167" s="49"/>
      <c r="R1167" s="49"/>
      <c r="S1167" s="49"/>
      <c r="T1167" s="49"/>
      <c r="U1167" s="49"/>
      <c r="V1167" s="49"/>
      <c r="W1167" s="49"/>
      <c r="X1167" s="49"/>
      <c r="Y1167" s="49"/>
      <c r="Z1167" s="49"/>
      <c r="AA1167" s="49"/>
      <c r="AB1167" s="49"/>
      <c r="AC1167" s="49"/>
      <c r="AD1167" s="49"/>
      <c r="AE1167" s="49"/>
      <c r="AF1167" s="49"/>
      <c r="AG1167" s="49"/>
      <c r="AH1167" s="49"/>
      <c r="AI1167" s="49"/>
      <c r="AJ1167" s="49"/>
      <c r="AK1167" s="49"/>
      <c r="AL1167" s="49"/>
      <c r="AM1167" s="49"/>
      <c r="AN1167" s="49"/>
      <c r="AO1167" s="49"/>
      <c r="AP1167" s="49"/>
      <c r="AQ1167" s="49"/>
      <c r="AR1167" s="49"/>
      <c r="AS1167" s="49"/>
      <c r="AT1167" s="49"/>
      <c r="AU1167" s="49"/>
      <c r="AV1167" s="49"/>
      <c r="AW1167" s="49"/>
      <c r="AX1167" s="49"/>
      <c r="AY1167" s="49"/>
      <c r="AZ1167" s="49"/>
      <c r="BA1167" s="49"/>
      <c r="BB1167" s="49"/>
      <c r="BC1167" s="49"/>
      <c r="BD1167" s="49"/>
      <c r="BE1167" s="49"/>
      <c r="BF1167" s="68"/>
    </row>
    <row r="1168" spans="1:58" s="51" customFormat="1">
      <c r="A1168" s="973"/>
      <c r="B1168" s="839"/>
      <c r="C1168" s="964"/>
      <c r="D1168" s="62">
        <v>2025</v>
      </c>
      <c r="E1168" s="63">
        <f t="shared" si="397"/>
        <v>0.1817</v>
      </c>
      <c r="F1168" s="63">
        <v>0.1817</v>
      </c>
      <c r="G1168" s="63">
        <v>0</v>
      </c>
      <c r="H1168" s="63">
        <v>0</v>
      </c>
      <c r="I1168" s="63">
        <v>0</v>
      </c>
      <c r="J1168" s="63">
        <v>0</v>
      </c>
      <c r="K1168" s="76">
        <v>0</v>
      </c>
      <c r="L1168" s="497">
        <f t="shared" si="393"/>
        <v>0.1817</v>
      </c>
      <c r="M1168" s="581"/>
      <c r="N1168" s="88"/>
      <c r="O1168" s="301"/>
      <c r="P1168" s="1125"/>
      <c r="Q1168" s="49"/>
      <c r="R1168" s="49"/>
      <c r="S1168" s="49"/>
      <c r="T1168" s="49"/>
      <c r="U1168" s="49"/>
      <c r="V1168" s="49"/>
      <c r="W1168" s="49"/>
      <c r="X1168" s="49"/>
      <c r="Y1168" s="49"/>
      <c r="Z1168" s="49"/>
      <c r="AA1168" s="49"/>
      <c r="AB1168" s="49"/>
      <c r="AC1168" s="49"/>
      <c r="AD1168" s="49"/>
      <c r="AE1168" s="49"/>
      <c r="AF1168" s="49"/>
      <c r="AG1168" s="49"/>
      <c r="AH1168" s="49"/>
      <c r="AI1168" s="49"/>
      <c r="AJ1168" s="49"/>
      <c r="AK1168" s="49"/>
      <c r="AL1168" s="49"/>
      <c r="AM1168" s="49"/>
      <c r="AN1168" s="49"/>
      <c r="AO1168" s="49"/>
      <c r="AP1168" s="49"/>
      <c r="AQ1168" s="49"/>
      <c r="AR1168" s="49"/>
      <c r="AS1168" s="49"/>
      <c r="AT1168" s="49"/>
      <c r="AU1168" s="49"/>
      <c r="AV1168" s="49"/>
      <c r="AW1168" s="49"/>
      <c r="AX1168" s="49"/>
      <c r="AY1168" s="49"/>
      <c r="AZ1168" s="49"/>
      <c r="BA1168" s="49"/>
      <c r="BB1168" s="49"/>
      <c r="BC1168" s="49"/>
      <c r="BD1168" s="49"/>
      <c r="BE1168" s="49"/>
      <c r="BF1168" s="68"/>
    </row>
    <row r="1169" spans="1:58" s="51" customFormat="1" ht="12.75" customHeight="1">
      <c r="A1169" s="302"/>
      <c r="B1169" s="168"/>
      <c r="C1169" s="881" t="s">
        <v>1002</v>
      </c>
      <c r="D1169" s="62">
        <v>2026</v>
      </c>
      <c r="E1169" s="63">
        <f t="shared" si="397"/>
        <v>0.188968</v>
      </c>
      <c r="F1169" s="63">
        <f t="shared" ref="F1169:J1173" si="398">F1168*1.04</f>
        <v>0.188968</v>
      </c>
      <c r="G1169" s="63">
        <f t="shared" si="398"/>
        <v>0</v>
      </c>
      <c r="H1169" s="63">
        <f t="shared" si="398"/>
        <v>0</v>
      </c>
      <c r="I1169" s="63">
        <f t="shared" si="398"/>
        <v>0</v>
      </c>
      <c r="J1169" s="63">
        <f t="shared" si="398"/>
        <v>0</v>
      </c>
      <c r="K1169" s="76">
        <v>0</v>
      </c>
      <c r="L1169" s="497">
        <f t="shared" si="393"/>
        <v>0.188968</v>
      </c>
      <c r="M1169" s="581"/>
      <c r="N1169" s="88"/>
      <c r="O1169" s="301"/>
      <c r="P1169" s="1125"/>
      <c r="Q1169" s="49"/>
      <c r="R1169" s="49"/>
      <c r="S1169" s="49"/>
      <c r="T1169" s="49"/>
      <c r="U1169" s="49"/>
      <c r="V1169" s="49"/>
      <c r="W1169" s="49"/>
      <c r="X1169" s="49"/>
      <c r="Y1169" s="49"/>
      <c r="Z1169" s="49"/>
      <c r="AA1169" s="49"/>
      <c r="AB1169" s="49"/>
      <c r="AC1169" s="49"/>
      <c r="AD1169" s="49"/>
      <c r="AE1169" s="49"/>
      <c r="AF1169" s="49"/>
      <c r="AG1169" s="49"/>
      <c r="AH1169" s="49"/>
      <c r="AI1169" s="49"/>
      <c r="AJ1169" s="49"/>
      <c r="AK1169" s="49"/>
      <c r="AL1169" s="49"/>
      <c r="AM1169" s="49"/>
      <c r="AN1169" s="49"/>
      <c r="AO1169" s="49"/>
      <c r="AP1169" s="49"/>
      <c r="AQ1169" s="49"/>
      <c r="AR1169" s="49"/>
      <c r="AS1169" s="49"/>
      <c r="AT1169" s="49"/>
      <c r="AU1169" s="49"/>
      <c r="AV1169" s="49"/>
      <c r="AW1169" s="49"/>
      <c r="AX1169" s="49"/>
      <c r="AY1169" s="49"/>
      <c r="AZ1169" s="49"/>
      <c r="BA1169" s="49"/>
      <c r="BB1169" s="49"/>
      <c r="BC1169" s="49"/>
      <c r="BD1169" s="49"/>
      <c r="BE1169" s="49"/>
      <c r="BF1169" s="68"/>
    </row>
    <row r="1170" spans="1:58" s="51" customFormat="1">
      <c r="A1170" s="302"/>
      <c r="B1170" s="168"/>
      <c r="C1170" s="882"/>
      <c r="D1170" s="62">
        <v>2027</v>
      </c>
      <c r="E1170" s="63">
        <f t="shared" si="397"/>
        <v>0.19652672000000002</v>
      </c>
      <c r="F1170" s="63">
        <f t="shared" si="398"/>
        <v>0.19652672000000002</v>
      </c>
      <c r="G1170" s="63">
        <f t="shared" si="398"/>
        <v>0</v>
      </c>
      <c r="H1170" s="63">
        <f t="shared" si="398"/>
        <v>0</v>
      </c>
      <c r="I1170" s="63">
        <f t="shared" si="398"/>
        <v>0</v>
      </c>
      <c r="J1170" s="63">
        <f t="shared" si="398"/>
        <v>0</v>
      </c>
      <c r="K1170" s="76">
        <v>0</v>
      </c>
      <c r="L1170" s="497">
        <f t="shared" si="393"/>
        <v>0.19652672000000002</v>
      </c>
      <c r="M1170" s="581"/>
      <c r="N1170" s="88"/>
      <c r="O1170" s="301"/>
      <c r="P1170" s="1125"/>
      <c r="Q1170" s="49"/>
      <c r="R1170" s="49"/>
      <c r="S1170" s="49"/>
      <c r="T1170" s="49"/>
      <c r="U1170" s="49"/>
      <c r="V1170" s="49"/>
      <c r="W1170" s="49"/>
      <c r="X1170" s="49"/>
      <c r="Y1170" s="49"/>
      <c r="Z1170" s="49"/>
      <c r="AA1170" s="49"/>
      <c r="AB1170" s="49"/>
      <c r="AC1170" s="49"/>
      <c r="AD1170" s="49"/>
      <c r="AE1170" s="49"/>
      <c r="AF1170" s="49"/>
      <c r="AG1170" s="49"/>
      <c r="AH1170" s="49"/>
      <c r="AI1170" s="49"/>
      <c r="AJ1170" s="49"/>
      <c r="AK1170" s="49"/>
      <c r="AL1170" s="49"/>
      <c r="AM1170" s="49"/>
      <c r="AN1170" s="49"/>
      <c r="AO1170" s="49"/>
      <c r="AP1170" s="49"/>
      <c r="AQ1170" s="49"/>
      <c r="AR1170" s="49"/>
      <c r="AS1170" s="49"/>
      <c r="AT1170" s="49"/>
      <c r="AU1170" s="49"/>
      <c r="AV1170" s="49"/>
      <c r="AW1170" s="49"/>
      <c r="AX1170" s="49"/>
      <c r="AY1170" s="49"/>
      <c r="AZ1170" s="49"/>
      <c r="BA1170" s="49"/>
      <c r="BB1170" s="49"/>
      <c r="BC1170" s="49"/>
      <c r="BD1170" s="49"/>
      <c r="BE1170" s="49"/>
      <c r="BF1170" s="68"/>
    </row>
    <row r="1171" spans="1:58" s="51" customFormat="1">
      <c r="A1171" s="302"/>
      <c r="B1171" s="168"/>
      <c r="C1171" s="882"/>
      <c r="D1171" s="62">
        <v>2028</v>
      </c>
      <c r="E1171" s="63">
        <f t="shared" si="397"/>
        <v>0.20438778880000003</v>
      </c>
      <c r="F1171" s="63">
        <f t="shared" si="398"/>
        <v>0.20438778880000003</v>
      </c>
      <c r="G1171" s="63">
        <f t="shared" si="398"/>
        <v>0</v>
      </c>
      <c r="H1171" s="63">
        <f t="shared" si="398"/>
        <v>0</v>
      </c>
      <c r="I1171" s="63">
        <f t="shared" si="398"/>
        <v>0</v>
      </c>
      <c r="J1171" s="63">
        <f t="shared" si="398"/>
        <v>0</v>
      </c>
      <c r="K1171" s="76">
        <v>0</v>
      </c>
      <c r="L1171" s="497">
        <f t="shared" si="393"/>
        <v>0.20438778880000003</v>
      </c>
      <c r="M1171" s="581"/>
      <c r="N1171" s="88"/>
      <c r="O1171" s="301"/>
      <c r="P1171" s="1125"/>
      <c r="Q1171" s="49"/>
      <c r="R1171" s="49"/>
      <c r="S1171" s="49"/>
      <c r="T1171" s="49"/>
      <c r="U1171" s="49"/>
      <c r="V1171" s="49"/>
      <c r="W1171" s="49"/>
      <c r="X1171" s="49"/>
      <c r="Y1171" s="49"/>
      <c r="Z1171" s="49"/>
      <c r="AA1171" s="49"/>
      <c r="AB1171" s="49"/>
      <c r="AC1171" s="49"/>
      <c r="AD1171" s="49"/>
      <c r="AE1171" s="49"/>
      <c r="AF1171" s="49"/>
      <c r="AG1171" s="49"/>
      <c r="AH1171" s="49"/>
      <c r="AI1171" s="49"/>
      <c r="AJ1171" s="49"/>
      <c r="AK1171" s="49"/>
      <c r="AL1171" s="49"/>
      <c r="AM1171" s="49"/>
      <c r="AN1171" s="49"/>
      <c r="AO1171" s="49"/>
      <c r="AP1171" s="49"/>
      <c r="AQ1171" s="49"/>
      <c r="AR1171" s="49"/>
      <c r="AS1171" s="49"/>
      <c r="AT1171" s="49"/>
      <c r="AU1171" s="49"/>
      <c r="AV1171" s="49"/>
      <c r="AW1171" s="49"/>
      <c r="AX1171" s="49"/>
      <c r="AY1171" s="49"/>
      <c r="AZ1171" s="49"/>
      <c r="BA1171" s="49"/>
      <c r="BB1171" s="49"/>
      <c r="BC1171" s="49"/>
      <c r="BD1171" s="49"/>
      <c r="BE1171" s="49"/>
      <c r="BF1171" s="68"/>
    </row>
    <row r="1172" spans="1:58" s="51" customFormat="1">
      <c r="A1172" s="302"/>
      <c r="B1172" s="168"/>
      <c r="C1172" s="882"/>
      <c r="D1172" s="62">
        <v>2029</v>
      </c>
      <c r="E1172" s="63">
        <f t="shared" si="397"/>
        <v>0.21256330035200002</v>
      </c>
      <c r="F1172" s="63">
        <f t="shared" si="398"/>
        <v>0.21256330035200002</v>
      </c>
      <c r="G1172" s="63">
        <f t="shared" si="398"/>
        <v>0</v>
      </c>
      <c r="H1172" s="63">
        <f t="shared" si="398"/>
        <v>0</v>
      </c>
      <c r="I1172" s="63">
        <f t="shared" si="398"/>
        <v>0</v>
      </c>
      <c r="J1172" s="63">
        <f t="shared" si="398"/>
        <v>0</v>
      </c>
      <c r="K1172" s="76">
        <v>0</v>
      </c>
      <c r="L1172" s="497">
        <f t="shared" si="393"/>
        <v>0.21256330035200002</v>
      </c>
      <c r="M1172" s="581"/>
      <c r="N1172" s="88"/>
      <c r="O1172" s="301"/>
      <c r="P1172" s="1125"/>
      <c r="Q1172" s="49"/>
      <c r="R1172" s="49"/>
      <c r="S1172" s="49"/>
      <c r="T1172" s="49"/>
      <c r="U1172" s="49"/>
      <c r="V1172" s="49"/>
      <c r="W1172" s="49"/>
      <c r="X1172" s="49"/>
      <c r="Y1172" s="49"/>
      <c r="Z1172" s="49"/>
      <c r="AA1172" s="49"/>
      <c r="AB1172" s="49"/>
      <c r="AC1172" s="49"/>
      <c r="AD1172" s="49"/>
      <c r="AE1172" s="49"/>
      <c r="AF1172" s="49"/>
      <c r="AG1172" s="49"/>
      <c r="AH1172" s="49"/>
      <c r="AI1172" s="49"/>
      <c r="AJ1172" s="49"/>
      <c r="AK1172" s="49"/>
      <c r="AL1172" s="49"/>
      <c r="AM1172" s="49"/>
      <c r="AN1172" s="49"/>
      <c r="AO1172" s="49"/>
      <c r="AP1172" s="49"/>
      <c r="AQ1172" s="49"/>
      <c r="AR1172" s="49"/>
      <c r="AS1172" s="49"/>
      <c r="AT1172" s="49"/>
      <c r="AU1172" s="49"/>
      <c r="AV1172" s="49"/>
      <c r="AW1172" s="49"/>
      <c r="AX1172" s="49"/>
      <c r="AY1172" s="49"/>
      <c r="AZ1172" s="49"/>
      <c r="BA1172" s="49"/>
      <c r="BB1172" s="49"/>
      <c r="BC1172" s="49"/>
      <c r="BD1172" s="49"/>
      <c r="BE1172" s="49"/>
      <c r="BF1172" s="68"/>
    </row>
    <row r="1173" spans="1:58" s="51" customFormat="1">
      <c r="A1173" s="302"/>
      <c r="B1173" s="168"/>
      <c r="C1173" s="882"/>
      <c r="D1173" s="62">
        <v>2030</v>
      </c>
      <c r="E1173" s="63">
        <f t="shared" si="397"/>
        <v>0.22106583236608005</v>
      </c>
      <c r="F1173" s="63">
        <f t="shared" si="398"/>
        <v>0.22106583236608005</v>
      </c>
      <c r="G1173" s="63">
        <f t="shared" si="398"/>
        <v>0</v>
      </c>
      <c r="H1173" s="63">
        <f t="shared" si="398"/>
        <v>0</v>
      </c>
      <c r="I1173" s="63">
        <f t="shared" si="398"/>
        <v>0</v>
      </c>
      <c r="J1173" s="63">
        <f t="shared" si="398"/>
        <v>0</v>
      </c>
      <c r="K1173" s="76">
        <v>0</v>
      </c>
      <c r="L1173" s="497">
        <f t="shared" si="393"/>
        <v>0.22106583236608005</v>
      </c>
      <c r="M1173" s="581"/>
      <c r="N1173" s="88"/>
      <c r="O1173" s="301"/>
      <c r="P1173" s="1125"/>
      <c r="Q1173" s="49"/>
      <c r="R1173" s="49"/>
      <c r="S1173" s="49"/>
      <c r="T1173" s="49"/>
      <c r="U1173" s="49"/>
      <c r="V1173" s="49"/>
      <c r="W1173" s="49"/>
      <c r="X1173" s="49"/>
      <c r="Y1173" s="49"/>
      <c r="Z1173" s="49"/>
      <c r="AA1173" s="49"/>
      <c r="AB1173" s="49"/>
      <c r="AC1173" s="49"/>
      <c r="AD1173" s="49"/>
      <c r="AE1173" s="49"/>
      <c r="AF1173" s="49"/>
      <c r="AG1173" s="49"/>
      <c r="AH1173" s="49"/>
      <c r="AI1173" s="49"/>
      <c r="AJ1173" s="49"/>
      <c r="AK1173" s="49"/>
      <c r="AL1173" s="49"/>
      <c r="AM1173" s="49"/>
      <c r="AN1173" s="49"/>
      <c r="AO1173" s="49"/>
      <c r="AP1173" s="49"/>
      <c r="AQ1173" s="49"/>
      <c r="AR1173" s="49"/>
      <c r="AS1173" s="49"/>
      <c r="AT1173" s="49"/>
      <c r="AU1173" s="49"/>
      <c r="AV1173" s="49"/>
      <c r="AW1173" s="49"/>
      <c r="AX1173" s="49"/>
      <c r="AY1173" s="49"/>
      <c r="AZ1173" s="49"/>
      <c r="BA1173" s="49"/>
      <c r="BB1173" s="49"/>
      <c r="BC1173" s="49"/>
      <c r="BD1173" s="49"/>
      <c r="BE1173" s="49"/>
      <c r="BF1173" s="68"/>
    </row>
    <row r="1174" spans="1:58" s="51" customFormat="1" ht="12.75" customHeight="1">
      <c r="A1174" s="1048" t="s">
        <v>1346</v>
      </c>
      <c r="B1174" s="838" t="s">
        <v>1004</v>
      </c>
      <c r="C1174" s="881" t="s">
        <v>1002</v>
      </c>
      <c r="D1174" s="84" t="s">
        <v>16</v>
      </c>
      <c r="E1174" s="63">
        <f t="shared" ref="E1174:J1174" si="399">E1175+E1176+E1177+E1178</f>
        <v>6</v>
      </c>
      <c r="F1174" s="63">
        <f t="shared" si="399"/>
        <v>6</v>
      </c>
      <c r="G1174" s="63">
        <f t="shared" si="399"/>
        <v>0</v>
      </c>
      <c r="H1174" s="63">
        <f t="shared" si="399"/>
        <v>0</v>
      </c>
      <c r="I1174" s="63">
        <f t="shared" si="399"/>
        <v>0</v>
      </c>
      <c r="J1174" s="63">
        <f t="shared" si="399"/>
        <v>0</v>
      </c>
      <c r="K1174" s="76">
        <v>0</v>
      </c>
      <c r="L1174" s="497">
        <f t="shared" si="393"/>
        <v>6</v>
      </c>
      <c r="M1174" s="581"/>
      <c r="N1174" s="88"/>
      <c r="O1174" s="301"/>
      <c r="P1174" s="1125"/>
      <c r="Q1174" s="49"/>
      <c r="R1174" s="49"/>
      <c r="S1174" s="49"/>
      <c r="T1174" s="49"/>
      <c r="U1174" s="49"/>
      <c r="V1174" s="49"/>
      <c r="W1174" s="49"/>
      <c r="X1174" s="49"/>
      <c r="Y1174" s="49"/>
      <c r="Z1174" s="49"/>
      <c r="AA1174" s="49"/>
      <c r="AB1174" s="49"/>
      <c r="AC1174" s="49"/>
      <c r="AD1174" s="49"/>
      <c r="AE1174" s="49"/>
      <c r="AF1174" s="49"/>
      <c r="AG1174" s="49"/>
      <c r="AH1174" s="49"/>
      <c r="AI1174" s="49"/>
      <c r="AJ1174" s="49"/>
      <c r="AK1174" s="49"/>
      <c r="AL1174" s="49"/>
      <c r="AM1174" s="49"/>
      <c r="AN1174" s="49"/>
      <c r="AO1174" s="49"/>
      <c r="AP1174" s="49"/>
      <c r="AQ1174" s="49"/>
      <c r="AR1174" s="49"/>
      <c r="AS1174" s="49"/>
      <c r="AT1174" s="49"/>
      <c r="AU1174" s="49"/>
      <c r="AV1174" s="49"/>
      <c r="AW1174" s="49"/>
      <c r="AX1174" s="49"/>
      <c r="AY1174" s="49"/>
      <c r="AZ1174" s="49"/>
      <c r="BA1174" s="49"/>
      <c r="BB1174" s="49"/>
      <c r="BC1174" s="49"/>
      <c r="BD1174" s="49"/>
      <c r="BE1174" s="49"/>
      <c r="BF1174" s="68"/>
    </row>
    <row r="1175" spans="1:58" s="51" customFormat="1">
      <c r="A1175" s="1049"/>
      <c r="B1175" s="839"/>
      <c r="C1175" s="882"/>
      <c r="D1175" s="62">
        <v>2026</v>
      </c>
      <c r="E1175" s="63">
        <f t="shared" ref="E1175:J1175" si="400">E1180</f>
        <v>1.5</v>
      </c>
      <c r="F1175" s="63">
        <f t="shared" si="400"/>
        <v>1.5</v>
      </c>
      <c r="G1175" s="63">
        <f t="shared" si="400"/>
        <v>0</v>
      </c>
      <c r="H1175" s="63">
        <f t="shared" si="400"/>
        <v>0</v>
      </c>
      <c r="I1175" s="63">
        <f t="shared" si="400"/>
        <v>0</v>
      </c>
      <c r="J1175" s="63">
        <f t="shared" si="400"/>
        <v>0</v>
      </c>
      <c r="K1175" s="76">
        <v>0</v>
      </c>
      <c r="L1175" s="497">
        <f t="shared" si="393"/>
        <v>1.5</v>
      </c>
      <c r="M1175" s="581"/>
      <c r="N1175" s="88"/>
      <c r="O1175" s="301"/>
      <c r="P1175" s="1125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49"/>
      <c r="AU1175" s="49"/>
      <c r="AV1175" s="49"/>
      <c r="AW1175" s="49"/>
      <c r="AX1175" s="49"/>
      <c r="AY1175" s="49"/>
      <c r="AZ1175" s="49"/>
      <c r="BA1175" s="49"/>
      <c r="BB1175" s="49"/>
      <c r="BC1175" s="49"/>
      <c r="BD1175" s="49"/>
      <c r="BE1175" s="49"/>
      <c r="BF1175" s="68"/>
    </row>
    <row r="1176" spans="1:58" s="51" customFormat="1">
      <c r="A1176" s="1049"/>
      <c r="B1176" s="839"/>
      <c r="C1176" s="882"/>
      <c r="D1176" s="320">
        <v>2027</v>
      </c>
      <c r="E1176" s="63">
        <f t="shared" ref="E1176:J1176" si="401">E1186</f>
        <v>1.5</v>
      </c>
      <c r="F1176" s="63">
        <f t="shared" si="401"/>
        <v>1.5</v>
      </c>
      <c r="G1176" s="63">
        <f t="shared" si="401"/>
        <v>0</v>
      </c>
      <c r="H1176" s="63">
        <f t="shared" si="401"/>
        <v>0</v>
      </c>
      <c r="I1176" s="63">
        <f t="shared" si="401"/>
        <v>0</v>
      </c>
      <c r="J1176" s="63">
        <f t="shared" si="401"/>
        <v>0</v>
      </c>
      <c r="K1176" s="76">
        <v>0</v>
      </c>
      <c r="L1176" s="497">
        <f t="shared" si="393"/>
        <v>1.5</v>
      </c>
      <c r="M1176" s="581"/>
      <c r="N1176" s="88"/>
      <c r="O1176" s="301"/>
      <c r="P1176" s="1125"/>
      <c r="Q1176" s="49"/>
      <c r="R1176" s="49"/>
      <c r="S1176" s="49"/>
      <c r="T1176" s="49"/>
      <c r="U1176" s="49"/>
      <c r="V1176" s="49"/>
      <c r="W1176" s="49"/>
      <c r="X1176" s="49"/>
      <c r="Y1176" s="49"/>
      <c r="Z1176" s="49"/>
      <c r="AA1176" s="49"/>
      <c r="AB1176" s="49"/>
      <c r="AC1176" s="49"/>
      <c r="AD1176" s="49"/>
      <c r="AE1176" s="49"/>
      <c r="AF1176" s="49"/>
      <c r="AG1176" s="49"/>
      <c r="AH1176" s="49"/>
      <c r="AI1176" s="49"/>
      <c r="AJ1176" s="49"/>
      <c r="AK1176" s="49"/>
      <c r="AL1176" s="49"/>
      <c r="AM1176" s="49"/>
      <c r="AN1176" s="49"/>
      <c r="AO1176" s="49"/>
      <c r="AP1176" s="49"/>
      <c r="AQ1176" s="49"/>
      <c r="AR1176" s="49"/>
      <c r="AS1176" s="49"/>
      <c r="AT1176" s="49"/>
      <c r="AU1176" s="49"/>
      <c r="AV1176" s="49"/>
      <c r="AW1176" s="49"/>
      <c r="AX1176" s="49"/>
      <c r="AY1176" s="49"/>
      <c r="AZ1176" s="49"/>
      <c r="BA1176" s="49"/>
      <c r="BB1176" s="49"/>
      <c r="BC1176" s="49"/>
      <c r="BD1176" s="49"/>
      <c r="BE1176" s="49"/>
      <c r="BF1176" s="68"/>
    </row>
    <row r="1177" spans="1:58" s="51" customFormat="1">
      <c r="A1177" s="1049"/>
      <c r="B1177" s="839"/>
      <c r="C1177" s="882"/>
      <c r="D1177" s="62">
        <v>2028</v>
      </c>
      <c r="E1177" s="63">
        <f t="shared" ref="E1177:J1177" si="402">E1184</f>
        <v>1.5</v>
      </c>
      <c r="F1177" s="63">
        <f t="shared" si="402"/>
        <v>1.5</v>
      </c>
      <c r="G1177" s="63">
        <f t="shared" si="402"/>
        <v>0</v>
      </c>
      <c r="H1177" s="63">
        <f t="shared" si="402"/>
        <v>0</v>
      </c>
      <c r="I1177" s="63">
        <f t="shared" si="402"/>
        <v>0</v>
      </c>
      <c r="J1177" s="63">
        <f t="shared" si="402"/>
        <v>0</v>
      </c>
      <c r="K1177" s="76">
        <v>0</v>
      </c>
      <c r="L1177" s="497">
        <f t="shared" si="393"/>
        <v>1.5</v>
      </c>
      <c r="M1177" s="581"/>
      <c r="N1177" s="88"/>
      <c r="O1177" s="301"/>
      <c r="P1177" s="1125"/>
      <c r="Q1177" s="49"/>
      <c r="R1177" s="49"/>
      <c r="S1177" s="49"/>
      <c r="T1177" s="49"/>
      <c r="U1177" s="49"/>
      <c r="V1177" s="49"/>
      <c r="W1177" s="49"/>
      <c r="X1177" s="49"/>
      <c r="Y1177" s="49"/>
      <c r="Z1177" s="49"/>
      <c r="AA1177" s="49"/>
      <c r="AB1177" s="49"/>
      <c r="AC1177" s="49"/>
      <c r="AD1177" s="49"/>
      <c r="AE1177" s="49"/>
      <c r="AF1177" s="49"/>
      <c r="AG1177" s="49"/>
      <c r="AH1177" s="49"/>
      <c r="AI1177" s="49"/>
      <c r="AJ1177" s="49"/>
      <c r="AK1177" s="49"/>
      <c r="AL1177" s="49"/>
      <c r="AM1177" s="49"/>
      <c r="AN1177" s="49"/>
      <c r="AO1177" s="49"/>
      <c r="AP1177" s="49"/>
      <c r="AQ1177" s="49"/>
      <c r="AR1177" s="49"/>
      <c r="AS1177" s="49"/>
      <c r="AT1177" s="49"/>
      <c r="AU1177" s="49"/>
      <c r="AV1177" s="49"/>
      <c r="AW1177" s="49"/>
      <c r="AX1177" s="49"/>
      <c r="AY1177" s="49"/>
      <c r="AZ1177" s="49"/>
      <c r="BA1177" s="49"/>
      <c r="BB1177" s="49"/>
      <c r="BC1177" s="49"/>
      <c r="BD1177" s="49"/>
      <c r="BE1177" s="49"/>
      <c r="BF1177" s="68"/>
    </row>
    <row r="1178" spans="1:58" s="51" customFormat="1">
      <c r="A1178" s="1050"/>
      <c r="B1178" s="854"/>
      <c r="C1178" s="882"/>
      <c r="D1178" s="62">
        <v>2029</v>
      </c>
      <c r="E1178" s="63">
        <f t="shared" ref="E1178:J1178" si="403">E1182</f>
        <v>1.5</v>
      </c>
      <c r="F1178" s="63">
        <f t="shared" si="403"/>
        <v>1.5</v>
      </c>
      <c r="G1178" s="63">
        <f t="shared" si="403"/>
        <v>0</v>
      </c>
      <c r="H1178" s="63">
        <f t="shared" si="403"/>
        <v>0</v>
      </c>
      <c r="I1178" s="63">
        <f t="shared" si="403"/>
        <v>0</v>
      </c>
      <c r="J1178" s="63">
        <f t="shared" si="403"/>
        <v>0</v>
      </c>
      <c r="K1178" s="76">
        <v>0</v>
      </c>
      <c r="L1178" s="497">
        <f t="shared" si="393"/>
        <v>1.5</v>
      </c>
      <c r="M1178" s="581"/>
      <c r="N1178" s="88"/>
      <c r="O1178" s="301"/>
      <c r="P1178" s="1125"/>
      <c r="Q1178" s="49"/>
      <c r="R1178" s="49"/>
      <c r="S1178" s="49"/>
      <c r="T1178" s="49"/>
      <c r="U1178" s="49"/>
      <c r="V1178" s="49"/>
      <c r="W1178" s="49"/>
      <c r="X1178" s="49"/>
      <c r="Y1178" s="49"/>
      <c r="Z1178" s="49"/>
      <c r="AA1178" s="49"/>
      <c r="AB1178" s="49"/>
      <c r="AC1178" s="49"/>
      <c r="AD1178" s="49"/>
      <c r="AE1178" s="49"/>
      <c r="AF1178" s="49"/>
      <c r="AG1178" s="49"/>
      <c r="AH1178" s="49"/>
      <c r="AI1178" s="49"/>
      <c r="AJ1178" s="49"/>
      <c r="AK1178" s="49"/>
      <c r="AL1178" s="49"/>
      <c r="AM1178" s="49"/>
      <c r="AN1178" s="49"/>
      <c r="AO1178" s="49"/>
      <c r="AP1178" s="49"/>
      <c r="AQ1178" s="49"/>
      <c r="AR1178" s="49"/>
      <c r="AS1178" s="49"/>
      <c r="AT1178" s="49"/>
      <c r="AU1178" s="49"/>
      <c r="AV1178" s="49"/>
      <c r="AW1178" s="49"/>
      <c r="AX1178" s="49"/>
      <c r="AY1178" s="49"/>
      <c r="AZ1178" s="49"/>
      <c r="BA1178" s="49"/>
      <c r="BB1178" s="49"/>
      <c r="BC1178" s="49"/>
      <c r="BD1178" s="49"/>
      <c r="BE1178" s="49"/>
      <c r="BF1178" s="68"/>
    </row>
    <row r="1179" spans="1:58" s="51" customFormat="1">
      <c r="A1179" s="1048" t="s">
        <v>1347</v>
      </c>
      <c r="B1179" s="838" t="s">
        <v>1006</v>
      </c>
      <c r="C1179" s="882"/>
      <c r="D1179" s="84" t="s">
        <v>16</v>
      </c>
      <c r="E1179" s="63">
        <f t="shared" ref="E1179:J1179" si="404">E1180</f>
        <v>1.5</v>
      </c>
      <c r="F1179" s="63">
        <f t="shared" si="404"/>
        <v>1.5</v>
      </c>
      <c r="G1179" s="63">
        <f t="shared" si="404"/>
        <v>0</v>
      </c>
      <c r="H1179" s="63">
        <f t="shared" si="404"/>
        <v>0</v>
      </c>
      <c r="I1179" s="63">
        <f t="shared" si="404"/>
        <v>0</v>
      </c>
      <c r="J1179" s="63">
        <f t="shared" si="404"/>
        <v>0</v>
      </c>
      <c r="K1179" s="76">
        <v>0</v>
      </c>
      <c r="L1179" s="497">
        <f t="shared" si="393"/>
        <v>1.5</v>
      </c>
      <c r="M1179" s="581"/>
      <c r="N1179" s="88"/>
      <c r="O1179" s="301"/>
      <c r="P1179" s="1125"/>
      <c r="Q1179" s="49"/>
      <c r="R1179" s="49"/>
      <c r="S1179" s="49"/>
      <c r="T1179" s="49"/>
      <c r="U1179" s="49"/>
      <c r="V1179" s="49"/>
      <c r="W1179" s="49"/>
      <c r="X1179" s="49"/>
      <c r="Y1179" s="49"/>
      <c r="Z1179" s="49"/>
      <c r="AA1179" s="49"/>
      <c r="AB1179" s="49"/>
      <c r="AC1179" s="49"/>
      <c r="AD1179" s="49"/>
      <c r="AE1179" s="49"/>
      <c r="AF1179" s="49"/>
      <c r="AG1179" s="49"/>
      <c r="AH1179" s="49"/>
      <c r="AI1179" s="49"/>
      <c r="AJ1179" s="49"/>
      <c r="AK1179" s="49"/>
      <c r="AL1179" s="49"/>
      <c r="AM1179" s="49"/>
      <c r="AN1179" s="49"/>
      <c r="AO1179" s="49"/>
      <c r="AP1179" s="49"/>
      <c r="AQ1179" s="49"/>
      <c r="AR1179" s="49"/>
      <c r="AS1179" s="49"/>
      <c r="AT1179" s="49"/>
      <c r="AU1179" s="49"/>
      <c r="AV1179" s="49"/>
      <c r="AW1179" s="49"/>
      <c r="AX1179" s="49"/>
      <c r="AY1179" s="49"/>
      <c r="AZ1179" s="49"/>
      <c r="BA1179" s="49"/>
      <c r="BB1179" s="49"/>
      <c r="BC1179" s="49"/>
      <c r="BD1179" s="49"/>
      <c r="BE1179" s="49"/>
      <c r="BF1179" s="68"/>
    </row>
    <row r="1180" spans="1:58" s="51" customFormat="1">
      <c r="A1180" s="1050"/>
      <c r="B1180" s="854"/>
      <c r="C1180" s="882"/>
      <c r="D1180" s="62">
        <v>2026</v>
      </c>
      <c r="E1180" s="63">
        <f>F1180</f>
        <v>1.5</v>
      </c>
      <c r="F1180" s="63">
        <v>1.5</v>
      </c>
      <c r="G1180" s="63">
        <v>0</v>
      </c>
      <c r="H1180" s="63">
        <v>0</v>
      </c>
      <c r="I1180" s="63">
        <v>0</v>
      </c>
      <c r="J1180" s="63">
        <v>0</v>
      </c>
      <c r="K1180" s="76">
        <v>0</v>
      </c>
      <c r="L1180" s="497">
        <f t="shared" si="393"/>
        <v>1.5</v>
      </c>
      <c r="M1180" s="581"/>
      <c r="N1180" s="88"/>
      <c r="O1180" s="301"/>
      <c r="P1180" s="1125"/>
      <c r="Q1180" s="49"/>
      <c r="R1180" s="49"/>
      <c r="S1180" s="49"/>
      <c r="T1180" s="49"/>
      <c r="U1180" s="49"/>
      <c r="V1180" s="49"/>
      <c r="W1180" s="49"/>
      <c r="X1180" s="49"/>
      <c r="Y1180" s="49"/>
      <c r="Z1180" s="49"/>
      <c r="AA1180" s="49"/>
      <c r="AB1180" s="49"/>
      <c r="AC1180" s="49"/>
      <c r="AD1180" s="49"/>
      <c r="AE1180" s="49"/>
      <c r="AF1180" s="49"/>
      <c r="AG1180" s="49"/>
      <c r="AH1180" s="49"/>
      <c r="AI1180" s="49"/>
      <c r="AJ1180" s="49"/>
      <c r="AK1180" s="49"/>
      <c r="AL1180" s="49"/>
      <c r="AM1180" s="49"/>
      <c r="AN1180" s="49"/>
      <c r="AO1180" s="49"/>
      <c r="AP1180" s="49"/>
      <c r="AQ1180" s="49"/>
      <c r="AR1180" s="49"/>
      <c r="AS1180" s="49"/>
      <c r="AT1180" s="49"/>
      <c r="AU1180" s="49"/>
      <c r="AV1180" s="49"/>
      <c r="AW1180" s="49"/>
      <c r="AX1180" s="49"/>
      <c r="AY1180" s="49"/>
      <c r="AZ1180" s="49"/>
      <c r="BA1180" s="49"/>
      <c r="BB1180" s="49"/>
      <c r="BC1180" s="49"/>
      <c r="BD1180" s="49"/>
      <c r="BE1180" s="49"/>
      <c r="BF1180" s="68"/>
    </row>
    <row r="1181" spans="1:58" s="51" customFormat="1">
      <c r="A1181" s="1048" t="s">
        <v>1348</v>
      </c>
      <c r="B1181" s="838" t="s">
        <v>1008</v>
      </c>
      <c r="C1181" s="882"/>
      <c r="D1181" s="84" t="s">
        <v>16</v>
      </c>
      <c r="E1181" s="63">
        <f t="shared" ref="E1181:J1181" si="405">E1182</f>
        <v>1.5</v>
      </c>
      <c r="F1181" s="63">
        <f t="shared" si="405"/>
        <v>1.5</v>
      </c>
      <c r="G1181" s="63">
        <f t="shared" si="405"/>
        <v>0</v>
      </c>
      <c r="H1181" s="63">
        <f t="shared" si="405"/>
        <v>0</v>
      </c>
      <c r="I1181" s="63">
        <f t="shared" si="405"/>
        <v>0</v>
      </c>
      <c r="J1181" s="63">
        <f t="shared" si="405"/>
        <v>0</v>
      </c>
      <c r="K1181" s="76">
        <v>0</v>
      </c>
      <c r="L1181" s="497">
        <f t="shared" si="393"/>
        <v>1.5</v>
      </c>
      <c r="M1181" s="581"/>
      <c r="N1181" s="88"/>
      <c r="O1181" s="301"/>
      <c r="P1181" s="1125"/>
      <c r="Q1181" s="49"/>
      <c r="R1181" s="49"/>
      <c r="S1181" s="49"/>
      <c r="T1181" s="49"/>
      <c r="U1181" s="49"/>
      <c r="V1181" s="49"/>
      <c r="W1181" s="49"/>
      <c r="X1181" s="49"/>
      <c r="Y1181" s="49"/>
      <c r="Z1181" s="49"/>
      <c r="AA1181" s="49"/>
      <c r="AB1181" s="49"/>
      <c r="AC1181" s="49"/>
      <c r="AD1181" s="49"/>
      <c r="AE1181" s="49"/>
      <c r="AF1181" s="49"/>
      <c r="AG1181" s="49"/>
      <c r="AH1181" s="49"/>
      <c r="AI1181" s="49"/>
      <c r="AJ1181" s="49"/>
      <c r="AK1181" s="49"/>
      <c r="AL1181" s="49"/>
      <c r="AM1181" s="49"/>
      <c r="AN1181" s="49"/>
      <c r="AO1181" s="49"/>
      <c r="AP1181" s="49"/>
      <c r="AQ1181" s="49"/>
      <c r="AR1181" s="49"/>
      <c r="AS1181" s="49"/>
      <c r="AT1181" s="49"/>
      <c r="AU1181" s="49"/>
      <c r="AV1181" s="49"/>
      <c r="AW1181" s="49"/>
      <c r="AX1181" s="49"/>
      <c r="AY1181" s="49"/>
      <c r="AZ1181" s="49"/>
      <c r="BA1181" s="49"/>
      <c r="BB1181" s="49"/>
      <c r="BC1181" s="49"/>
      <c r="BD1181" s="49"/>
      <c r="BE1181" s="49"/>
      <c r="BF1181" s="68"/>
    </row>
    <row r="1182" spans="1:58" s="51" customFormat="1">
      <c r="A1182" s="1050"/>
      <c r="B1182" s="854"/>
      <c r="C1182" s="882"/>
      <c r="D1182" s="62">
        <v>2029</v>
      </c>
      <c r="E1182" s="63">
        <f>F1182</f>
        <v>1.5</v>
      </c>
      <c r="F1182" s="63">
        <v>1.5</v>
      </c>
      <c r="G1182" s="63">
        <v>0</v>
      </c>
      <c r="H1182" s="63">
        <v>0</v>
      </c>
      <c r="I1182" s="63">
        <v>0</v>
      </c>
      <c r="J1182" s="63">
        <v>0</v>
      </c>
      <c r="K1182" s="76">
        <v>0</v>
      </c>
      <c r="L1182" s="497">
        <f t="shared" si="393"/>
        <v>1.5</v>
      </c>
      <c r="M1182" s="581"/>
      <c r="N1182" s="88"/>
      <c r="O1182" s="301"/>
      <c r="P1182" s="1125"/>
      <c r="Q1182" s="49"/>
      <c r="R1182" s="49"/>
      <c r="S1182" s="49"/>
      <c r="T1182" s="49"/>
      <c r="U1182" s="49"/>
      <c r="V1182" s="49"/>
      <c r="W1182" s="49"/>
      <c r="X1182" s="49"/>
      <c r="Y1182" s="49"/>
      <c r="Z1182" s="49"/>
      <c r="AA1182" s="49"/>
      <c r="AB1182" s="49"/>
      <c r="AC1182" s="49"/>
      <c r="AD1182" s="49"/>
      <c r="AE1182" s="49"/>
      <c r="AF1182" s="49"/>
      <c r="AG1182" s="49"/>
      <c r="AH1182" s="49"/>
      <c r="AI1182" s="49"/>
      <c r="AJ1182" s="49"/>
      <c r="AK1182" s="49"/>
      <c r="AL1182" s="49"/>
      <c r="AM1182" s="49"/>
      <c r="AN1182" s="49"/>
      <c r="AO1182" s="49"/>
      <c r="AP1182" s="49"/>
      <c r="AQ1182" s="49"/>
      <c r="AR1182" s="49"/>
      <c r="AS1182" s="49"/>
      <c r="AT1182" s="49"/>
      <c r="AU1182" s="49"/>
      <c r="AV1182" s="49"/>
      <c r="AW1182" s="49"/>
      <c r="AX1182" s="49"/>
      <c r="AY1182" s="49"/>
      <c r="AZ1182" s="49"/>
      <c r="BA1182" s="49"/>
      <c r="BB1182" s="49"/>
      <c r="BC1182" s="49"/>
      <c r="BD1182" s="49"/>
      <c r="BE1182" s="49"/>
      <c r="BF1182" s="68"/>
    </row>
    <row r="1183" spans="1:58" s="51" customFormat="1">
      <c r="A1183" s="1048" t="s">
        <v>1349</v>
      </c>
      <c r="B1183" s="838" t="s">
        <v>1010</v>
      </c>
      <c r="C1183" s="882"/>
      <c r="D1183" s="84" t="s">
        <v>16</v>
      </c>
      <c r="E1183" s="63">
        <f t="shared" ref="E1183:J1183" si="406">E1184</f>
        <v>1.5</v>
      </c>
      <c r="F1183" s="63">
        <f t="shared" si="406"/>
        <v>1.5</v>
      </c>
      <c r="G1183" s="63">
        <f t="shared" si="406"/>
        <v>0</v>
      </c>
      <c r="H1183" s="63">
        <f t="shared" si="406"/>
        <v>0</v>
      </c>
      <c r="I1183" s="63">
        <f t="shared" si="406"/>
        <v>0</v>
      </c>
      <c r="J1183" s="63">
        <f t="shared" si="406"/>
        <v>0</v>
      </c>
      <c r="K1183" s="76">
        <v>0</v>
      </c>
      <c r="L1183" s="497">
        <f t="shared" si="393"/>
        <v>1.5</v>
      </c>
      <c r="M1183" s="581"/>
      <c r="N1183" s="88"/>
      <c r="O1183" s="301"/>
      <c r="P1183" s="1125"/>
      <c r="Q1183" s="49"/>
      <c r="R1183" s="49"/>
      <c r="S1183" s="49"/>
      <c r="T1183" s="49"/>
      <c r="U1183" s="49"/>
      <c r="V1183" s="49"/>
      <c r="W1183" s="49"/>
      <c r="X1183" s="49"/>
      <c r="Y1183" s="49"/>
      <c r="Z1183" s="49"/>
      <c r="AA1183" s="49"/>
      <c r="AB1183" s="49"/>
      <c r="AC1183" s="49"/>
      <c r="AD1183" s="49"/>
      <c r="AE1183" s="49"/>
      <c r="AF1183" s="49"/>
      <c r="AG1183" s="49"/>
      <c r="AH1183" s="49"/>
      <c r="AI1183" s="49"/>
      <c r="AJ1183" s="49"/>
      <c r="AK1183" s="49"/>
      <c r="AL1183" s="49"/>
      <c r="AM1183" s="49"/>
      <c r="AN1183" s="49"/>
      <c r="AO1183" s="49"/>
      <c r="AP1183" s="49"/>
      <c r="AQ1183" s="49"/>
      <c r="AR1183" s="49"/>
      <c r="AS1183" s="49"/>
      <c r="AT1183" s="49"/>
      <c r="AU1183" s="49"/>
      <c r="AV1183" s="49"/>
      <c r="AW1183" s="49"/>
      <c r="AX1183" s="49"/>
      <c r="AY1183" s="49"/>
      <c r="AZ1183" s="49"/>
      <c r="BA1183" s="49"/>
      <c r="BB1183" s="49"/>
      <c r="BC1183" s="49"/>
      <c r="BD1183" s="49"/>
      <c r="BE1183" s="49"/>
      <c r="BF1183" s="68"/>
    </row>
    <row r="1184" spans="1:58" s="51" customFormat="1">
      <c r="A1184" s="1050"/>
      <c r="B1184" s="854"/>
      <c r="C1184" s="882"/>
      <c r="D1184" s="62">
        <v>2028</v>
      </c>
      <c r="E1184" s="63">
        <f>F1184</f>
        <v>1.5</v>
      </c>
      <c r="F1184" s="63">
        <v>1.5</v>
      </c>
      <c r="G1184" s="63">
        <v>0</v>
      </c>
      <c r="H1184" s="63">
        <v>0</v>
      </c>
      <c r="I1184" s="63">
        <v>0</v>
      </c>
      <c r="J1184" s="63">
        <v>0</v>
      </c>
      <c r="K1184" s="76">
        <v>0</v>
      </c>
      <c r="L1184" s="497">
        <f t="shared" si="393"/>
        <v>1.5</v>
      </c>
      <c r="M1184" s="581"/>
      <c r="N1184" s="88"/>
      <c r="O1184" s="301"/>
      <c r="P1184" s="1125"/>
      <c r="Q1184" s="49"/>
      <c r="R1184" s="49"/>
      <c r="S1184" s="49"/>
      <c r="T1184" s="49"/>
      <c r="U1184" s="49"/>
      <c r="V1184" s="49"/>
      <c r="W1184" s="49"/>
      <c r="X1184" s="49"/>
      <c r="Y1184" s="49"/>
      <c r="Z1184" s="49"/>
      <c r="AA1184" s="49"/>
      <c r="AB1184" s="49"/>
      <c r="AC1184" s="49"/>
      <c r="AD1184" s="49"/>
      <c r="AE1184" s="49"/>
      <c r="AF1184" s="49"/>
      <c r="AG1184" s="49"/>
      <c r="AH1184" s="49"/>
      <c r="AI1184" s="49"/>
      <c r="AJ1184" s="49"/>
      <c r="AK1184" s="49"/>
      <c r="AL1184" s="49"/>
      <c r="AM1184" s="49"/>
      <c r="AN1184" s="49"/>
      <c r="AO1184" s="49"/>
      <c r="AP1184" s="49"/>
      <c r="AQ1184" s="49"/>
      <c r="AR1184" s="49"/>
      <c r="AS1184" s="49"/>
      <c r="AT1184" s="49"/>
      <c r="AU1184" s="49"/>
      <c r="AV1184" s="49"/>
      <c r="AW1184" s="49"/>
      <c r="AX1184" s="49"/>
      <c r="AY1184" s="49"/>
      <c r="AZ1184" s="49"/>
      <c r="BA1184" s="49"/>
      <c r="BB1184" s="49"/>
      <c r="BC1184" s="49"/>
      <c r="BD1184" s="49"/>
      <c r="BE1184" s="49"/>
      <c r="BF1184" s="68"/>
    </row>
    <row r="1185" spans="1:58" s="51" customFormat="1">
      <c r="A1185" s="1048" t="s">
        <v>1350</v>
      </c>
      <c r="B1185" s="838" t="s">
        <v>997</v>
      </c>
      <c r="C1185" s="882"/>
      <c r="D1185" s="84" t="s">
        <v>16</v>
      </c>
      <c r="E1185" s="63">
        <f t="shared" ref="E1185:J1185" si="407">E1186</f>
        <v>1.5</v>
      </c>
      <c r="F1185" s="63">
        <f t="shared" si="407"/>
        <v>1.5</v>
      </c>
      <c r="G1185" s="63">
        <f t="shared" si="407"/>
        <v>0</v>
      </c>
      <c r="H1185" s="63">
        <f t="shared" si="407"/>
        <v>0</v>
      </c>
      <c r="I1185" s="63">
        <f t="shared" si="407"/>
        <v>0</v>
      </c>
      <c r="J1185" s="63">
        <f t="shared" si="407"/>
        <v>0</v>
      </c>
      <c r="K1185" s="76">
        <v>0</v>
      </c>
      <c r="L1185" s="497">
        <f t="shared" si="393"/>
        <v>1.5</v>
      </c>
      <c r="M1185" s="581"/>
      <c r="N1185" s="88"/>
      <c r="O1185" s="301"/>
      <c r="P1185" s="1125"/>
      <c r="Q1185" s="49"/>
      <c r="R1185" s="49"/>
      <c r="S1185" s="49"/>
      <c r="T1185" s="49"/>
      <c r="U1185" s="49"/>
      <c r="V1185" s="49"/>
      <c r="W1185" s="49"/>
      <c r="X1185" s="49"/>
      <c r="Y1185" s="49"/>
      <c r="Z1185" s="49"/>
      <c r="AA1185" s="49"/>
      <c r="AB1185" s="49"/>
      <c r="AC1185" s="49"/>
      <c r="AD1185" s="49"/>
      <c r="AE1185" s="49"/>
      <c r="AF1185" s="49"/>
      <c r="AG1185" s="49"/>
      <c r="AH1185" s="49"/>
      <c r="AI1185" s="49"/>
      <c r="AJ1185" s="49"/>
      <c r="AK1185" s="49"/>
      <c r="AL1185" s="49"/>
      <c r="AM1185" s="49"/>
      <c r="AN1185" s="49"/>
      <c r="AO1185" s="49"/>
      <c r="AP1185" s="49"/>
      <c r="AQ1185" s="49"/>
      <c r="AR1185" s="49"/>
      <c r="AS1185" s="49"/>
      <c r="AT1185" s="49"/>
      <c r="AU1185" s="49"/>
      <c r="AV1185" s="49"/>
      <c r="AW1185" s="49"/>
      <c r="AX1185" s="49"/>
      <c r="AY1185" s="49"/>
      <c r="AZ1185" s="49"/>
      <c r="BA1185" s="49"/>
      <c r="BB1185" s="49"/>
      <c r="BC1185" s="49"/>
      <c r="BD1185" s="49"/>
      <c r="BE1185" s="49"/>
      <c r="BF1185" s="68"/>
    </row>
    <row r="1186" spans="1:58" s="51" customFormat="1">
      <c r="A1186" s="1049"/>
      <c r="B1186" s="839"/>
      <c r="C1186" s="964"/>
      <c r="D1186" s="62">
        <v>2027</v>
      </c>
      <c r="E1186" s="63">
        <f>F1186</f>
        <v>1.5</v>
      </c>
      <c r="F1186" s="63">
        <v>1.5</v>
      </c>
      <c r="G1186" s="63">
        <v>0</v>
      </c>
      <c r="H1186" s="63">
        <v>0</v>
      </c>
      <c r="I1186" s="63">
        <v>0</v>
      </c>
      <c r="J1186" s="63">
        <v>0</v>
      </c>
      <c r="K1186" s="76">
        <v>0</v>
      </c>
      <c r="L1186" s="497">
        <f t="shared" si="393"/>
        <v>1.5</v>
      </c>
      <c r="M1186" s="581"/>
      <c r="N1186" s="88"/>
      <c r="O1186" s="301"/>
      <c r="P1186" s="1103"/>
      <c r="Q1186" s="49"/>
      <c r="R1186" s="49"/>
      <c r="S1186" s="49"/>
      <c r="T1186" s="49"/>
      <c r="U1186" s="49"/>
      <c r="V1186" s="49"/>
      <c r="W1186" s="49"/>
      <c r="X1186" s="49"/>
      <c r="Y1186" s="49"/>
      <c r="Z1186" s="49"/>
      <c r="AA1186" s="49"/>
      <c r="AB1186" s="49"/>
      <c r="AC1186" s="49"/>
      <c r="AD1186" s="49"/>
      <c r="AE1186" s="49"/>
      <c r="AF1186" s="49"/>
      <c r="AG1186" s="49"/>
      <c r="AH1186" s="49"/>
      <c r="AI1186" s="49"/>
      <c r="AJ1186" s="49"/>
      <c r="AK1186" s="49"/>
      <c r="AL1186" s="49"/>
      <c r="AM1186" s="49"/>
      <c r="AN1186" s="49"/>
      <c r="AO1186" s="49"/>
      <c r="AP1186" s="49"/>
      <c r="AQ1186" s="49"/>
      <c r="AR1186" s="49"/>
      <c r="AS1186" s="49"/>
      <c r="AT1186" s="49"/>
      <c r="AU1186" s="49"/>
      <c r="AV1186" s="49"/>
      <c r="AW1186" s="49"/>
      <c r="AX1186" s="49"/>
      <c r="AY1186" s="49"/>
      <c r="AZ1186" s="49"/>
      <c r="BA1186" s="49"/>
      <c r="BB1186" s="49"/>
      <c r="BC1186" s="49"/>
      <c r="BD1186" s="49"/>
      <c r="BE1186" s="49"/>
      <c r="BF1186" s="68"/>
    </row>
    <row r="1187" spans="1:58" s="51" customFormat="1" ht="12.75" customHeight="1">
      <c r="A1187" s="1048" t="s">
        <v>1351</v>
      </c>
      <c r="B1187" s="915" t="s">
        <v>1352</v>
      </c>
      <c r="C1187" s="915" t="s">
        <v>993</v>
      </c>
      <c r="D1187" s="84" t="s">
        <v>16</v>
      </c>
      <c r="E1187" s="63">
        <f t="shared" ref="E1187:J1187" si="408">E1188</f>
        <v>0.17510000000000001</v>
      </c>
      <c r="F1187" s="63">
        <f t="shared" si="408"/>
        <v>0.17510000000000001</v>
      </c>
      <c r="G1187" s="63">
        <f t="shared" si="408"/>
        <v>0</v>
      </c>
      <c r="H1187" s="63">
        <f t="shared" si="408"/>
        <v>0</v>
      </c>
      <c r="I1187" s="63">
        <f t="shared" si="408"/>
        <v>0</v>
      </c>
      <c r="J1187" s="63">
        <f t="shared" si="408"/>
        <v>0</v>
      </c>
      <c r="K1187" s="76">
        <v>0</v>
      </c>
      <c r="L1187" s="497">
        <f t="shared" si="393"/>
        <v>0.17510000000000001</v>
      </c>
      <c r="M1187" s="581"/>
      <c r="N1187" s="88"/>
      <c r="O1187" s="301"/>
      <c r="P1187" s="915" t="s">
        <v>1014</v>
      </c>
      <c r="Q1187" s="49"/>
      <c r="R1187" s="49"/>
      <c r="S1187" s="49"/>
      <c r="T1187" s="49"/>
      <c r="U1187" s="49"/>
      <c r="V1187" s="49"/>
      <c r="W1187" s="49"/>
      <c r="X1187" s="49"/>
      <c r="Y1187" s="49"/>
      <c r="Z1187" s="49"/>
      <c r="AA1187" s="49"/>
      <c r="AB1187" s="49"/>
      <c r="AC1187" s="49"/>
      <c r="AD1187" s="49"/>
      <c r="AE1187" s="49"/>
      <c r="AF1187" s="49"/>
      <c r="AG1187" s="49"/>
      <c r="AH1187" s="49"/>
      <c r="AI1187" s="49"/>
      <c r="AJ1187" s="49"/>
      <c r="AK1187" s="49"/>
      <c r="AL1187" s="49"/>
      <c r="AM1187" s="49"/>
      <c r="AN1187" s="49"/>
      <c r="AO1187" s="49"/>
      <c r="AP1187" s="49"/>
      <c r="AQ1187" s="49"/>
      <c r="AR1187" s="49"/>
      <c r="AS1187" s="49"/>
      <c r="AT1187" s="49"/>
      <c r="AU1187" s="49"/>
      <c r="AV1187" s="49"/>
      <c r="AW1187" s="49"/>
      <c r="AX1187" s="49"/>
      <c r="AY1187" s="49"/>
      <c r="AZ1187" s="49"/>
      <c r="BA1187" s="49"/>
      <c r="BB1187" s="49"/>
      <c r="BC1187" s="49"/>
      <c r="BD1187" s="49"/>
      <c r="BE1187" s="49"/>
      <c r="BF1187" s="68"/>
    </row>
    <row r="1188" spans="1:58" s="51" customFormat="1" ht="30" customHeight="1">
      <c r="A1188" s="1049"/>
      <c r="B1188" s="916"/>
      <c r="C1188" s="916"/>
      <c r="D1188" s="62">
        <v>2023</v>
      </c>
      <c r="E1188" s="63">
        <f>F1188+G1188+H1188+I1188+J1188</f>
        <v>0.17510000000000001</v>
      </c>
      <c r="F1188" s="63">
        <v>0.17510000000000001</v>
      </c>
      <c r="G1188" s="63">
        <v>0</v>
      </c>
      <c r="H1188" s="63">
        <v>0</v>
      </c>
      <c r="I1188" s="63">
        <v>0</v>
      </c>
      <c r="J1188" s="63">
        <v>0</v>
      </c>
      <c r="K1188" s="76">
        <v>0</v>
      </c>
      <c r="L1188" s="497">
        <f t="shared" si="393"/>
        <v>0.17510000000000001</v>
      </c>
      <c r="M1188" s="581"/>
      <c r="N1188" s="88"/>
      <c r="O1188" s="301"/>
      <c r="P1188" s="916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49"/>
      <c r="AU1188" s="49"/>
      <c r="AV1188" s="49"/>
      <c r="AW1188" s="49"/>
      <c r="AX1188" s="49"/>
      <c r="AY1188" s="49"/>
      <c r="AZ1188" s="49"/>
      <c r="BA1188" s="49"/>
      <c r="BB1188" s="49"/>
      <c r="BC1188" s="49"/>
      <c r="BD1188" s="49"/>
      <c r="BE1188" s="49"/>
      <c r="BF1188" s="68"/>
    </row>
    <row r="1189" spans="1:58" s="51" customFormat="1" ht="18" customHeight="1">
      <c r="A1189" s="1048" t="s">
        <v>1353</v>
      </c>
      <c r="B1189" s="838" t="s">
        <v>1016</v>
      </c>
      <c r="C1189" s="916"/>
      <c r="D1189" s="84" t="s">
        <v>16</v>
      </c>
      <c r="E1189" s="85">
        <f>F1189</f>
        <v>1.1846999999999999</v>
      </c>
      <c r="F1189" s="85">
        <f>F1190+F1191+F1192+F1193+F1194</f>
        <v>1.1846999999999999</v>
      </c>
      <c r="G1189" s="85">
        <v>0</v>
      </c>
      <c r="H1189" s="85">
        <v>0</v>
      </c>
      <c r="I1189" s="85">
        <v>0</v>
      </c>
      <c r="J1189" s="85">
        <v>0</v>
      </c>
      <c r="K1189" s="76">
        <v>0</v>
      </c>
      <c r="L1189" s="497">
        <f t="shared" si="393"/>
        <v>1.1846999999999999</v>
      </c>
      <c r="M1189" s="581"/>
      <c r="N1189" s="88"/>
      <c r="O1189" s="301"/>
      <c r="P1189" s="916"/>
      <c r="Q1189" s="49"/>
      <c r="R1189" s="49"/>
      <c r="S1189" s="49"/>
      <c r="T1189" s="49"/>
      <c r="U1189" s="49"/>
      <c r="V1189" s="49"/>
      <c r="W1189" s="49"/>
      <c r="X1189" s="49"/>
      <c r="Y1189" s="49"/>
      <c r="Z1189" s="49"/>
      <c r="AA1189" s="49"/>
      <c r="AB1189" s="49"/>
      <c r="AC1189" s="49"/>
      <c r="AD1189" s="49"/>
      <c r="AE1189" s="49"/>
      <c r="AF1189" s="49"/>
      <c r="AG1189" s="49"/>
      <c r="AH1189" s="49"/>
      <c r="AI1189" s="49"/>
      <c r="AJ1189" s="49"/>
      <c r="AK1189" s="49"/>
      <c r="AL1189" s="49"/>
      <c r="AM1189" s="49"/>
      <c r="AN1189" s="49"/>
      <c r="AO1189" s="49"/>
      <c r="AP1189" s="49"/>
      <c r="AQ1189" s="49"/>
      <c r="AR1189" s="49"/>
      <c r="AS1189" s="49"/>
      <c r="AT1189" s="49"/>
      <c r="AU1189" s="49"/>
      <c r="AV1189" s="49"/>
      <c r="AW1189" s="49"/>
      <c r="AX1189" s="49"/>
      <c r="AY1189" s="49"/>
      <c r="AZ1189" s="49"/>
      <c r="BA1189" s="49"/>
      <c r="BB1189" s="49"/>
      <c r="BC1189" s="49"/>
      <c r="BD1189" s="49"/>
      <c r="BE1189" s="49"/>
      <c r="BF1189" s="68"/>
    </row>
    <row r="1190" spans="1:58" s="51" customFormat="1" ht="18" customHeight="1">
      <c r="A1190" s="1049"/>
      <c r="B1190" s="839"/>
      <c r="C1190" s="916"/>
      <c r="D1190" s="62">
        <v>2020</v>
      </c>
      <c r="E1190" s="63">
        <v>7.2400000000000006E-2</v>
      </c>
      <c r="F1190" s="63">
        <v>7.2400000000000006E-2</v>
      </c>
      <c r="G1190" s="85">
        <v>0</v>
      </c>
      <c r="H1190" s="85">
        <v>0</v>
      </c>
      <c r="I1190" s="85">
        <v>0</v>
      </c>
      <c r="J1190" s="85">
        <v>0</v>
      </c>
      <c r="K1190" s="76">
        <v>0</v>
      </c>
      <c r="L1190" s="497"/>
      <c r="M1190" s="581"/>
      <c r="N1190" s="88"/>
      <c r="O1190" s="301"/>
      <c r="P1190" s="916"/>
      <c r="Q1190" s="49"/>
      <c r="R1190" s="49"/>
      <c r="S1190" s="49"/>
      <c r="T1190" s="49"/>
      <c r="U1190" s="49"/>
      <c r="V1190" s="49"/>
      <c r="W1190" s="49"/>
      <c r="X1190" s="49"/>
      <c r="Y1190" s="49"/>
      <c r="Z1190" s="49"/>
      <c r="AA1190" s="49"/>
      <c r="AB1190" s="49"/>
      <c r="AC1190" s="49"/>
      <c r="AD1190" s="49"/>
      <c r="AE1190" s="49"/>
      <c r="AF1190" s="49"/>
      <c r="AG1190" s="49"/>
      <c r="AH1190" s="49"/>
      <c r="AI1190" s="49"/>
      <c r="AJ1190" s="49"/>
      <c r="AK1190" s="49"/>
      <c r="AL1190" s="49"/>
      <c r="AM1190" s="49"/>
      <c r="AN1190" s="49"/>
      <c r="AO1190" s="49"/>
      <c r="AP1190" s="49"/>
      <c r="AQ1190" s="49"/>
      <c r="AR1190" s="49"/>
      <c r="AS1190" s="49"/>
      <c r="AT1190" s="49"/>
      <c r="AU1190" s="49"/>
      <c r="AV1190" s="49"/>
      <c r="AW1190" s="49"/>
      <c r="AX1190" s="49"/>
      <c r="AY1190" s="49"/>
      <c r="AZ1190" s="49"/>
      <c r="BA1190" s="49"/>
      <c r="BB1190" s="49"/>
      <c r="BC1190" s="49"/>
      <c r="BD1190" s="49"/>
      <c r="BE1190" s="49"/>
      <c r="BF1190" s="68"/>
    </row>
    <row r="1191" spans="1:58" s="51" customFormat="1" ht="17.25" customHeight="1">
      <c r="A1191" s="1049"/>
      <c r="B1191" s="839"/>
      <c r="C1191" s="916"/>
      <c r="D1191" s="62">
        <v>2021</v>
      </c>
      <c r="E1191" s="63">
        <f>F1191</f>
        <v>0.52349999999999997</v>
      </c>
      <c r="F1191" s="63">
        <v>0.52349999999999997</v>
      </c>
      <c r="G1191" s="63">
        <v>0</v>
      </c>
      <c r="H1191" s="63">
        <v>0</v>
      </c>
      <c r="I1191" s="63">
        <v>0</v>
      </c>
      <c r="J1191" s="63">
        <v>0</v>
      </c>
      <c r="K1191" s="76">
        <v>0</v>
      </c>
      <c r="L1191" s="497">
        <f>F1191+G1191+H1191+I1191+J1191</f>
        <v>0.52349999999999997</v>
      </c>
      <c r="M1191" s="581"/>
      <c r="N1191" s="88"/>
      <c r="O1191" s="301"/>
      <c r="P1191" s="916"/>
      <c r="Q1191" s="49"/>
      <c r="R1191" s="49"/>
      <c r="S1191" s="49"/>
      <c r="T1191" s="49"/>
      <c r="U1191" s="49"/>
      <c r="V1191" s="49"/>
      <c r="W1191" s="49"/>
      <c r="X1191" s="49"/>
      <c r="Y1191" s="49"/>
      <c r="Z1191" s="49"/>
      <c r="AA1191" s="49"/>
      <c r="AB1191" s="49"/>
      <c r="AC1191" s="49"/>
      <c r="AD1191" s="49"/>
      <c r="AE1191" s="49"/>
      <c r="AF1191" s="49"/>
      <c r="AG1191" s="49"/>
      <c r="AH1191" s="49"/>
      <c r="AI1191" s="49"/>
      <c r="AJ1191" s="49"/>
      <c r="AK1191" s="49"/>
      <c r="AL1191" s="49"/>
      <c r="AM1191" s="49"/>
      <c r="AN1191" s="49"/>
      <c r="AO1191" s="49"/>
      <c r="AP1191" s="49"/>
      <c r="AQ1191" s="49"/>
      <c r="AR1191" s="49"/>
      <c r="AS1191" s="49"/>
      <c r="AT1191" s="49"/>
      <c r="AU1191" s="49"/>
      <c r="AV1191" s="49"/>
      <c r="AW1191" s="49"/>
      <c r="AX1191" s="49"/>
      <c r="AY1191" s="49"/>
      <c r="AZ1191" s="49"/>
      <c r="BA1191" s="49"/>
      <c r="BB1191" s="49"/>
      <c r="BC1191" s="49"/>
      <c r="BD1191" s="49"/>
      <c r="BE1191" s="49"/>
      <c r="BF1191" s="68"/>
    </row>
    <row r="1192" spans="1:58" s="51" customFormat="1" ht="17.25" customHeight="1">
      <c r="A1192" s="1049"/>
      <c r="B1192" s="839"/>
      <c r="C1192" s="916"/>
      <c r="D1192" s="320">
        <v>2022</v>
      </c>
      <c r="E1192" s="63">
        <f>F1192</f>
        <v>0</v>
      </c>
      <c r="F1192" s="63">
        <v>0</v>
      </c>
      <c r="G1192" s="63">
        <v>0</v>
      </c>
      <c r="H1192" s="63">
        <v>0</v>
      </c>
      <c r="I1192" s="63">
        <v>0</v>
      </c>
      <c r="J1192" s="63">
        <v>0</v>
      </c>
      <c r="K1192" s="76">
        <v>0</v>
      </c>
      <c r="L1192" s="497">
        <f>F1192+G1192+H1192+I1192+J1192</f>
        <v>0</v>
      </c>
      <c r="M1192" s="581"/>
      <c r="N1192" s="88"/>
      <c r="O1192" s="301"/>
      <c r="P1192" s="916"/>
      <c r="Q1192" s="49"/>
      <c r="R1192" s="49"/>
      <c r="S1192" s="49"/>
      <c r="T1192" s="49"/>
      <c r="U1192" s="49"/>
      <c r="V1192" s="49"/>
      <c r="W1192" s="49"/>
      <c r="X1192" s="49"/>
      <c r="Y1192" s="49"/>
      <c r="Z1192" s="49"/>
      <c r="AA1192" s="49"/>
      <c r="AB1192" s="49"/>
      <c r="AC1192" s="49"/>
      <c r="AD1192" s="49"/>
      <c r="AE1192" s="49"/>
      <c r="AF1192" s="49"/>
      <c r="AG1192" s="49"/>
      <c r="AH1192" s="49"/>
      <c r="AI1192" s="49"/>
      <c r="AJ1192" s="49"/>
      <c r="AK1192" s="49"/>
      <c r="AL1192" s="49"/>
      <c r="AM1192" s="49"/>
      <c r="AN1192" s="49"/>
      <c r="AO1192" s="49"/>
      <c r="AP1192" s="49"/>
      <c r="AQ1192" s="49"/>
      <c r="AR1192" s="49"/>
      <c r="AS1192" s="49"/>
      <c r="AT1192" s="49"/>
      <c r="AU1192" s="49"/>
      <c r="AV1192" s="49"/>
      <c r="AW1192" s="49"/>
      <c r="AX1192" s="49"/>
      <c r="AY1192" s="49"/>
      <c r="AZ1192" s="49"/>
      <c r="BA1192" s="49"/>
      <c r="BB1192" s="49"/>
      <c r="BC1192" s="49"/>
      <c r="BD1192" s="49"/>
      <c r="BE1192" s="49"/>
      <c r="BF1192" s="68"/>
    </row>
    <row r="1193" spans="1:58" s="51" customFormat="1" ht="17.25" customHeight="1">
      <c r="A1193" s="1049"/>
      <c r="B1193" s="839"/>
      <c r="C1193" s="916"/>
      <c r="D1193" s="320">
        <v>2023</v>
      </c>
      <c r="E1193" s="63">
        <f>F1193</f>
        <v>0</v>
      </c>
      <c r="F1193" s="63">
        <v>0</v>
      </c>
      <c r="G1193" s="63">
        <v>0</v>
      </c>
      <c r="H1193" s="63">
        <v>0</v>
      </c>
      <c r="I1193" s="63">
        <v>0</v>
      </c>
      <c r="J1193" s="63">
        <v>0</v>
      </c>
      <c r="K1193" s="76">
        <v>0</v>
      </c>
      <c r="L1193" s="497">
        <f>F1193+G1193+H1193+I1193+J1193</f>
        <v>0</v>
      </c>
      <c r="M1193" s="581"/>
      <c r="N1193" s="88"/>
      <c r="O1193" s="301"/>
      <c r="P1193" s="916"/>
      <c r="Q1193" s="49"/>
      <c r="R1193" s="49"/>
      <c r="S1193" s="49"/>
      <c r="T1193" s="49"/>
      <c r="U1193" s="49"/>
      <c r="V1193" s="49"/>
      <c r="W1193" s="49"/>
      <c r="X1193" s="49"/>
      <c r="Y1193" s="49"/>
      <c r="Z1193" s="49"/>
      <c r="AA1193" s="49"/>
      <c r="AB1193" s="49"/>
      <c r="AC1193" s="49"/>
      <c r="AD1193" s="49"/>
      <c r="AE1193" s="49"/>
      <c r="AF1193" s="49"/>
      <c r="AG1193" s="49"/>
      <c r="AH1193" s="49"/>
      <c r="AI1193" s="49"/>
      <c r="AJ1193" s="49"/>
      <c r="AK1193" s="49"/>
      <c r="AL1193" s="49"/>
      <c r="AM1193" s="49"/>
      <c r="AN1193" s="49"/>
      <c r="AO1193" s="49"/>
      <c r="AP1193" s="49"/>
      <c r="AQ1193" s="49"/>
      <c r="AR1193" s="49"/>
      <c r="AS1193" s="49"/>
      <c r="AT1193" s="49"/>
      <c r="AU1193" s="49"/>
      <c r="AV1193" s="49"/>
      <c r="AW1193" s="49"/>
      <c r="AX1193" s="49"/>
      <c r="AY1193" s="49"/>
      <c r="AZ1193" s="49"/>
      <c r="BA1193" s="49"/>
      <c r="BB1193" s="49"/>
      <c r="BC1193" s="49"/>
      <c r="BD1193" s="49"/>
      <c r="BE1193" s="49"/>
      <c r="BF1193" s="68"/>
    </row>
    <row r="1194" spans="1:58" s="51" customFormat="1" ht="17.25" customHeight="1">
      <c r="A1194" s="1050"/>
      <c r="B1194" s="854"/>
      <c r="C1194" s="916"/>
      <c r="D1194" s="320">
        <v>2024</v>
      </c>
      <c r="E1194" s="63">
        <f>F1194</f>
        <v>0.58879999999999999</v>
      </c>
      <c r="F1194" s="63">
        <v>0.58879999999999999</v>
      </c>
      <c r="G1194" s="63">
        <v>0</v>
      </c>
      <c r="H1194" s="63">
        <v>0</v>
      </c>
      <c r="I1194" s="63">
        <v>0</v>
      </c>
      <c r="J1194" s="63">
        <v>0</v>
      </c>
      <c r="K1194" s="76">
        <v>0</v>
      </c>
      <c r="L1194" s="497">
        <f>F1194+G1194+H1194+I1194+J1194</f>
        <v>0.58879999999999999</v>
      </c>
      <c r="M1194" s="581"/>
      <c r="N1194" s="88"/>
      <c r="O1194" s="301"/>
      <c r="P1194" s="916"/>
      <c r="Q1194" s="49"/>
      <c r="R1194" s="49"/>
      <c r="S1194" s="49"/>
      <c r="T1194" s="49"/>
      <c r="U1194" s="49"/>
      <c r="V1194" s="49"/>
      <c r="W1194" s="49"/>
      <c r="X1194" s="49"/>
      <c r="Y1194" s="49"/>
      <c r="Z1194" s="49"/>
      <c r="AA1194" s="49"/>
      <c r="AB1194" s="49"/>
      <c r="AC1194" s="49"/>
      <c r="AD1194" s="49"/>
      <c r="AE1194" s="49"/>
      <c r="AF1194" s="49"/>
      <c r="AG1194" s="49"/>
      <c r="AH1194" s="49"/>
      <c r="AI1194" s="49"/>
      <c r="AJ1194" s="49"/>
      <c r="AK1194" s="49"/>
      <c r="AL1194" s="49"/>
      <c r="AM1194" s="49"/>
      <c r="AN1194" s="49"/>
      <c r="AO1194" s="49"/>
      <c r="AP1194" s="49"/>
      <c r="AQ1194" s="49"/>
      <c r="AR1194" s="49"/>
      <c r="AS1194" s="49"/>
      <c r="AT1194" s="49"/>
      <c r="AU1194" s="49"/>
      <c r="AV1194" s="49"/>
      <c r="AW1194" s="49"/>
      <c r="AX1194" s="49"/>
      <c r="AY1194" s="49"/>
      <c r="AZ1194" s="49"/>
      <c r="BA1194" s="49"/>
      <c r="BB1194" s="49"/>
      <c r="BC1194" s="49"/>
      <c r="BD1194" s="49"/>
      <c r="BE1194" s="49"/>
      <c r="BF1194" s="68"/>
    </row>
    <row r="1195" spans="1:58" s="51" customFormat="1">
      <c r="A1195" s="1048" t="s">
        <v>1354</v>
      </c>
      <c r="B1195" s="915" t="s">
        <v>1355</v>
      </c>
      <c r="C1195" s="190"/>
      <c r="D1195" s="84" t="s">
        <v>429</v>
      </c>
      <c r="E1195" s="63">
        <f>E1196</f>
        <v>9.4E-2</v>
      </c>
      <c r="F1195" s="63">
        <f>F1196</f>
        <v>9.4E-2</v>
      </c>
      <c r="G1195" s="63">
        <v>0</v>
      </c>
      <c r="H1195" s="63">
        <v>0</v>
      </c>
      <c r="I1195" s="63">
        <v>0</v>
      </c>
      <c r="J1195" s="63">
        <v>0</v>
      </c>
      <c r="K1195" s="76">
        <v>0</v>
      </c>
      <c r="L1195" s="497"/>
      <c r="M1195" s="581"/>
      <c r="N1195" s="88"/>
      <c r="O1195" s="301"/>
      <c r="P1195" s="184"/>
      <c r="Q1195" s="49"/>
      <c r="R1195" s="49"/>
      <c r="S1195" s="49"/>
      <c r="T1195" s="49"/>
      <c r="U1195" s="49"/>
      <c r="V1195" s="49"/>
      <c r="W1195" s="49"/>
      <c r="X1195" s="49"/>
      <c r="Y1195" s="49"/>
      <c r="Z1195" s="49"/>
      <c r="AA1195" s="49"/>
      <c r="AB1195" s="49"/>
      <c r="AC1195" s="49"/>
      <c r="AD1195" s="49"/>
      <c r="AE1195" s="49"/>
      <c r="AF1195" s="49"/>
      <c r="AG1195" s="49"/>
      <c r="AH1195" s="49"/>
      <c r="AI1195" s="49"/>
      <c r="AJ1195" s="49"/>
      <c r="AK1195" s="49"/>
      <c r="AL1195" s="49"/>
      <c r="AM1195" s="49"/>
      <c r="AN1195" s="49"/>
      <c r="AO1195" s="49"/>
      <c r="AP1195" s="49"/>
      <c r="AQ1195" s="49"/>
      <c r="AR1195" s="49"/>
      <c r="AS1195" s="49"/>
      <c r="AT1195" s="49"/>
      <c r="AU1195" s="49"/>
      <c r="AV1195" s="49"/>
      <c r="AW1195" s="49"/>
      <c r="AX1195" s="49"/>
      <c r="AY1195" s="49"/>
      <c r="AZ1195" s="49"/>
      <c r="BA1195" s="49"/>
      <c r="BB1195" s="49"/>
      <c r="BC1195" s="49"/>
      <c r="BD1195" s="49"/>
      <c r="BE1195" s="49"/>
      <c r="BF1195" s="68"/>
    </row>
    <row r="1196" spans="1:58" s="51" customFormat="1" ht="30.75" customHeight="1">
      <c r="A1196" s="1050"/>
      <c r="B1196" s="999"/>
      <c r="C1196" s="190"/>
      <c r="D1196" s="84">
        <v>2021</v>
      </c>
      <c r="E1196" s="63">
        <v>9.4E-2</v>
      </c>
      <c r="F1196" s="63">
        <v>9.4E-2</v>
      </c>
      <c r="G1196" s="63">
        <v>0</v>
      </c>
      <c r="H1196" s="63">
        <v>0</v>
      </c>
      <c r="I1196" s="63">
        <v>0</v>
      </c>
      <c r="J1196" s="63">
        <v>0</v>
      </c>
      <c r="K1196" s="76">
        <v>0</v>
      </c>
      <c r="L1196" s="497"/>
      <c r="M1196" s="581"/>
      <c r="N1196" s="88"/>
      <c r="O1196" s="301"/>
      <c r="P1196" s="184"/>
      <c r="Q1196" s="49"/>
      <c r="R1196" s="49"/>
      <c r="S1196" s="49"/>
      <c r="T1196" s="49"/>
      <c r="U1196" s="49"/>
      <c r="V1196" s="49"/>
      <c r="W1196" s="49"/>
      <c r="X1196" s="49"/>
      <c r="Y1196" s="49"/>
      <c r="Z1196" s="49"/>
      <c r="AA1196" s="49"/>
      <c r="AB1196" s="49"/>
      <c r="AC1196" s="49"/>
      <c r="AD1196" s="49"/>
      <c r="AE1196" s="49"/>
      <c r="AF1196" s="49"/>
      <c r="AG1196" s="49"/>
      <c r="AH1196" s="49"/>
      <c r="AI1196" s="49"/>
      <c r="AJ1196" s="49"/>
      <c r="AK1196" s="49"/>
      <c r="AL1196" s="49"/>
      <c r="AM1196" s="49"/>
      <c r="AN1196" s="49"/>
      <c r="AO1196" s="49"/>
      <c r="AP1196" s="49"/>
      <c r="AQ1196" s="49"/>
      <c r="AR1196" s="49"/>
      <c r="AS1196" s="49"/>
      <c r="AT1196" s="49"/>
      <c r="AU1196" s="49"/>
      <c r="AV1196" s="49"/>
      <c r="AW1196" s="49"/>
      <c r="AX1196" s="49"/>
      <c r="AY1196" s="49"/>
      <c r="AZ1196" s="49"/>
      <c r="BA1196" s="49"/>
      <c r="BB1196" s="49"/>
      <c r="BC1196" s="49"/>
      <c r="BD1196" s="49"/>
      <c r="BE1196" s="49"/>
      <c r="BF1196" s="68"/>
    </row>
    <row r="1197" spans="1:58" s="51" customFormat="1">
      <c r="A1197" s="1048" t="s">
        <v>1356</v>
      </c>
      <c r="B1197" s="915" t="s">
        <v>1357</v>
      </c>
      <c r="C1197" s="190"/>
      <c r="D1197" s="84" t="s">
        <v>429</v>
      </c>
      <c r="E1197" s="85">
        <f t="shared" ref="E1197:E1202" si="409">F1197</f>
        <v>4.1290999999999993</v>
      </c>
      <c r="F1197" s="85">
        <f>F1198+F1199+F1200+F1201+F1202</f>
        <v>4.1290999999999993</v>
      </c>
      <c r="G1197" s="85">
        <v>0</v>
      </c>
      <c r="H1197" s="85">
        <v>0</v>
      </c>
      <c r="I1197" s="85">
        <v>0</v>
      </c>
      <c r="J1197" s="85">
        <v>0</v>
      </c>
      <c r="K1197" s="76">
        <v>0</v>
      </c>
      <c r="L1197" s="497"/>
      <c r="M1197" s="581"/>
      <c r="N1197" s="88"/>
      <c r="O1197" s="301"/>
      <c r="P1197" s="184"/>
      <c r="Q1197" s="49"/>
      <c r="R1197" s="49"/>
      <c r="S1197" s="49"/>
      <c r="T1197" s="49"/>
      <c r="U1197" s="49"/>
      <c r="V1197" s="49"/>
      <c r="W1197" s="49"/>
      <c r="X1197" s="49"/>
      <c r="Y1197" s="49"/>
      <c r="Z1197" s="49"/>
      <c r="AA1197" s="49"/>
      <c r="AB1197" s="49"/>
      <c r="AC1197" s="49"/>
      <c r="AD1197" s="49"/>
      <c r="AE1197" s="49"/>
      <c r="AF1197" s="49"/>
      <c r="AG1197" s="49"/>
      <c r="AH1197" s="49"/>
      <c r="AI1197" s="49"/>
      <c r="AJ1197" s="49"/>
      <c r="AK1197" s="49"/>
      <c r="AL1197" s="49"/>
      <c r="AM1197" s="49"/>
      <c r="AN1197" s="49"/>
      <c r="AO1197" s="49"/>
      <c r="AP1197" s="49"/>
      <c r="AQ1197" s="49"/>
      <c r="AR1197" s="49"/>
      <c r="AS1197" s="49"/>
      <c r="AT1197" s="49"/>
      <c r="AU1197" s="49"/>
      <c r="AV1197" s="49"/>
      <c r="AW1197" s="49"/>
      <c r="AX1197" s="49"/>
      <c r="AY1197" s="49"/>
      <c r="AZ1197" s="49"/>
      <c r="BA1197" s="49"/>
      <c r="BB1197" s="49"/>
      <c r="BC1197" s="49"/>
      <c r="BD1197" s="49"/>
      <c r="BE1197" s="49"/>
      <c r="BF1197" s="68"/>
    </row>
    <row r="1198" spans="1:58" s="51" customFormat="1">
      <c r="A1198" s="1049"/>
      <c r="B1198" s="916"/>
      <c r="C1198" s="190"/>
      <c r="D1198" s="84">
        <v>2021</v>
      </c>
      <c r="E1198" s="63">
        <f t="shared" si="409"/>
        <v>0.47</v>
      </c>
      <c r="F1198" s="63">
        <v>0.47</v>
      </c>
      <c r="G1198" s="63">
        <v>0</v>
      </c>
      <c r="H1198" s="63">
        <v>0</v>
      </c>
      <c r="I1198" s="63">
        <v>0</v>
      </c>
      <c r="J1198" s="63">
        <v>0</v>
      </c>
      <c r="K1198" s="76">
        <v>0</v>
      </c>
      <c r="L1198" s="497"/>
      <c r="M1198" s="581"/>
      <c r="N1198" s="88"/>
      <c r="O1198" s="301"/>
      <c r="P1198" s="184"/>
      <c r="Q1198" s="49"/>
      <c r="R1198" s="49"/>
      <c r="S1198" s="49"/>
      <c r="T1198" s="49"/>
      <c r="U1198" s="49"/>
      <c r="V1198" s="49"/>
      <c r="W1198" s="49"/>
      <c r="X1198" s="49"/>
      <c r="Y1198" s="49"/>
      <c r="Z1198" s="49"/>
      <c r="AA1198" s="49"/>
      <c r="AB1198" s="49"/>
      <c r="AC1198" s="49"/>
      <c r="AD1198" s="49"/>
      <c r="AE1198" s="49"/>
      <c r="AF1198" s="49"/>
      <c r="AG1198" s="49"/>
      <c r="AH1198" s="49"/>
      <c r="AI1198" s="49"/>
      <c r="AJ1198" s="49"/>
      <c r="AK1198" s="49"/>
      <c r="AL1198" s="49"/>
      <c r="AM1198" s="49"/>
      <c r="AN1198" s="49"/>
      <c r="AO1198" s="49"/>
      <c r="AP1198" s="49"/>
      <c r="AQ1198" s="49"/>
      <c r="AR1198" s="49"/>
      <c r="AS1198" s="49"/>
      <c r="AT1198" s="49"/>
      <c r="AU1198" s="49"/>
      <c r="AV1198" s="49"/>
      <c r="AW1198" s="49"/>
      <c r="AX1198" s="49"/>
      <c r="AY1198" s="49"/>
      <c r="AZ1198" s="49"/>
      <c r="BA1198" s="49"/>
      <c r="BB1198" s="49"/>
      <c r="BC1198" s="49"/>
      <c r="BD1198" s="49"/>
      <c r="BE1198" s="49"/>
      <c r="BF1198" s="68"/>
    </row>
    <row r="1199" spans="1:58" s="51" customFormat="1" ht="12.75" customHeight="1">
      <c r="A1199" s="1049"/>
      <c r="B1199" s="916"/>
      <c r="C1199" s="190"/>
      <c r="D1199" s="84">
        <v>2022</v>
      </c>
      <c r="E1199" s="63">
        <f t="shared" si="409"/>
        <v>0.98799999999999999</v>
      </c>
      <c r="F1199" s="63">
        <v>0.98799999999999999</v>
      </c>
      <c r="G1199" s="63">
        <v>0</v>
      </c>
      <c r="H1199" s="63">
        <v>0</v>
      </c>
      <c r="I1199" s="63">
        <v>0</v>
      </c>
      <c r="J1199" s="63">
        <v>0</v>
      </c>
      <c r="K1199" s="76">
        <v>0</v>
      </c>
      <c r="L1199" s="497"/>
      <c r="M1199" s="581"/>
      <c r="N1199" s="88"/>
      <c r="O1199" s="301"/>
      <c r="P1199" s="184"/>
      <c r="Q1199" s="49"/>
      <c r="R1199" s="49"/>
      <c r="S1199" s="49"/>
      <c r="T1199" s="49"/>
      <c r="U1199" s="49"/>
      <c r="V1199" s="49"/>
      <c r="W1199" s="49"/>
      <c r="X1199" s="49"/>
      <c r="Y1199" s="49"/>
      <c r="Z1199" s="49"/>
      <c r="AA1199" s="49"/>
      <c r="AB1199" s="49"/>
      <c r="AC1199" s="49"/>
      <c r="AD1199" s="49"/>
      <c r="AE1199" s="49"/>
      <c r="AF1199" s="49"/>
      <c r="AG1199" s="49"/>
      <c r="AH1199" s="49"/>
      <c r="AI1199" s="49"/>
      <c r="AJ1199" s="49"/>
      <c r="AK1199" s="49"/>
      <c r="AL1199" s="49"/>
      <c r="AM1199" s="49"/>
      <c r="AN1199" s="49"/>
      <c r="AO1199" s="49"/>
      <c r="AP1199" s="49"/>
      <c r="AQ1199" s="49"/>
      <c r="AR1199" s="49"/>
      <c r="AS1199" s="49"/>
      <c r="AT1199" s="49"/>
      <c r="AU1199" s="49"/>
      <c r="AV1199" s="49"/>
      <c r="AW1199" s="49"/>
      <c r="AX1199" s="49"/>
      <c r="AY1199" s="49"/>
      <c r="AZ1199" s="49"/>
      <c r="BA1199" s="49"/>
      <c r="BB1199" s="49"/>
      <c r="BC1199" s="49"/>
      <c r="BD1199" s="49"/>
      <c r="BE1199" s="49"/>
      <c r="BF1199" s="68"/>
    </row>
    <row r="1200" spans="1:58" s="51" customFormat="1">
      <c r="A1200" s="1049"/>
      <c r="B1200" s="916"/>
      <c r="C1200" s="190"/>
      <c r="D1200" s="84">
        <v>2023</v>
      </c>
      <c r="E1200" s="63">
        <f t="shared" si="409"/>
        <v>0.83989999999999998</v>
      </c>
      <c r="F1200" s="63">
        <v>0.83989999999999998</v>
      </c>
      <c r="G1200" s="63">
        <v>0</v>
      </c>
      <c r="H1200" s="63">
        <v>0</v>
      </c>
      <c r="I1200" s="63">
        <v>0</v>
      </c>
      <c r="J1200" s="63">
        <v>0</v>
      </c>
      <c r="K1200" s="76">
        <v>0</v>
      </c>
      <c r="L1200" s="497"/>
      <c r="M1200" s="581"/>
      <c r="N1200" s="88"/>
      <c r="O1200" s="301"/>
      <c r="P1200" s="184"/>
      <c r="Q1200" s="49"/>
      <c r="R1200" s="49"/>
      <c r="S1200" s="49"/>
      <c r="T1200" s="49"/>
      <c r="U1200" s="49"/>
      <c r="V1200" s="49"/>
      <c r="W1200" s="49"/>
      <c r="X1200" s="49"/>
      <c r="Y1200" s="49"/>
      <c r="Z1200" s="49"/>
      <c r="AA1200" s="49"/>
      <c r="AB1200" s="49"/>
      <c r="AC1200" s="49"/>
      <c r="AD1200" s="49"/>
      <c r="AE1200" s="49"/>
      <c r="AF1200" s="49"/>
      <c r="AG1200" s="49"/>
      <c r="AH1200" s="49"/>
      <c r="AI1200" s="49"/>
      <c r="AJ1200" s="49"/>
      <c r="AK1200" s="49"/>
      <c r="AL1200" s="49"/>
      <c r="AM1200" s="49"/>
      <c r="AN1200" s="49"/>
      <c r="AO1200" s="49"/>
      <c r="AP1200" s="49"/>
      <c r="AQ1200" s="49"/>
      <c r="AR1200" s="49"/>
      <c r="AS1200" s="49"/>
      <c r="AT1200" s="49"/>
      <c r="AU1200" s="49"/>
      <c r="AV1200" s="49"/>
      <c r="AW1200" s="49"/>
      <c r="AX1200" s="49"/>
      <c r="AY1200" s="49"/>
      <c r="AZ1200" s="49"/>
      <c r="BA1200" s="49"/>
      <c r="BB1200" s="49"/>
      <c r="BC1200" s="49"/>
      <c r="BD1200" s="49"/>
      <c r="BE1200" s="49"/>
      <c r="BF1200" s="68"/>
    </row>
    <row r="1201" spans="1:58" s="51" customFormat="1">
      <c r="A1201" s="1049"/>
      <c r="B1201" s="916"/>
      <c r="C1201" s="190"/>
      <c r="D1201" s="84">
        <v>2024</v>
      </c>
      <c r="E1201" s="63">
        <f t="shared" si="409"/>
        <v>0.89770000000000005</v>
      </c>
      <c r="F1201" s="63">
        <v>0.89770000000000005</v>
      </c>
      <c r="G1201" s="63">
        <v>0</v>
      </c>
      <c r="H1201" s="63">
        <v>0</v>
      </c>
      <c r="I1201" s="63">
        <v>0</v>
      </c>
      <c r="J1201" s="63">
        <v>0</v>
      </c>
      <c r="K1201" s="76">
        <v>0</v>
      </c>
      <c r="L1201" s="497"/>
      <c r="M1201" s="581"/>
      <c r="N1201" s="88"/>
      <c r="O1201" s="301"/>
      <c r="P1201" s="184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49"/>
      <c r="AU1201" s="49"/>
      <c r="AV1201" s="49"/>
      <c r="AW1201" s="49"/>
      <c r="AX1201" s="49"/>
      <c r="AY1201" s="49"/>
      <c r="AZ1201" s="49"/>
      <c r="BA1201" s="49"/>
      <c r="BB1201" s="49"/>
      <c r="BC1201" s="49"/>
      <c r="BD1201" s="49"/>
      <c r="BE1201" s="49"/>
      <c r="BF1201" s="68"/>
    </row>
    <row r="1202" spans="1:58" s="51" customFormat="1">
      <c r="A1202" s="1050"/>
      <c r="B1202" s="999"/>
      <c r="C1202" s="190"/>
      <c r="D1202" s="84">
        <v>2025</v>
      </c>
      <c r="E1202" s="63">
        <f t="shared" si="409"/>
        <v>0.9335</v>
      </c>
      <c r="F1202" s="63">
        <v>0.9335</v>
      </c>
      <c r="G1202" s="63">
        <v>0</v>
      </c>
      <c r="H1202" s="63">
        <v>0</v>
      </c>
      <c r="I1202" s="63">
        <v>0</v>
      </c>
      <c r="J1202" s="63">
        <v>0</v>
      </c>
      <c r="K1202" s="76">
        <v>0</v>
      </c>
      <c r="L1202" s="497"/>
      <c r="M1202" s="581"/>
      <c r="N1202" s="88"/>
      <c r="O1202" s="301"/>
      <c r="P1202" s="184"/>
      <c r="Q1202" s="49"/>
      <c r="R1202" s="49"/>
      <c r="S1202" s="49"/>
      <c r="T1202" s="49"/>
      <c r="U1202" s="49"/>
      <c r="V1202" s="49"/>
      <c r="W1202" s="49"/>
      <c r="X1202" s="49"/>
      <c r="Y1202" s="49"/>
      <c r="Z1202" s="49"/>
      <c r="AA1202" s="49"/>
      <c r="AB1202" s="49"/>
      <c r="AC1202" s="49"/>
      <c r="AD1202" s="49"/>
      <c r="AE1202" s="49"/>
      <c r="AF1202" s="49"/>
      <c r="AG1202" s="49"/>
      <c r="AH1202" s="49"/>
      <c r="AI1202" s="49"/>
      <c r="AJ1202" s="49"/>
      <c r="AK1202" s="49"/>
      <c r="AL1202" s="49"/>
      <c r="AM1202" s="49"/>
      <c r="AN1202" s="49"/>
      <c r="AO1202" s="49"/>
      <c r="AP1202" s="49"/>
      <c r="AQ1202" s="49"/>
      <c r="AR1202" s="49"/>
      <c r="AS1202" s="49"/>
      <c r="AT1202" s="49"/>
      <c r="AU1202" s="49"/>
      <c r="AV1202" s="49"/>
      <c r="AW1202" s="49"/>
      <c r="AX1202" s="49"/>
      <c r="AY1202" s="49"/>
      <c r="AZ1202" s="49"/>
      <c r="BA1202" s="49"/>
      <c r="BB1202" s="49"/>
      <c r="BC1202" s="49"/>
      <c r="BD1202" s="49"/>
      <c r="BE1202" s="49"/>
      <c r="BF1202" s="68"/>
    </row>
    <row r="1203" spans="1:58" s="51" customFormat="1" ht="11.25" customHeight="1">
      <c r="A1203" s="1190" t="s">
        <v>1358</v>
      </c>
      <c r="B1203" s="929" t="s">
        <v>1038</v>
      </c>
      <c r="C1203" s="1186"/>
      <c r="D1203" s="84" t="s">
        <v>16</v>
      </c>
      <c r="E1203" s="313">
        <f>SUM(E1204:E1210)</f>
        <v>8.9748699999999992</v>
      </c>
      <c r="F1203" s="313">
        <f>SUM(F1204:F1210)</f>
        <v>8.9748699999999992</v>
      </c>
      <c r="G1203" s="313">
        <f>SUM(G1204:G1210)</f>
        <v>0</v>
      </c>
      <c r="H1203" s="313">
        <f>SUM(H1204:H1210)</f>
        <v>0</v>
      </c>
      <c r="I1203" s="313">
        <f>SUM(I1204:I1210)</f>
        <v>0</v>
      </c>
      <c r="J1203" s="313">
        <v>0</v>
      </c>
      <c r="K1203" s="76">
        <v>0</v>
      </c>
      <c r="L1203" s="497">
        <f>F1203+G1203+H1203+I1203+J1203</f>
        <v>8.9748699999999992</v>
      </c>
      <c r="M1203" s="581"/>
      <c r="N1203" s="88"/>
      <c r="O1203" s="301"/>
      <c r="P1203" s="842" t="s">
        <v>360</v>
      </c>
      <c r="Q1203" s="49"/>
      <c r="R1203" s="49"/>
      <c r="S1203" s="49"/>
      <c r="T1203" s="49"/>
      <c r="U1203" s="49"/>
      <c r="V1203" s="49"/>
      <c r="W1203" s="49"/>
      <c r="X1203" s="49"/>
      <c r="Y1203" s="49"/>
      <c r="Z1203" s="49"/>
      <c r="AA1203" s="49"/>
      <c r="AB1203" s="49"/>
      <c r="AC1203" s="49"/>
      <c r="AD1203" s="49"/>
      <c r="AE1203" s="49"/>
      <c r="AF1203" s="49"/>
      <c r="AG1203" s="49"/>
      <c r="AH1203" s="49"/>
      <c r="AI1203" s="49"/>
      <c r="AJ1203" s="49"/>
      <c r="AK1203" s="49"/>
      <c r="AL1203" s="49"/>
      <c r="AM1203" s="49"/>
      <c r="AN1203" s="49"/>
      <c r="AO1203" s="49"/>
      <c r="AP1203" s="49"/>
      <c r="AQ1203" s="49"/>
      <c r="AR1203" s="49"/>
      <c r="AS1203" s="49"/>
      <c r="AT1203" s="49"/>
      <c r="AU1203" s="49"/>
      <c r="AV1203" s="49"/>
      <c r="AW1203" s="49"/>
      <c r="AX1203" s="49"/>
      <c r="AY1203" s="49"/>
      <c r="AZ1203" s="49"/>
      <c r="BA1203" s="49"/>
      <c r="BB1203" s="49"/>
      <c r="BC1203" s="49"/>
      <c r="BD1203" s="49"/>
      <c r="BE1203" s="49"/>
      <c r="BF1203" s="68"/>
    </row>
    <row r="1204" spans="1:58" s="51" customFormat="1">
      <c r="A1204" s="1191"/>
      <c r="B1204" s="953"/>
      <c r="C1204" s="1187"/>
      <c r="D1204" s="84">
        <v>2019</v>
      </c>
      <c r="E1204" s="136">
        <f>E1212+E1234+E1242</f>
        <v>1.7753899999999998</v>
      </c>
      <c r="F1204" s="136">
        <f>F1212+F1234+F1242</f>
        <v>1.7753899999999998</v>
      </c>
      <c r="G1204" s="136">
        <f t="shared" ref="G1204:J1206" si="410">G1212+G1234</f>
        <v>0</v>
      </c>
      <c r="H1204" s="136">
        <f t="shared" si="410"/>
        <v>0</v>
      </c>
      <c r="I1204" s="136">
        <f t="shared" si="410"/>
        <v>0</v>
      </c>
      <c r="J1204" s="313">
        <f t="shared" si="410"/>
        <v>0</v>
      </c>
      <c r="K1204" s="76">
        <v>0</v>
      </c>
      <c r="L1204" s="497">
        <f>F1204+G1204+H1204+I1204+J1204</f>
        <v>1.7753899999999998</v>
      </c>
      <c r="M1204" s="581"/>
      <c r="N1204" s="88"/>
      <c r="O1204" s="301"/>
      <c r="P1204" s="1125"/>
      <c r="Q1204" s="49"/>
      <c r="R1204" s="49"/>
      <c r="S1204" s="49"/>
      <c r="T1204" s="49"/>
      <c r="U1204" s="49"/>
      <c r="V1204" s="49"/>
      <c r="W1204" s="49"/>
      <c r="X1204" s="49"/>
      <c r="Y1204" s="49"/>
      <c r="Z1204" s="49"/>
      <c r="AA1204" s="49"/>
      <c r="AB1204" s="49"/>
      <c r="AC1204" s="49"/>
      <c r="AD1204" s="49"/>
      <c r="AE1204" s="49"/>
      <c r="AF1204" s="49"/>
      <c r="AG1204" s="49"/>
      <c r="AH1204" s="49"/>
      <c r="AI1204" s="49"/>
      <c r="AJ1204" s="49"/>
      <c r="AK1204" s="49"/>
      <c r="AL1204" s="49"/>
      <c r="AM1204" s="49"/>
      <c r="AN1204" s="49"/>
      <c r="AO1204" s="49"/>
      <c r="AP1204" s="49"/>
      <c r="AQ1204" s="49"/>
      <c r="AR1204" s="49"/>
      <c r="AS1204" s="49"/>
      <c r="AT1204" s="49"/>
      <c r="AU1204" s="49"/>
      <c r="AV1204" s="49"/>
      <c r="AW1204" s="49"/>
      <c r="AX1204" s="49"/>
      <c r="AY1204" s="49"/>
      <c r="AZ1204" s="49"/>
      <c r="BA1204" s="49"/>
      <c r="BB1204" s="49"/>
      <c r="BC1204" s="49"/>
      <c r="BD1204" s="49"/>
      <c r="BE1204" s="49"/>
      <c r="BF1204" s="68"/>
    </row>
    <row r="1205" spans="1:58" s="51" customFormat="1">
      <c r="A1205" s="1191"/>
      <c r="B1205" s="953"/>
      <c r="C1205" s="1187"/>
      <c r="D1205" s="84">
        <v>2020</v>
      </c>
      <c r="E1205" s="136">
        <f>E1213+E1228+E1243</f>
        <v>1.3309</v>
      </c>
      <c r="F1205" s="136">
        <f>F1213+F1228+F1243</f>
        <v>1.3309</v>
      </c>
      <c r="G1205" s="136">
        <f t="shared" si="410"/>
        <v>0</v>
      </c>
      <c r="H1205" s="136">
        <f t="shared" si="410"/>
        <v>0</v>
      </c>
      <c r="I1205" s="136">
        <f t="shared" si="410"/>
        <v>0</v>
      </c>
      <c r="J1205" s="313">
        <f t="shared" si="410"/>
        <v>0</v>
      </c>
      <c r="K1205" s="76">
        <v>0</v>
      </c>
      <c r="L1205" s="497">
        <f>F1205+G1205+H1205+I1205+J1205</f>
        <v>1.3309</v>
      </c>
      <c r="M1205" s="581"/>
      <c r="N1205" s="88"/>
      <c r="O1205" s="301"/>
      <c r="P1205" s="1125"/>
      <c r="Q1205" s="49"/>
      <c r="R1205" s="49"/>
      <c r="S1205" s="49"/>
      <c r="T1205" s="49"/>
      <c r="U1205" s="49"/>
      <c r="V1205" s="49"/>
      <c r="W1205" s="49"/>
      <c r="X1205" s="49"/>
      <c r="Y1205" s="49"/>
      <c r="Z1205" s="49"/>
      <c r="AA1205" s="49"/>
      <c r="AB1205" s="49"/>
      <c r="AC1205" s="49"/>
      <c r="AD1205" s="49"/>
      <c r="AE1205" s="49"/>
      <c r="AF1205" s="49"/>
      <c r="AG1205" s="49"/>
      <c r="AH1205" s="49"/>
      <c r="AI1205" s="49"/>
      <c r="AJ1205" s="49"/>
      <c r="AK1205" s="49"/>
      <c r="AL1205" s="49"/>
      <c r="AM1205" s="49"/>
      <c r="AN1205" s="49"/>
      <c r="AO1205" s="49"/>
      <c r="AP1205" s="49"/>
      <c r="AQ1205" s="49"/>
      <c r="AR1205" s="49"/>
      <c r="AS1205" s="49"/>
      <c r="AT1205" s="49"/>
      <c r="AU1205" s="49"/>
      <c r="AV1205" s="49"/>
      <c r="AW1205" s="49"/>
      <c r="AX1205" s="49"/>
      <c r="AY1205" s="49"/>
      <c r="AZ1205" s="49"/>
      <c r="BA1205" s="49"/>
      <c r="BB1205" s="49"/>
      <c r="BC1205" s="49"/>
      <c r="BD1205" s="49"/>
      <c r="BE1205" s="49"/>
      <c r="BF1205" s="68"/>
    </row>
    <row r="1206" spans="1:58" s="51" customFormat="1">
      <c r="A1206" s="1191"/>
      <c r="B1206" s="953"/>
      <c r="C1206" s="1187"/>
      <c r="D1206" s="84">
        <v>2021</v>
      </c>
      <c r="E1206" s="136">
        <f>E1214+E1236+E1244</f>
        <v>0.8669</v>
      </c>
      <c r="F1206" s="136">
        <f>F1214+F1236+F1244</f>
        <v>0.8669</v>
      </c>
      <c r="G1206" s="136">
        <f t="shared" si="410"/>
        <v>0</v>
      </c>
      <c r="H1206" s="136">
        <f t="shared" si="410"/>
        <v>0</v>
      </c>
      <c r="I1206" s="136">
        <f t="shared" si="410"/>
        <v>0</v>
      </c>
      <c r="J1206" s="313">
        <f t="shared" si="410"/>
        <v>0</v>
      </c>
      <c r="K1206" s="76">
        <v>0</v>
      </c>
      <c r="L1206" s="497">
        <f>F1206+G1206+H1206+I1206+J1206</f>
        <v>0.8669</v>
      </c>
      <c r="M1206" s="581"/>
      <c r="N1206" s="88"/>
      <c r="O1206" s="301"/>
      <c r="P1206" s="1125"/>
      <c r="Q1206" s="49"/>
      <c r="R1206" s="49"/>
      <c r="S1206" s="49"/>
      <c r="T1206" s="49"/>
      <c r="U1206" s="49"/>
      <c r="V1206" s="49"/>
      <c r="W1206" s="49"/>
      <c r="X1206" s="49"/>
      <c r="Y1206" s="49"/>
      <c r="Z1206" s="49"/>
      <c r="AA1206" s="49"/>
      <c r="AB1206" s="49"/>
      <c r="AC1206" s="49"/>
      <c r="AD1206" s="49"/>
      <c r="AE1206" s="49"/>
      <c r="AF1206" s="49"/>
      <c r="AG1206" s="49"/>
      <c r="AH1206" s="49"/>
      <c r="AI1206" s="49"/>
      <c r="AJ1206" s="49"/>
      <c r="AK1206" s="49"/>
      <c r="AL1206" s="49"/>
      <c r="AM1206" s="49"/>
      <c r="AN1206" s="49"/>
      <c r="AO1206" s="49"/>
      <c r="AP1206" s="49"/>
      <c r="AQ1206" s="49"/>
      <c r="AR1206" s="49"/>
      <c r="AS1206" s="49"/>
      <c r="AT1206" s="49"/>
      <c r="AU1206" s="49"/>
      <c r="AV1206" s="49"/>
      <c r="AW1206" s="49"/>
      <c r="AX1206" s="49"/>
      <c r="AY1206" s="49"/>
      <c r="AZ1206" s="49"/>
      <c r="BA1206" s="49"/>
      <c r="BB1206" s="49"/>
      <c r="BC1206" s="49"/>
      <c r="BD1206" s="49"/>
      <c r="BE1206" s="49"/>
      <c r="BF1206" s="68"/>
    </row>
    <row r="1207" spans="1:58" s="51" customFormat="1">
      <c r="A1207" s="1204"/>
      <c r="B1207" s="868"/>
      <c r="C1207" s="1187"/>
      <c r="D1207" s="84">
        <v>2022</v>
      </c>
      <c r="E1207" s="136">
        <f t="shared" ref="E1207:J1207" si="411">E1215+E1230+E1245</f>
        <v>0.89569999999999994</v>
      </c>
      <c r="F1207" s="136">
        <f t="shared" si="411"/>
        <v>0.89569999999999994</v>
      </c>
      <c r="G1207" s="136">
        <f t="shared" si="411"/>
        <v>0</v>
      </c>
      <c r="H1207" s="136">
        <f t="shared" si="411"/>
        <v>0</v>
      </c>
      <c r="I1207" s="136">
        <f t="shared" si="411"/>
        <v>0</v>
      </c>
      <c r="J1207" s="313">
        <f t="shared" si="411"/>
        <v>0</v>
      </c>
      <c r="K1207" s="76">
        <v>0</v>
      </c>
      <c r="L1207" s="474">
        <f>L1215+L1237+L1245</f>
        <v>0.89569999999999994</v>
      </c>
      <c r="M1207" s="581"/>
      <c r="N1207" s="88"/>
      <c r="O1207" s="301"/>
      <c r="P1207" s="1125"/>
      <c r="Q1207" s="49"/>
      <c r="R1207" s="49"/>
      <c r="S1207" s="49"/>
      <c r="T1207" s="49"/>
      <c r="U1207" s="49"/>
      <c r="V1207" s="49"/>
      <c r="W1207" s="49"/>
      <c r="X1207" s="49"/>
      <c r="Y1207" s="49"/>
      <c r="Z1207" s="49"/>
      <c r="AA1207" s="49"/>
      <c r="AB1207" s="49"/>
      <c r="AC1207" s="49"/>
      <c r="AD1207" s="49"/>
      <c r="AE1207" s="49"/>
      <c r="AF1207" s="49"/>
      <c r="AG1207" s="49"/>
      <c r="AH1207" s="49"/>
      <c r="AI1207" s="49"/>
      <c r="AJ1207" s="49"/>
      <c r="AK1207" s="49"/>
      <c r="AL1207" s="49"/>
      <c r="AM1207" s="49"/>
      <c r="AN1207" s="49"/>
      <c r="AO1207" s="49"/>
      <c r="AP1207" s="49"/>
      <c r="AQ1207" s="49"/>
      <c r="AR1207" s="49"/>
      <c r="AS1207" s="49"/>
      <c r="AT1207" s="49"/>
      <c r="AU1207" s="49"/>
      <c r="AV1207" s="49"/>
      <c r="AW1207" s="49"/>
      <c r="AX1207" s="49"/>
      <c r="AY1207" s="49"/>
      <c r="AZ1207" s="49"/>
      <c r="BA1207" s="49"/>
      <c r="BB1207" s="49"/>
      <c r="BC1207" s="49"/>
      <c r="BD1207" s="49"/>
      <c r="BE1207" s="49"/>
      <c r="BF1207" s="68"/>
    </row>
    <row r="1208" spans="1:58" s="51" customFormat="1">
      <c r="A1208" s="1204"/>
      <c r="B1208" s="868"/>
      <c r="C1208" s="1187"/>
      <c r="D1208" s="84">
        <v>2023</v>
      </c>
      <c r="E1208" s="136">
        <f t="shared" ref="E1208:J1210" si="412">E1216+E1238+E1246</f>
        <v>0.92899999999999994</v>
      </c>
      <c r="F1208" s="136">
        <f t="shared" si="412"/>
        <v>0.92899999999999994</v>
      </c>
      <c r="G1208" s="136">
        <f t="shared" si="412"/>
        <v>0</v>
      </c>
      <c r="H1208" s="136">
        <f t="shared" si="412"/>
        <v>0</v>
      </c>
      <c r="I1208" s="136">
        <f t="shared" si="412"/>
        <v>0</v>
      </c>
      <c r="J1208" s="313">
        <f t="shared" si="412"/>
        <v>0</v>
      </c>
      <c r="K1208" s="76">
        <v>0</v>
      </c>
      <c r="L1208" s="497">
        <f t="shared" ref="L1208:L1239" si="413">F1208+G1208+H1208+I1208+J1208</f>
        <v>0.92899999999999994</v>
      </c>
      <c r="M1208" s="581"/>
      <c r="N1208" s="88"/>
      <c r="O1208" s="301"/>
      <c r="P1208" s="1125"/>
      <c r="Q1208" s="49"/>
      <c r="R1208" s="49"/>
      <c r="S1208" s="49"/>
      <c r="T1208" s="49"/>
      <c r="U1208" s="49"/>
      <c r="V1208" s="49"/>
      <c r="W1208" s="49"/>
      <c r="X1208" s="49"/>
      <c r="Y1208" s="49"/>
      <c r="Z1208" s="49"/>
      <c r="AA1208" s="49"/>
      <c r="AB1208" s="49"/>
      <c r="AC1208" s="49"/>
      <c r="AD1208" s="49"/>
      <c r="AE1208" s="49"/>
      <c r="AF1208" s="49"/>
      <c r="AG1208" s="49"/>
      <c r="AH1208" s="49"/>
      <c r="AI1208" s="49"/>
      <c r="AJ1208" s="49"/>
      <c r="AK1208" s="49"/>
      <c r="AL1208" s="49"/>
      <c r="AM1208" s="49"/>
      <c r="AN1208" s="49"/>
      <c r="AO1208" s="49"/>
      <c r="AP1208" s="49"/>
      <c r="AQ1208" s="49"/>
      <c r="AR1208" s="49"/>
      <c r="AS1208" s="49"/>
      <c r="AT1208" s="49"/>
      <c r="AU1208" s="49"/>
      <c r="AV1208" s="49"/>
      <c r="AW1208" s="49"/>
      <c r="AX1208" s="49"/>
      <c r="AY1208" s="49"/>
      <c r="AZ1208" s="49"/>
      <c r="BA1208" s="49"/>
      <c r="BB1208" s="49"/>
      <c r="BC1208" s="49"/>
      <c r="BD1208" s="49"/>
      <c r="BE1208" s="49"/>
      <c r="BF1208" s="68"/>
    </row>
    <row r="1209" spans="1:58" s="51" customFormat="1">
      <c r="A1209" s="1204"/>
      <c r="B1209" s="868"/>
      <c r="C1209" s="1187"/>
      <c r="D1209" s="84">
        <v>2024</v>
      </c>
      <c r="E1209" s="136">
        <f t="shared" si="412"/>
        <v>1.5569999999999999</v>
      </c>
      <c r="F1209" s="136">
        <f t="shared" si="412"/>
        <v>1.5569999999999999</v>
      </c>
      <c r="G1209" s="136">
        <f t="shared" si="412"/>
        <v>0</v>
      </c>
      <c r="H1209" s="136">
        <f t="shared" si="412"/>
        <v>0</v>
      </c>
      <c r="I1209" s="136">
        <f t="shared" si="412"/>
        <v>0</v>
      </c>
      <c r="J1209" s="313">
        <f t="shared" si="412"/>
        <v>0</v>
      </c>
      <c r="K1209" s="76">
        <v>0</v>
      </c>
      <c r="L1209" s="497">
        <f t="shared" si="413"/>
        <v>1.5569999999999999</v>
      </c>
      <c r="M1209" s="581"/>
      <c r="N1209" s="88"/>
      <c r="O1209" s="301"/>
      <c r="P1209" s="1125"/>
      <c r="Q1209" s="49"/>
      <c r="R1209" s="49"/>
      <c r="S1209" s="49"/>
      <c r="T1209" s="49"/>
      <c r="U1209" s="49"/>
      <c r="V1209" s="49"/>
      <c r="W1209" s="49"/>
      <c r="X1209" s="49"/>
      <c r="Y1209" s="49"/>
      <c r="Z1209" s="49"/>
      <c r="AA1209" s="49"/>
      <c r="AB1209" s="49"/>
      <c r="AC1209" s="49"/>
      <c r="AD1209" s="49"/>
      <c r="AE1209" s="49"/>
      <c r="AF1209" s="49"/>
      <c r="AG1209" s="49"/>
      <c r="AH1209" s="49"/>
      <c r="AI1209" s="49"/>
      <c r="AJ1209" s="49"/>
      <c r="AK1209" s="49"/>
      <c r="AL1209" s="49"/>
      <c r="AM1209" s="49"/>
      <c r="AN1209" s="49"/>
      <c r="AO1209" s="49"/>
      <c r="AP1209" s="49"/>
      <c r="AQ1209" s="49"/>
      <c r="AR1209" s="49"/>
      <c r="AS1209" s="49"/>
      <c r="AT1209" s="49"/>
      <c r="AU1209" s="49"/>
      <c r="AV1209" s="49"/>
      <c r="AW1209" s="49"/>
      <c r="AX1209" s="49"/>
      <c r="AY1209" s="49"/>
      <c r="AZ1209" s="49"/>
      <c r="BA1209" s="49"/>
      <c r="BB1209" s="49"/>
      <c r="BC1209" s="49"/>
      <c r="BD1209" s="49"/>
      <c r="BE1209" s="49"/>
      <c r="BF1209" s="68"/>
    </row>
    <row r="1210" spans="1:58" s="51" customFormat="1">
      <c r="A1210" s="1204"/>
      <c r="B1210" s="868"/>
      <c r="C1210" s="1188"/>
      <c r="D1210" s="84">
        <v>2025</v>
      </c>
      <c r="E1210" s="136">
        <f t="shared" si="412"/>
        <v>1.6199800000000002</v>
      </c>
      <c r="F1210" s="136">
        <f t="shared" si="412"/>
        <v>1.6199800000000002</v>
      </c>
      <c r="G1210" s="136">
        <f t="shared" si="412"/>
        <v>0</v>
      </c>
      <c r="H1210" s="136">
        <f t="shared" si="412"/>
        <v>0</v>
      </c>
      <c r="I1210" s="136">
        <f t="shared" si="412"/>
        <v>0</v>
      </c>
      <c r="J1210" s="313">
        <f t="shared" si="412"/>
        <v>0</v>
      </c>
      <c r="K1210" s="76">
        <v>0</v>
      </c>
      <c r="L1210" s="497">
        <f t="shared" si="413"/>
        <v>1.6199800000000002</v>
      </c>
      <c r="M1210" s="581"/>
      <c r="N1210" s="88"/>
      <c r="O1210" s="301"/>
      <c r="P1210" s="1125"/>
      <c r="Q1210" s="49"/>
      <c r="R1210" s="49"/>
      <c r="S1210" s="49"/>
      <c r="T1210" s="49"/>
      <c r="U1210" s="49"/>
      <c r="V1210" s="49"/>
      <c r="W1210" s="49"/>
      <c r="X1210" s="49"/>
      <c r="Y1210" s="49"/>
      <c r="Z1210" s="49"/>
      <c r="AA1210" s="49"/>
      <c r="AB1210" s="49"/>
      <c r="AC1210" s="49"/>
      <c r="AD1210" s="49"/>
      <c r="AE1210" s="49"/>
      <c r="AF1210" s="49"/>
      <c r="AG1210" s="49"/>
      <c r="AH1210" s="49"/>
      <c r="AI1210" s="49"/>
      <c r="AJ1210" s="49"/>
      <c r="AK1210" s="49"/>
      <c r="AL1210" s="49"/>
      <c r="AM1210" s="49"/>
      <c r="AN1210" s="49"/>
      <c r="AO1210" s="49"/>
      <c r="AP1210" s="49"/>
      <c r="AQ1210" s="49"/>
      <c r="AR1210" s="49"/>
      <c r="AS1210" s="49"/>
      <c r="AT1210" s="49"/>
      <c r="AU1210" s="49"/>
      <c r="AV1210" s="49"/>
      <c r="AW1210" s="49"/>
      <c r="AX1210" s="49"/>
      <c r="AY1210" s="49"/>
      <c r="AZ1210" s="49"/>
      <c r="BA1210" s="49"/>
      <c r="BB1210" s="49"/>
      <c r="BC1210" s="49"/>
      <c r="BD1210" s="49"/>
      <c r="BE1210" s="49"/>
      <c r="BF1210" s="68"/>
    </row>
    <row r="1211" spans="1:58" s="51" customFormat="1" ht="19.5" customHeight="1">
      <c r="A1211" s="1078" t="s">
        <v>1359</v>
      </c>
      <c r="B1211" s="1080" t="s">
        <v>1041</v>
      </c>
      <c r="C1211" s="490"/>
      <c r="D1211" s="84" t="s">
        <v>16</v>
      </c>
      <c r="E1211" s="313">
        <f t="shared" ref="E1211:J1211" si="414">E1212+E1213+E1214+E1215+E1216+E1217+E1218</f>
        <v>2.2690300000000003</v>
      </c>
      <c r="F1211" s="313">
        <f t="shared" si="414"/>
        <v>2.2690300000000003</v>
      </c>
      <c r="G1211" s="313">
        <f t="shared" si="414"/>
        <v>0</v>
      </c>
      <c r="H1211" s="313">
        <f t="shared" si="414"/>
        <v>0</v>
      </c>
      <c r="I1211" s="313">
        <f t="shared" si="414"/>
        <v>0</v>
      </c>
      <c r="J1211" s="313">
        <f t="shared" si="414"/>
        <v>0</v>
      </c>
      <c r="K1211" s="76">
        <v>0</v>
      </c>
      <c r="L1211" s="497">
        <f t="shared" si="413"/>
        <v>2.2690300000000003</v>
      </c>
      <c r="M1211" s="581"/>
      <c r="N1211" s="88"/>
      <c r="O1211" s="301"/>
      <c r="P1211" s="1125"/>
      <c r="Q1211" s="49"/>
      <c r="R1211" s="49"/>
      <c r="S1211" s="49"/>
      <c r="T1211" s="49"/>
      <c r="U1211" s="49"/>
      <c r="V1211" s="49"/>
      <c r="W1211" s="49"/>
      <c r="X1211" s="49"/>
      <c r="Y1211" s="49"/>
      <c r="Z1211" s="49"/>
      <c r="AA1211" s="49"/>
      <c r="AB1211" s="49"/>
      <c r="AC1211" s="49"/>
      <c r="AD1211" s="49"/>
      <c r="AE1211" s="49"/>
      <c r="AF1211" s="49"/>
      <c r="AG1211" s="49"/>
      <c r="AH1211" s="49"/>
      <c r="AI1211" s="49"/>
      <c r="AJ1211" s="49"/>
      <c r="AK1211" s="49"/>
      <c r="AL1211" s="49"/>
      <c r="AM1211" s="49"/>
      <c r="AN1211" s="49"/>
      <c r="AO1211" s="49"/>
      <c r="AP1211" s="49"/>
      <c r="AQ1211" s="49"/>
      <c r="AR1211" s="49"/>
      <c r="AS1211" s="49"/>
      <c r="AT1211" s="49"/>
      <c r="AU1211" s="49"/>
      <c r="AV1211" s="49"/>
      <c r="AW1211" s="49"/>
      <c r="AX1211" s="49"/>
      <c r="AY1211" s="49"/>
      <c r="AZ1211" s="49"/>
      <c r="BA1211" s="49"/>
      <c r="BB1211" s="49"/>
      <c r="BC1211" s="49"/>
      <c r="BD1211" s="49"/>
      <c r="BE1211" s="49"/>
      <c r="BF1211" s="68"/>
    </row>
    <row r="1212" spans="1:58" s="51" customFormat="1" ht="12.75" customHeight="1">
      <c r="A1212" s="1189"/>
      <c r="B1212" s="960"/>
      <c r="C1212" s="490"/>
      <c r="D1212" s="62">
        <v>2019</v>
      </c>
      <c r="E1212" s="63">
        <f>F1212+G1212+H1212+I1212+J1212</f>
        <v>0.74209999999999998</v>
      </c>
      <c r="F1212" s="63">
        <f t="shared" ref="F1212:J1218" si="415">F1219</f>
        <v>0.74209999999999998</v>
      </c>
      <c r="G1212" s="63">
        <f t="shared" si="415"/>
        <v>0</v>
      </c>
      <c r="H1212" s="63">
        <f t="shared" si="415"/>
        <v>0</v>
      </c>
      <c r="I1212" s="63">
        <f t="shared" si="415"/>
        <v>0</v>
      </c>
      <c r="J1212" s="63">
        <f t="shared" si="415"/>
        <v>0</v>
      </c>
      <c r="K1212" s="76">
        <v>0</v>
      </c>
      <c r="L1212" s="497">
        <f t="shared" si="413"/>
        <v>0.74209999999999998</v>
      </c>
      <c r="M1212" s="581"/>
      <c r="N1212" s="88"/>
      <c r="O1212" s="301"/>
      <c r="P1212" s="1125"/>
      <c r="Q1212" s="49"/>
      <c r="R1212" s="49"/>
      <c r="S1212" s="49"/>
      <c r="T1212" s="49"/>
      <c r="U1212" s="49"/>
      <c r="V1212" s="49"/>
      <c r="W1212" s="49"/>
      <c r="X1212" s="49"/>
      <c r="Y1212" s="49"/>
      <c r="Z1212" s="49"/>
      <c r="AA1212" s="49"/>
      <c r="AB1212" s="49"/>
      <c r="AC1212" s="49"/>
      <c r="AD1212" s="49"/>
      <c r="AE1212" s="49"/>
      <c r="AF1212" s="49"/>
      <c r="AG1212" s="49"/>
      <c r="AH1212" s="49"/>
      <c r="AI1212" s="49"/>
      <c r="AJ1212" s="49"/>
      <c r="AK1212" s="49"/>
      <c r="AL1212" s="49"/>
      <c r="AM1212" s="49"/>
      <c r="AN1212" s="49"/>
      <c r="AO1212" s="49"/>
      <c r="AP1212" s="49"/>
      <c r="AQ1212" s="49"/>
      <c r="AR1212" s="49"/>
      <c r="AS1212" s="49"/>
      <c r="AT1212" s="49"/>
      <c r="AU1212" s="49"/>
      <c r="AV1212" s="49"/>
      <c r="AW1212" s="49"/>
      <c r="AX1212" s="49"/>
      <c r="AY1212" s="49"/>
      <c r="AZ1212" s="49"/>
      <c r="BA1212" s="49"/>
      <c r="BB1212" s="49"/>
      <c r="BC1212" s="49"/>
      <c r="BD1212" s="49"/>
      <c r="BE1212" s="49"/>
      <c r="BF1212" s="68"/>
    </row>
    <row r="1213" spans="1:58" s="51" customFormat="1" ht="12.75" customHeight="1">
      <c r="A1213" s="1189"/>
      <c r="B1213" s="960"/>
      <c r="C1213" s="490"/>
      <c r="D1213" s="62">
        <v>2020</v>
      </c>
      <c r="E1213" s="63">
        <f>F1213+G1213+H1213+I1213+J1213</f>
        <v>0.4511</v>
      </c>
      <c r="F1213" s="63">
        <f t="shared" si="415"/>
        <v>0.4511</v>
      </c>
      <c r="G1213" s="63">
        <f t="shared" si="415"/>
        <v>0</v>
      </c>
      <c r="H1213" s="63">
        <f t="shared" si="415"/>
        <v>0</v>
      </c>
      <c r="I1213" s="63">
        <f t="shared" si="415"/>
        <v>0</v>
      </c>
      <c r="J1213" s="63">
        <f t="shared" si="415"/>
        <v>0</v>
      </c>
      <c r="K1213" s="76">
        <v>0</v>
      </c>
      <c r="L1213" s="497">
        <f t="shared" si="413"/>
        <v>0.4511</v>
      </c>
      <c r="M1213" s="581"/>
      <c r="N1213" s="88"/>
      <c r="O1213" s="301"/>
      <c r="P1213" s="1125"/>
      <c r="Q1213" s="49"/>
      <c r="R1213" s="49"/>
      <c r="S1213" s="49"/>
      <c r="T1213" s="49"/>
      <c r="U1213" s="49"/>
      <c r="V1213" s="49"/>
      <c r="W1213" s="49"/>
      <c r="X1213" s="49"/>
      <c r="Y1213" s="49"/>
      <c r="Z1213" s="49"/>
      <c r="AA1213" s="49"/>
      <c r="AB1213" s="49"/>
      <c r="AC1213" s="49"/>
      <c r="AD1213" s="49"/>
      <c r="AE1213" s="49"/>
      <c r="AF1213" s="49"/>
      <c r="AG1213" s="49"/>
      <c r="AH1213" s="49"/>
      <c r="AI1213" s="49"/>
      <c r="AJ1213" s="49"/>
      <c r="AK1213" s="49"/>
      <c r="AL1213" s="49"/>
      <c r="AM1213" s="49"/>
      <c r="AN1213" s="49"/>
      <c r="AO1213" s="49"/>
      <c r="AP1213" s="49"/>
      <c r="AQ1213" s="49"/>
      <c r="AR1213" s="49"/>
      <c r="AS1213" s="49"/>
      <c r="AT1213" s="49"/>
      <c r="AU1213" s="49"/>
      <c r="AV1213" s="49"/>
      <c r="AW1213" s="49"/>
      <c r="AX1213" s="49"/>
      <c r="AY1213" s="49"/>
      <c r="AZ1213" s="49"/>
      <c r="BA1213" s="49"/>
      <c r="BB1213" s="49"/>
      <c r="BC1213" s="49"/>
      <c r="BD1213" s="49"/>
      <c r="BE1213" s="49"/>
      <c r="BF1213" s="68"/>
    </row>
    <row r="1214" spans="1:58" s="51" customFormat="1" ht="12" customHeight="1">
      <c r="A1214" s="1189"/>
      <c r="B1214" s="960"/>
      <c r="C1214" s="490"/>
      <c r="D1214" s="62">
        <v>2021</v>
      </c>
      <c r="E1214" s="63">
        <f>E1221</f>
        <v>0</v>
      </c>
      <c r="F1214" s="63">
        <f t="shared" si="415"/>
        <v>0</v>
      </c>
      <c r="G1214" s="63">
        <f t="shared" si="415"/>
        <v>0</v>
      </c>
      <c r="H1214" s="63">
        <f t="shared" si="415"/>
        <v>0</v>
      </c>
      <c r="I1214" s="63">
        <f t="shared" si="415"/>
        <v>0</v>
      </c>
      <c r="J1214" s="63">
        <f t="shared" si="415"/>
        <v>0</v>
      </c>
      <c r="K1214" s="76">
        <v>0</v>
      </c>
      <c r="L1214" s="497">
        <f t="shared" si="413"/>
        <v>0</v>
      </c>
      <c r="M1214" s="581"/>
      <c r="N1214" s="88"/>
      <c r="O1214" s="301"/>
      <c r="P1214" s="1125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49"/>
      <c r="AU1214" s="49"/>
      <c r="AV1214" s="49"/>
      <c r="AW1214" s="49"/>
      <c r="AX1214" s="49"/>
      <c r="AY1214" s="49"/>
      <c r="AZ1214" s="49"/>
      <c r="BA1214" s="49"/>
      <c r="BB1214" s="49"/>
      <c r="BC1214" s="49"/>
      <c r="BD1214" s="49"/>
      <c r="BE1214" s="49"/>
      <c r="BF1214" s="68"/>
    </row>
    <row r="1215" spans="1:58" s="51" customFormat="1" ht="12" customHeight="1">
      <c r="A1215" s="1189"/>
      <c r="B1215" s="960"/>
      <c r="C1215" s="490"/>
      <c r="D1215" s="62">
        <v>2022</v>
      </c>
      <c r="E1215" s="63">
        <f>F1215</f>
        <v>0</v>
      </c>
      <c r="F1215" s="63">
        <f t="shared" si="415"/>
        <v>0</v>
      </c>
      <c r="G1215" s="63">
        <f t="shared" si="415"/>
        <v>0</v>
      </c>
      <c r="H1215" s="63">
        <f t="shared" si="415"/>
        <v>0</v>
      </c>
      <c r="I1215" s="63">
        <f t="shared" si="415"/>
        <v>0</v>
      </c>
      <c r="J1215" s="63">
        <f t="shared" si="415"/>
        <v>0</v>
      </c>
      <c r="K1215" s="76">
        <v>0</v>
      </c>
      <c r="L1215" s="497">
        <f t="shared" si="413"/>
        <v>0</v>
      </c>
      <c r="M1215" s="581"/>
      <c r="N1215" s="88"/>
      <c r="O1215" s="301"/>
      <c r="P1215" s="1125"/>
      <c r="Q1215" s="49"/>
      <c r="R1215" s="49"/>
      <c r="S1215" s="49"/>
      <c r="T1215" s="49"/>
      <c r="U1215" s="49"/>
      <c r="V1215" s="49"/>
      <c r="W1215" s="49"/>
      <c r="X1215" s="49"/>
      <c r="Y1215" s="49"/>
      <c r="Z1215" s="49"/>
      <c r="AA1215" s="49"/>
      <c r="AB1215" s="49"/>
      <c r="AC1215" s="49"/>
      <c r="AD1215" s="49"/>
      <c r="AE1215" s="49"/>
      <c r="AF1215" s="49"/>
      <c r="AG1215" s="49"/>
      <c r="AH1215" s="49"/>
      <c r="AI1215" s="49"/>
      <c r="AJ1215" s="49"/>
      <c r="AK1215" s="49"/>
      <c r="AL1215" s="49"/>
      <c r="AM1215" s="49"/>
      <c r="AN1215" s="49"/>
      <c r="AO1215" s="49"/>
      <c r="AP1215" s="49"/>
      <c r="AQ1215" s="49"/>
      <c r="AR1215" s="49"/>
      <c r="AS1215" s="49"/>
      <c r="AT1215" s="49"/>
      <c r="AU1215" s="49"/>
      <c r="AV1215" s="49"/>
      <c r="AW1215" s="49"/>
      <c r="AX1215" s="49"/>
      <c r="AY1215" s="49"/>
      <c r="AZ1215" s="49"/>
      <c r="BA1215" s="49"/>
      <c r="BB1215" s="49"/>
      <c r="BC1215" s="49"/>
      <c r="BD1215" s="49"/>
      <c r="BE1215" s="49"/>
      <c r="BF1215" s="68"/>
    </row>
    <row r="1216" spans="1:58" s="51" customFormat="1" ht="12" customHeight="1">
      <c r="A1216" s="1189"/>
      <c r="B1216" s="960"/>
      <c r="C1216" s="490"/>
      <c r="D1216" s="62">
        <v>2023</v>
      </c>
      <c r="E1216" s="63">
        <f t="shared" ref="E1216:E1221" si="416">F1216+G1216+H1216+I1216+J1216</f>
        <v>0</v>
      </c>
      <c r="F1216" s="63">
        <f t="shared" si="415"/>
        <v>0</v>
      </c>
      <c r="G1216" s="63">
        <f t="shared" si="415"/>
        <v>0</v>
      </c>
      <c r="H1216" s="63">
        <f t="shared" si="415"/>
        <v>0</v>
      </c>
      <c r="I1216" s="63">
        <f t="shared" si="415"/>
        <v>0</v>
      </c>
      <c r="J1216" s="63">
        <f t="shared" si="415"/>
        <v>0</v>
      </c>
      <c r="K1216" s="76">
        <v>0</v>
      </c>
      <c r="L1216" s="497">
        <f t="shared" si="413"/>
        <v>0</v>
      </c>
      <c r="M1216" s="581"/>
      <c r="N1216" s="88"/>
      <c r="O1216" s="301"/>
      <c r="P1216" s="1125"/>
      <c r="Q1216" s="49"/>
      <c r="R1216" s="49"/>
      <c r="S1216" s="49"/>
      <c r="T1216" s="49"/>
      <c r="U1216" s="49"/>
      <c r="V1216" s="49"/>
      <c r="W1216" s="49"/>
      <c r="X1216" s="49"/>
      <c r="Y1216" s="49"/>
      <c r="Z1216" s="49"/>
      <c r="AA1216" s="49"/>
      <c r="AB1216" s="49"/>
      <c r="AC1216" s="49"/>
      <c r="AD1216" s="49"/>
      <c r="AE1216" s="49"/>
      <c r="AF1216" s="49"/>
      <c r="AG1216" s="49"/>
      <c r="AH1216" s="49"/>
      <c r="AI1216" s="49"/>
      <c r="AJ1216" s="49"/>
      <c r="AK1216" s="49"/>
      <c r="AL1216" s="49"/>
      <c r="AM1216" s="49"/>
      <c r="AN1216" s="49"/>
      <c r="AO1216" s="49"/>
      <c r="AP1216" s="49"/>
      <c r="AQ1216" s="49"/>
      <c r="AR1216" s="49"/>
      <c r="AS1216" s="49"/>
      <c r="AT1216" s="49"/>
      <c r="AU1216" s="49"/>
      <c r="AV1216" s="49"/>
      <c r="AW1216" s="49"/>
      <c r="AX1216" s="49"/>
      <c r="AY1216" s="49"/>
      <c r="AZ1216" s="49"/>
      <c r="BA1216" s="49"/>
      <c r="BB1216" s="49"/>
      <c r="BC1216" s="49"/>
      <c r="BD1216" s="49"/>
      <c r="BE1216" s="49"/>
      <c r="BF1216" s="68"/>
    </row>
    <row r="1217" spans="1:58" s="51" customFormat="1" ht="12" customHeight="1">
      <c r="A1217" s="1189"/>
      <c r="B1217" s="960"/>
      <c r="C1217" s="490"/>
      <c r="D1217" s="62">
        <v>2024</v>
      </c>
      <c r="E1217" s="63">
        <f t="shared" si="416"/>
        <v>0.52700000000000002</v>
      </c>
      <c r="F1217" s="63">
        <f t="shared" si="415"/>
        <v>0.52700000000000002</v>
      </c>
      <c r="G1217" s="63">
        <f t="shared" si="415"/>
        <v>0</v>
      </c>
      <c r="H1217" s="63">
        <f t="shared" si="415"/>
        <v>0</v>
      </c>
      <c r="I1217" s="63">
        <f t="shared" si="415"/>
        <v>0</v>
      </c>
      <c r="J1217" s="63">
        <f t="shared" si="415"/>
        <v>0</v>
      </c>
      <c r="K1217" s="76">
        <v>0</v>
      </c>
      <c r="L1217" s="497">
        <f t="shared" si="413"/>
        <v>0.52700000000000002</v>
      </c>
      <c r="M1217" s="581"/>
      <c r="N1217" s="88"/>
      <c r="O1217" s="301"/>
      <c r="P1217" s="1125"/>
      <c r="Q1217" s="49"/>
      <c r="R1217" s="49"/>
      <c r="S1217" s="49"/>
      <c r="T1217" s="49"/>
      <c r="U1217" s="49"/>
      <c r="V1217" s="49"/>
      <c r="W1217" s="49"/>
      <c r="X1217" s="49"/>
      <c r="Y1217" s="49"/>
      <c r="Z1217" s="49"/>
      <c r="AA1217" s="49"/>
      <c r="AB1217" s="49"/>
      <c r="AC1217" s="49"/>
      <c r="AD1217" s="49"/>
      <c r="AE1217" s="49"/>
      <c r="AF1217" s="49"/>
      <c r="AG1217" s="49"/>
      <c r="AH1217" s="49"/>
      <c r="AI1217" s="49"/>
      <c r="AJ1217" s="49"/>
      <c r="AK1217" s="49"/>
      <c r="AL1217" s="49"/>
      <c r="AM1217" s="49"/>
      <c r="AN1217" s="49"/>
      <c r="AO1217" s="49"/>
      <c r="AP1217" s="49"/>
      <c r="AQ1217" s="49"/>
      <c r="AR1217" s="49"/>
      <c r="AS1217" s="49"/>
      <c r="AT1217" s="49"/>
      <c r="AU1217" s="49"/>
      <c r="AV1217" s="49"/>
      <c r="AW1217" s="49"/>
      <c r="AX1217" s="49"/>
      <c r="AY1217" s="49"/>
      <c r="AZ1217" s="49"/>
      <c r="BA1217" s="49"/>
      <c r="BB1217" s="49"/>
      <c r="BC1217" s="49"/>
      <c r="BD1217" s="49"/>
      <c r="BE1217" s="49"/>
      <c r="BF1217" s="68"/>
    </row>
    <row r="1218" spans="1:58" s="51" customFormat="1" ht="12" customHeight="1">
      <c r="A1218" s="1189"/>
      <c r="B1218" s="960"/>
      <c r="C1218" s="490"/>
      <c r="D1218" s="62">
        <v>2025</v>
      </c>
      <c r="E1218" s="63">
        <f t="shared" si="416"/>
        <v>0.54883000000000004</v>
      </c>
      <c r="F1218" s="63">
        <f t="shared" si="415"/>
        <v>0.54883000000000004</v>
      </c>
      <c r="G1218" s="63">
        <f t="shared" si="415"/>
        <v>0</v>
      </c>
      <c r="H1218" s="63">
        <f t="shared" si="415"/>
        <v>0</v>
      </c>
      <c r="I1218" s="63">
        <f t="shared" si="415"/>
        <v>0</v>
      </c>
      <c r="J1218" s="63">
        <f t="shared" si="415"/>
        <v>0</v>
      </c>
      <c r="K1218" s="76">
        <v>0</v>
      </c>
      <c r="L1218" s="497">
        <f t="shared" si="413"/>
        <v>0.54883000000000004</v>
      </c>
      <c r="M1218" s="581"/>
      <c r="N1218" s="88"/>
      <c r="O1218" s="301"/>
      <c r="P1218" s="1125"/>
      <c r="Q1218" s="49"/>
      <c r="R1218" s="49"/>
      <c r="S1218" s="49"/>
      <c r="T1218" s="49"/>
      <c r="U1218" s="49"/>
      <c r="V1218" s="49"/>
      <c r="W1218" s="49"/>
      <c r="X1218" s="49"/>
      <c r="Y1218" s="49"/>
      <c r="Z1218" s="49"/>
      <c r="AA1218" s="49"/>
      <c r="AB1218" s="49"/>
      <c r="AC1218" s="49"/>
      <c r="AD1218" s="49"/>
      <c r="AE1218" s="49"/>
      <c r="AF1218" s="49"/>
      <c r="AG1218" s="49"/>
      <c r="AH1218" s="49"/>
      <c r="AI1218" s="49"/>
      <c r="AJ1218" s="49"/>
      <c r="AK1218" s="49"/>
      <c r="AL1218" s="49"/>
      <c r="AM1218" s="49"/>
      <c r="AN1218" s="49"/>
      <c r="AO1218" s="49"/>
      <c r="AP1218" s="49"/>
      <c r="AQ1218" s="49"/>
      <c r="AR1218" s="49"/>
      <c r="AS1218" s="49"/>
      <c r="AT1218" s="49"/>
      <c r="AU1218" s="49"/>
      <c r="AV1218" s="49"/>
      <c r="AW1218" s="49"/>
      <c r="AX1218" s="49"/>
      <c r="AY1218" s="49"/>
      <c r="AZ1218" s="49"/>
      <c r="BA1218" s="49"/>
      <c r="BB1218" s="49"/>
      <c r="BC1218" s="49"/>
      <c r="BD1218" s="49"/>
      <c r="BE1218" s="49"/>
      <c r="BF1218" s="68"/>
    </row>
    <row r="1219" spans="1:58" s="51" customFormat="1" ht="173.25" customHeight="1">
      <c r="A1219" s="398" t="s">
        <v>1360</v>
      </c>
      <c r="B1219" s="60" t="s">
        <v>1043</v>
      </c>
      <c r="C1219" s="183" t="s">
        <v>362</v>
      </c>
      <c r="D1219" s="62">
        <v>2019</v>
      </c>
      <c r="E1219" s="341">
        <f t="shared" si="416"/>
        <v>0.74209999999999998</v>
      </c>
      <c r="F1219" s="341">
        <v>0.74209999999999998</v>
      </c>
      <c r="G1219" s="341">
        <v>0</v>
      </c>
      <c r="H1219" s="341">
        <v>0</v>
      </c>
      <c r="I1219" s="341">
        <v>0</v>
      </c>
      <c r="J1219" s="341">
        <v>0</v>
      </c>
      <c r="K1219" s="76">
        <v>0</v>
      </c>
      <c r="L1219" s="497">
        <f t="shared" si="413"/>
        <v>0.74209999999999998</v>
      </c>
      <c r="M1219" s="581"/>
      <c r="N1219" s="88"/>
      <c r="O1219" s="301"/>
      <c r="P1219" s="1125"/>
      <c r="Q1219" s="49"/>
      <c r="R1219" s="49"/>
      <c r="S1219" s="49"/>
      <c r="T1219" s="49"/>
      <c r="U1219" s="49"/>
      <c r="V1219" s="49"/>
      <c r="W1219" s="49"/>
      <c r="X1219" s="49"/>
      <c r="Y1219" s="49"/>
      <c r="Z1219" s="49"/>
      <c r="AA1219" s="49"/>
      <c r="AB1219" s="49"/>
      <c r="AC1219" s="49"/>
      <c r="AD1219" s="49"/>
      <c r="AE1219" s="49"/>
      <c r="AF1219" s="49"/>
      <c r="AG1219" s="49"/>
      <c r="AH1219" s="49"/>
      <c r="AI1219" s="49"/>
      <c r="AJ1219" s="49"/>
      <c r="AK1219" s="49"/>
      <c r="AL1219" s="49"/>
      <c r="AM1219" s="49"/>
      <c r="AN1219" s="49"/>
      <c r="AO1219" s="49"/>
      <c r="AP1219" s="49"/>
      <c r="AQ1219" s="49"/>
      <c r="AR1219" s="49"/>
      <c r="AS1219" s="49"/>
      <c r="AT1219" s="49"/>
      <c r="AU1219" s="49"/>
      <c r="AV1219" s="49"/>
      <c r="AW1219" s="49"/>
      <c r="AX1219" s="49"/>
      <c r="AY1219" s="49"/>
      <c r="AZ1219" s="49"/>
      <c r="BA1219" s="49"/>
      <c r="BB1219" s="49"/>
      <c r="BC1219" s="49"/>
      <c r="BD1219" s="49"/>
      <c r="BE1219" s="49"/>
      <c r="BF1219" s="68"/>
    </row>
    <row r="1220" spans="1:58" s="51" customFormat="1" ht="130.5" customHeight="1">
      <c r="A1220" s="398" t="s">
        <v>1361</v>
      </c>
      <c r="B1220" s="60" t="s">
        <v>1045</v>
      </c>
      <c r="C1220" s="183" t="s">
        <v>1362</v>
      </c>
      <c r="D1220" s="62">
        <v>2020</v>
      </c>
      <c r="E1220" s="341">
        <f t="shared" si="416"/>
        <v>0.4511</v>
      </c>
      <c r="F1220" s="341">
        <v>0.4511</v>
      </c>
      <c r="G1220" s="341">
        <v>0</v>
      </c>
      <c r="H1220" s="341">
        <v>0</v>
      </c>
      <c r="I1220" s="341">
        <v>0</v>
      </c>
      <c r="J1220" s="341">
        <v>0</v>
      </c>
      <c r="K1220" s="76">
        <v>0</v>
      </c>
      <c r="L1220" s="497">
        <f t="shared" si="413"/>
        <v>0.4511</v>
      </c>
      <c r="M1220" s="292"/>
      <c r="N1220" s="88"/>
      <c r="O1220" s="301"/>
      <c r="P1220" s="1125"/>
      <c r="Q1220" s="49"/>
      <c r="R1220" s="49"/>
      <c r="S1220" s="49"/>
      <c r="T1220" s="49"/>
      <c r="U1220" s="49"/>
      <c r="V1220" s="49"/>
      <c r="W1220" s="49"/>
      <c r="X1220" s="49"/>
      <c r="Y1220" s="49"/>
      <c r="Z1220" s="49"/>
      <c r="AA1220" s="49"/>
      <c r="AB1220" s="49"/>
      <c r="AC1220" s="49"/>
      <c r="AD1220" s="49"/>
      <c r="AE1220" s="49"/>
      <c r="AF1220" s="49"/>
      <c r="AG1220" s="49"/>
      <c r="AH1220" s="49"/>
      <c r="AI1220" s="49"/>
      <c r="AJ1220" s="49"/>
      <c r="AK1220" s="49"/>
      <c r="AL1220" s="49"/>
      <c r="AM1220" s="49"/>
      <c r="AN1220" s="49"/>
      <c r="AO1220" s="49"/>
      <c r="AP1220" s="49"/>
      <c r="AQ1220" s="49"/>
      <c r="AR1220" s="49"/>
      <c r="AS1220" s="49"/>
      <c r="AT1220" s="49"/>
      <c r="AU1220" s="49"/>
      <c r="AV1220" s="49"/>
      <c r="AW1220" s="49"/>
      <c r="AX1220" s="49"/>
      <c r="AY1220" s="49"/>
      <c r="AZ1220" s="49"/>
      <c r="BA1220" s="49"/>
      <c r="BB1220" s="49"/>
      <c r="BC1220" s="49"/>
      <c r="BD1220" s="49"/>
      <c r="BE1220" s="49"/>
      <c r="BF1220" s="68"/>
    </row>
    <row r="1221" spans="1:58" s="51" customFormat="1" ht="237.75" customHeight="1">
      <c r="A1221" s="391" t="s">
        <v>1363</v>
      </c>
      <c r="B1221" s="61" t="s">
        <v>1364</v>
      </c>
      <c r="C1221" s="490"/>
      <c r="D1221" s="62">
        <v>2021</v>
      </c>
      <c r="E1221" s="341">
        <f t="shared" si="416"/>
        <v>0</v>
      </c>
      <c r="F1221" s="341">
        <v>0</v>
      </c>
      <c r="G1221" s="341">
        <v>0</v>
      </c>
      <c r="H1221" s="341">
        <v>0</v>
      </c>
      <c r="I1221" s="341">
        <v>0</v>
      </c>
      <c r="J1221" s="341">
        <v>0</v>
      </c>
      <c r="K1221" s="76">
        <v>0</v>
      </c>
      <c r="L1221" s="497">
        <f t="shared" si="413"/>
        <v>0</v>
      </c>
      <c r="M1221" s="292"/>
      <c r="N1221" s="88"/>
      <c r="O1221" s="301"/>
      <c r="P1221" s="1125"/>
      <c r="Q1221" s="49"/>
      <c r="R1221" s="49"/>
      <c r="S1221" s="49"/>
      <c r="T1221" s="49"/>
      <c r="U1221" s="49"/>
      <c r="V1221" s="49"/>
      <c r="W1221" s="49"/>
      <c r="X1221" s="49"/>
      <c r="Y1221" s="49"/>
      <c r="Z1221" s="49"/>
      <c r="AA1221" s="49"/>
      <c r="AB1221" s="49"/>
      <c r="AC1221" s="49"/>
      <c r="AD1221" s="49"/>
      <c r="AE1221" s="49"/>
      <c r="AF1221" s="49"/>
      <c r="AG1221" s="49"/>
      <c r="AH1221" s="49"/>
      <c r="AI1221" s="49"/>
      <c r="AJ1221" s="49"/>
      <c r="AK1221" s="49"/>
      <c r="AL1221" s="49"/>
      <c r="AM1221" s="49"/>
      <c r="AN1221" s="49"/>
      <c r="AO1221" s="49"/>
      <c r="AP1221" s="49"/>
      <c r="AQ1221" s="49"/>
      <c r="AR1221" s="49"/>
      <c r="AS1221" s="49"/>
      <c r="AT1221" s="49"/>
      <c r="AU1221" s="49"/>
      <c r="AV1221" s="49"/>
      <c r="AW1221" s="49"/>
      <c r="AX1221" s="49"/>
      <c r="AY1221" s="49"/>
      <c r="AZ1221" s="49"/>
      <c r="BA1221" s="49"/>
      <c r="BB1221" s="49"/>
      <c r="BC1221" s="49"/>
      <c r="BD1221" s="49"/>
      <c r="BE1221" s="49"/>
      <c r="BF1221" s="68"/>
    </row>
    <row r="1222" spans="1:58" s="51" customFormat="1" ht="115.5" customHeight="1">
      <c r="A1222" s="391" t="s">
        <v>1365</v>
      </c>
      <c r="B1222" s="61" t="s">
        <v>1366</v>
      </c>
      <c r="C1222" s="490"/>
      <c r="D1222" s="62">
        <v>2022</v>
      </c>
      <c r="E1222" s="341">
        <f>F1222</f>
        <v>0</v>
      </c>
      <c r="F1222" s="341">
        <v>0</v>
      </c>
      <c r="G1222" s="341">
        <v>0</v>
      </c>
      <c r="H1222" s="341">
        <v>0</v>
      </c>
      <c r="I1222" s="341">
        <v>0</v>
      </c>
      <c r="J1222" s="341">
        <v>0</v>
      </c>
      <c r="K1222" s="76">
        <v>0</v>
      </c>
      <c r="L1222" s="497">
        <f t="shared" si="413"/>
        <v>0</v>
      </c>
      <c r="M1222" s="292"/>
      <c r="N1222" s="88"/>
      <c r="O1222" s="301"/>
      <c r="P1222" s="1125"/>
      <c r="Q1222" s="49"/>
      <c r="R1222" s="49"/>
      <c r="S1222" s="49"/>
      <c r="T1222" s="49"/>
      <c r="U1222" s="49"/>
      <c r="V1222" s="49"/>
      <c r="W1222" s="49"/>
      <c r="X1222" s="49"/>
      <c r="Y1222" s="49"/>
      <c r="Z1222" s="49"/>
      <c r="AA1222" s="49"/>
      <c r="AB1222" s="49"/>
      <c r="AC1222" s="49"/>
      <c r="AD1222" s="49"/>
      <c r="AE1222" s="49"/>
      <c r="AF1222" s="49"/>
      <c r="AG1222" s="49"/>
      <c r="AH1222" s="49"/>
      <c r="AI1222" s="49"/>
      <c r="AJ1222" s="49"/>
      <c r="AK1222" s="49"/>
      <c r="AL1222" s="49"/>
      <c r="AM1222" s="49"/>
      <c r="AN1222" s="49"/>
      <c r="AO1222" s="49"/>
      <c r="AP1222" s="49"/>
      <c r="AQ1222" s="49"/>
      <c r="AR1222" s="49"/>
      <c r="AS1222" s="49"/>
      <c r="AT1222" s="49"/>
      <c r="AU1222" s="49"/>
      <c r="AV1222" s="49"/>
      <c r="AW1222" s="49"/>
      <c r="AX1222" s="49"/>
      <c r="AY1222" s="49"/>
      <c r="AZ1222" s="49"/>
      <c r="BA1222" s="49"/>
      <c r="BB1222" s="49"/>
      <c r="BC1222" s="49"/>
      <c r="BD1222" s="49"/>
      <c r="BE1222" s="49"/>
      <c r="BF1222" s="68"/>
    </row>
    <row r="1223" spans="1:58" s="51" customFormat="1" ht="60.75" customHeight="1">
      <c r="A1223" s="391" t="s">
        <v>1367</v>
      </c>
      <c r="B1223" s="61" t="s">
        <v>1368</v>
      </c>
      <c r="C1223" s="490"/>
      <c r="D1223" s="62">
        <v>2023</v>
      </c>
      <c r="E1223" s="341">
        <f>F1223</f>
        <v>0</v>
      </c>
      <c r="F1223" s="341">
        <v>0</v>
      </c>
      <c r="G1223" s="341">
        <v>0</v>
      </c>
      <c r="H1223" s="341">
        <v>0</v>
      </c>
      <c r="I1223" s="341">
        <v>0</v>
      </c>
      <c r="J1223" s="341">
        <v>0</v>
      </c>
      <c r="K1223" s="76">
        <v>0</v>
      </c>
      <c r="L1223" s="497">
        <f t="shared" si="413"/>
        <v>0</v>
      </c>
      <c r="M1223" s="292"/>
      <c r="N1223" s="88"/>
      <c r="O1223" s="301"/>
      <c r="P1223" s="1125"/>
      <c r="Q1223" s="49"/>
      <c r="R1223" s="49"/>
      <c r="S1223" s="49"/>
      <c r="T1223" s="49"/>
      <c r="U1223" s="49"/>
      <c r="V1223" s="49"/>
      <c r="W1223" s="49"/>
      <c r="X1223" s="49"/>
      <c r="Y1223" s="49"/>
      <c r="Z1223" s="49"/>
      <c r="AA1223" s="49"/>
      <c r="AB1223" s="49"/>
      <c r="AC1223" s="49"/>
      <c r="AD1223" s="49"/>
      <c r="AE1223" s="49"/>
      <c r="AF1223" s="49"/>
      <c r="AG1223" s="49"/>
      <c r="AH1223" s="49"/>
      <c r="AI1223" s="49"/>
      <c r="AJ1223" s="49"/>
      <c r="AK1223" s="49"/>
      <c r="AL1223" s="49"/>
      <c r="AM1223" s="49"/>
      <c r="AN1223" s="49"/>
      <c r="AO1223" s="49"/>
      <c r="AP1223" s="49"/>
      <c r="AQ1223" s="49"/>
      <c r="AR1223" s="49"/>
      <c r="AS1223" s="49"/>
      <c r="AT1223" s="49"/>
      <c r="AU1223" s="49"/>
      <c r="AV1223" s="49"/>
      <c r="AW1223" s="49"/>
      <c r="AX1223" s="49"/>
      <c r="AY1223" s="49"/>
      <c r="AZ1223" s="49"/>
      <c r="BA1223" s="49"/>
      <c r="BB1223" s="49"/>
      <c r="BC1223" s="49"/>
      <c r="BD1223" s="49"/>
      <c r="BE1223" s="49"/>
      <c r="BF1223" s="68"/>
    </row>
    <row r="1224" spans="1:58" s="51" customFormat="1" ht="104.25" customHeight="1">
      <c r="A1224" s="391" t="s">
        <v>1369</v>
      </c>
      <c r="B1224" s="61" t="s">
        <v>1370</v>
      </c>
      <c r="C1224" s="490"/>
      <c r="D1224" s="62">
        <v>2024</v>
      </c>
      <c r="E1224" s="341">
        <f>F1224</f>
        <v>0.52700000000000002</v>
      </c>
      <c r="F1224" s="341">
        <v>0.52700000000000002</v>
      </c>
      <c r="G1224" s="341">
        <v>0</v>
      </c>
      <c r="H1224" s="341">
        <v>0</v>
      </c>
      <c r="I1224" s="341">
        <v>0</v>
      </c>
      <c r="J1224" s="341">
        <v>0</v>
      </c>
      <c r="K1224" s="76">
        <v>0</v>
      </c>
      <c r="L1224" s="497">
        <f t="shared" si="413"/>
        <v>0.52700000000000002</v>
      </c>
      <c r="M1224" s="292"/>
      <c r="N1224" s="88"/>
      <c r="O1224" s="301"/>
      <c r="P1224" s="1125"/>
      <c r="Q1224" s="49"/>
      <c r="R1224" s="49"/>
      <c r="S1224" s="49"/>
      <c r="T1224" s="49"/>
      <c r="U1224" s="49"/>
      <c r="V1224" s="49"/>
      <c r="W1224" s="49"/>
      <c r="X1224" s="49"/>
      <c r="Y1224" s="49"/>
      <c r="Z1224" s="49"/>
      <c r="AA1224" s="49"/>
      <c r="AB1224" s="49"/>
      <c r="AC1224" s="49"/>
      <c r="AD1224" s="49"/>
      <c r="AE1224" s="49"/>
      <c r="AF1224" s="49"/>
      <c r="AG1224" s="49"/>
      <c r="AH1224" s="49"/>
      <c r="AI1224" s="49"/>
      <c r="AJ1224" s="49"/>
      <c r="AK1224" s="49"/>
      <c r="AL1224" s="49"/>
      <c r="AM1224" s="49"/>
      <c r="AN1224" s="49"/>
      <c r="AO1224" s="49"/>
      <c r="AP1224" s="49"/>
      <c r="AQ1224" s="49"/>
      <c r="AR1224" s="49"/>
      <c r="AS1224" s="49"/>
      <c r="AT1224" s="49"/>
      <c r="AU1224" s="49"/>
      <c r="AV1224" s="49"/>
      <c r="AW1224" s="49"/>
      <c r="AX1224" s="49"/>
      <c r="AY1224" s="49"/>
      <c r="AZ1224" s="49"/>
      <c r="BA1224" s="49"/>
      <c r="BB1224" s="49"/>
      <c r="BC1224" s="49"/>
      <c r="BD1224" s="49"/>
      <c r="BE1224" s="49"/>
      <c r="BF1224" s="68"/>
    </row>
    <row r="1225" spans="1:58" s="51" customFormat="1" ht="69.75" customHeight="1">
      <c r="A1225" s="391" t="s">
        <v>1371</v>
      </c>
      <c r="B1225" s="584" t="s">
        <v>1372</v>
      </c>
      <c r="C1225" s="490"/>
      <c r="D1225" s="62">
        <v>2025</v>
      </c>
      <c r="E1225" s="341">
        <f>F1225</f>
        <v>0.54883000000000004</v>
      </c>
      <c r="F1225" s="341">
        <v>0.54883000000000004</v>
      </c>
      <c r="G1225" s="341">
        <v>0</v>
      </c>
      <c r="H1225" s="341">
        <v>0</v>
      </c>
      <c r="I1225" s="341">
        <v>0</v>
      </c>
      <c r="J1225" s="341">
        <v>0</v>
      </c>
      <c r="K1225" s="76">
        <v>0</v>
      </c>
      <c r="L1225" s="497">
        <f t="shared" si="413"/>
        <v>0.54883000000000004</v>
      </c>
      <c r="M1225" s="292"/>
      <c r="N1225" s="88"/>
      <c r="O1225" s="301"/>
      <c r="P1225" s="1125"/>
      <c r="Q1225" s="49"/>
      <c r="R1225" s="49"/>
      <c r="S1225" s="49"/>
      <c r="T1225" s="49"/>
      <c r="U1225" s="49"/>
      <c r="V1225" s="49"/>
      <c r="W1225" s="49"/>
      <c r="X1225" s="49"/>
      <c r="Y1225" s="49"/>
      <c r="Z1225" s="49"/>
      <c r="AA1225" s="49"/>
      <c r="AB1225" s="49"/>
      <c r="AC1225" s="49"/>
      <c r="AD1225" s="49"/>
      <c r="AE1225" s="49"/>
      <c r="AF1225" s="49"/>
      <c r="AG1225" s="49"/>
      <c r="AH1225" s="49"/>
      <c r="AI1225" s="49"/>
      <c r="AJ1225" s="49"/>
      <c r="AK1225" s="49"/>
      <c r="AL1225" s="49"/>
      <c r="AM1225" s="49"/>
      <c r="AN1225" s="49"/>
      <c r="AO1225" s="49"/>
      <c r="AP1225" s="49"/>
      <c r="AQ1225" s="49"/>
      <c r="AR1225" s="49"/>
      <c r="AS1225" s="49"/>
      <c r="AT1225" s="49"/>
      <c r="AU1225" s="49"/>
      <c r="AV1225" s="49"/>
      <c r="AW1225" s="49"/>
      <c r="AX1225" s="49"/>
      <c r="AY1225" s="49"/>
      <c r="AZ1225" s="49"/>
      <c r="BA1225" s="49"/>
      <c r="BB1225" s="49"/>
      <c r="BC1225" s="49"/>
      <c r="BD1225" s="49"/>
      <c r="BE1225" s="49"/>
      <c r="BF1225" s="68"/>
    </row>
    <row r="1226" spans="1:58" s="51" customFormat="1" ht="15.75" customHeight="1">
      <c r="A1226" s="1048" t="s">
        <v>1373</v>
      </c>
      <c r="B1226" s="1080" t="s">
        <v>1059</v>
      </c>
      <c r="C1226" s="490"/>
      <c r="D1226" s="84" t="s">
        <v>16</v>
      </c>
      <c r="E1226" s="313">
        <f t="shared" ref="E1226:J1226" si="417">E1227+E1228+E1229+E1230+E1231+E1232+E1233</f>
        <v>5.3634899999999996</v>
      </c>
      <c r="F1226" s="322">
        <f t="shared" si="417"/>
        <v>5.3634899999999996</v>
      </c>
      <c r="G1226" s="313">
        <f t="shared" si="417"/>
        <v>0</v>
      </c>
      <c r="H1226" s="313">
        <f t="shared" si="417"/>
        <v>0</v>
      </c>
      <c r="I1226" s="313">
        <f t="shared" si="417"/>
        <v>0</v>
      </c>
      <c r="J1226" s="313">
        <f t="shared" si="417"/>
        <v>0</v>
      </c>
      <c r="K1226" s="76">
        <v>0</v>
      </c>
      <c r="L1226" s="497">
        <f t="shared" si="413"/>
        <v>5.3634899999999996</v>
      </c>
      <c r="M1226" s="995"/>
      <c r="N1226" s="88"/>
      <c r="O1226" s="301"/>
      <c r="P1226" s="1125"/>
      <c r="Q1226" s="49"/>
      <c r="R1226" s="49"/>
      <c r="S1226" s="49"/>
      <c r="T1226" s="49"/>
      <c r="U1226" s="49"/>
      <c r="V1226" s="49"/>
      <c r="W1226" s="49"/>
      <c r="X1226" s="49"/>
      <c r="Y1226" s="49"/>
      <c r="Z1226" s="49"/>
      <c r="AA1226" s="49"/>
      <c r="AB1226" s="49"/>
      <c r="AC1226" s="49"/>
      <c r="AD1226" s="49"/>
      <c r="AE1226" s="49"/>
      <c r="AF1226" s="49"/>
      <c r="AG1226" s="49"/>
      <c r="AH1226" s="49"/>
      <c r="AI1226" s="49"/>
      <c r="AJ1226" s="49"/>
      <c r="AK1226" s="49"/>
      <c r="AL1226" s="49"/>
      <c r="AM1226" s="49"/>
      <c r="AN1226" s="49"/>
      <c r="AO1226" s="49"/>
      <c r="AP1226" s="49"/>
      <c r="AQ1226" s="49"/>
      <c r="AR1226" s="49"/>
      <c r="AS1226" s="49"/>
      <c r="AT1226" s="49"/>
      <c r="AU1226" s="49"/>
      <c r="AV1226" s="49"/>
      <c r="AW1226" s="49"/>
      <c r="AX1226" s="49"/>
      <c r="AY1226" s="49"/>
      <c r="AZ1226" s="49"/>
      <c r="BA1226" s="49"/>
      <c r="BB1226" s="49"/>
      <c r="BC1226" s="49"/>
      <c r="BD1226" s="49"/>
      <c r="BE1226" s="49"/>
      <c r="BF1226" s="68"/>
    </row>
    <row r="1227" spans="1:58" s="51" customFormat="1">
      <c r="A1227" s="1081"/>
      <c r="B1227" s="960"/>
      <c r="C1227" s="490"/>
      <c r="D1227" s="62">
        <v>2019</v>
      </c>
      <c r="E1227" s="63">
        <f t="shared" ref="E1227:J1230" si="418">E1234</f>
        <v>0.53059000000000001</v>
      </c>
      <c r="F1227" s="63">
        <f t="shared" si="418"/>
        <v>0.53059000000000001</v>
      </c>
      <c r="G1227" s="63">
        <f t="shared" si="418"/>
        <v>0</v>
      </c>
      <c r="H1227" s="63">
        <f t="shared" si="418"/>
        <v>0</v>
      </c>
      <c r="I1227" s="63">
        <f t="shared" si="418"/>
        <v>0</v>
      </c>
      <c r="J1227" s="63">
        <f t="shared" si="418"/>
        <v>0</v>
      </c>
      <c r="K1227" s="76">
        <v>0</v>
      </c>
      <c r="L1227" s="497">
        <f t="shared" si="413"/>
        <v>0.53059000000000001</v>
      </c>
      <c r="M1227" s="944"/>
      <c r="N1227" s="88"/>
      <c r="O1227" s="301"/>
      <c r="P1227" s="1125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49"/>
      <c r="AU1227" s="49"/>
      <c r="AV1227" s="49"/>
      <c r="AW1227" s="49"/>
      <c r="AX1227" s="49"/>
      <c r="AY1227" s="49"/>
      <c r="AZ1227" s="49"/>
      <c r="BA1227" s="49"/>
      <c r="BB1227" s="49"/>
      <c r="BC1227" s="49"/>
      <c r="BD1227" s="49"/>
      <c r="BE1227" s="49"/>
      <c r="BF1227" s="68"/>
    </row>
    <row r="1228" spans="1:58" s="51" customFormat="1">
      <c r="A1228" s="1081"/>
      <c r="B1228" s="960"/>
      <c r="C1228" s="490"/>
      <c r="D1228" s="62">
        <v>2020</v>
      </c>
      <c r="E1228" s="63">
        <f t="shared" si="418"/>
        <v>0.73109999999999997</v>
      </c>
      <c r="F1228" s="63">
        <f t="shared" si="418"/>
        <v>0.73109999999999997</v>
      </c>
      <c r="G1228" s="63">
        <f t="shared" si="418"/>
        <v>0</v>
      </c>
      <c r="H1228" s="63">
        <f t="shared" si="418"/>
        <v>0</v>
      </c>
      <c r="I1228" s="63">
        <f t="shared" si="418"/>
        <v>0</v>
      </c>
      <c r="J1228" s="63">
        <f t="shared" si="418"/>
        <v>0</v>
      </c>
      <c r="K1228" s="76">
        <v>0</v>
      </c>
      <c r="L1228" s="497">
        <f t="shared" si="413"/>
        <v>0.73109999999999997</v>
      </c>
      <c r="M1228" s="944"/>
      <c r="N1228" s="88"/>
      <c r="O1228" s="301"/>
      <c r="P1228" s="1125"/>
      <c r="Q1228" s="49"/>
      <c r="R1228" s="49"/>
      <c r="S1228" s="49"/>
      <c r="T1228" s="49"/>
      <c r="U1228" s="49"/>
      <c r="V1228" s="49"/>
      <c r="W1228" s="49"/>
      <c r="X1228" s="49"/>
      <c r="Y1228" s="49"/>
      <c r="Z1228" s="49"/>
      <c r="AA1228" s="49"/>
      <c r="AB1228" s="49"/>
      <c r="AC1228" s="49"/>
      <c r="AD1228" s="49"/>
      <c r="AE1228" s="49"/>
      <c r="AF1228" s="49"/>
      <c r="AG1228" s="49"/>
      <c r="AH1228" s="49"/>
      <c r="AI1228" s="49"/>
      <c r="AJ1228" s="49"/>
      <c r="AK1228" s="49"/>
      <c r="AL1228" s="49"/>
      <c r="AM1228" s="49"/>
      <c r="AN1228" s="49"/>
      <c r="AO1228" s="49"/>
      <c r="AP1228" s="49"/>
      <c r="AQ1228" s="49"/>
      <c r="AR1228" s="49"/>
      <c r="AS1228" s="49"/>
      <c r="AT1228" s="49"/>
      <c r="AU1228" s="49"/>
      <c r="AV1228" s="49"/>
      <c r="AW1228" s="49"/>
      <c r="AX1228" s="49"/>
      <c r="AY1228" s="49"/>
      <c r="AZ1228" s="49"/>
      <c r="BA1228" s="49"/>
      <c r="BB1228" s="49"/>
      <c r="BC1228" s="49"/>
      <c r="BD1228" s="49"/>
      <c r="BE1228" s="49"/>
      <c r="BF1228" s="68"/>
    </row>
    <row r="1229" spans="1:58" s="51" customFormat="1">
      <c r="A1229" s="1081"/>
      <c r="B1229" s="960"/>
      <c r="C1229" s="490"/>
      <c r="D1229" s="62">
        <v>2021</v>
      </c>
      <c r="E1229" s="63">
        <f t="shared" si="418"/>
        <v>0.76029999999999998</v>
      </c>
      <c r="F1229" s="63">
        <f t="shared" si="418"/>
        <v>0.76029999999999998</v>
      </c>
      <c r="G1229" s="63">
        <f t="shared" si="418"/>
        <v>0</v>
      </c>
      <c r="H1229" s="63">
        <f t="shared" si="418"/>
        <v>0</v>
      </c>
      <c r="I1229" s="63">
        <f t="shared" si="418"/>
        <v>0</v>
      </c>
      <c r="J1229" s="63">
        <f t="shared" si="418"/>
        <v>0</v>
      </c>
      <c r="K1229" s="76">
        <v>0</v>
      </c>
      <c r="L1229" s="497">
        <f t="shared" si="413"/>
        <v>0.76029999999999998</v>
      </c>
      <c r="M1229" s="944"/>
      <c r="N1229" s="88"/>
      <c r="O1229" s="301"/>
      <c r="P1229" s="1125"/>
      <c r="Q1229" s="49"/>
      <c r="R1229" s="49"/>
      <c r="S1229" s="49"/>
      <c r="T1229" s="49"/>
      <c r="U1229" s="49"/>
      <c r="V1229" s="49"/>
      <c r="W1229" s="49"/>
      <c r="X1229" s="49"/>
      <c r="Y1229" s="49"/>
      <c r="Z1229" s="49"/>
      <c r="AA1229" s="49"/>
      <c r="AB1229" s="49"/>
      <c r="AC1229" s="49"/>
      <c r="AD1229" s="49"/>
      <c r="AE1229" s="49"/>
      <c r="AF1229" s="49"/>
      <c r="AG1229" s="49"/>
      <c r="AH1229" s="49"/>
      <c r="AI1229" s="49"/>
      <c r="AJ1229" s="49"/>
      <c r="AK1229" s="49"/>
      <c r="AL1229" s="49"/>
      <c r="AM1229" s="49"/>
      <c r="AN1229" s="49"/>
      <c r="AO1229" s="49"/>
      <c r="AP1229" s="49"/>
      <c r="AQ1229" s="49"/>
      <c r="AR1229" s="49"/>
      <c r="AS1229" s="49"/>
      <c r="AT1229" s="49"/>
      <c r="AU1229" s="49"/>
      <c r="AV1229" s="49"/>
      <c r="AW1229" s="49"/>
      <c r="AX1229" s="49"/>
      <c r="AY1229" s="49"/>
      <c r="AZ1229" s="49"/>
      <c r="BA1229" s="49"/>
      <c r="BB1229" s="49"/>
      <c r="BC1229" s="49"/>
      <c r="BD1229" s="49"/>
      <c r="BE1229" s="49"/>
      <c r="BF1229" s="68"/>
    </row>
    <row r="1230" spans="1:58" s="51" customFormat="1">
      <c r="A1230" s="1081"/>
      <c r="B1230" s="960"/>
      <c r="C1230" s="490"/>
      <c r="D1230" s="62">
        <v>2022</v>
      </c>
      <c r="E1230" s="63">
        <f t="shared" si="418"/>
        <v>0.78269999999999995</v>
      </c>
      <c r="F1230" s="63">
        <f t="shared" si="418"/>
        <v>0.78269999999999995</v>
      </c>
      <c r="G1230" s="63">
        <f t="shared" si="418"/>
        <v>0</v>
      </c>
      <c r="H1230" s="63">
        <f t="shared" si="418"/>
        <v>0</v>
      </c>
      <c r="I1230" s="63">
        <f t="shared" si="418"/>
        <v>0</v>
      </c>
      <c r="J1230" s="63">
        <f t="shared" si="418"/>
        <v>0</v>
      </c>
      <c r="K1230" s="76">
        <v>0</v>
      </c>
      <c r="L1230" s="497">
        <f t="shared" si="413"/>
        <v>0.78269999999999995</v>
      </c>
      <c r="M1230" s="944"/>
      <c r="N1230" s="88"/>
      <c r="O1230" s="301"/>
      <c r="P1230" s="1125"/>
      <c r="Q1230" s="49"/>
      <c r="R1230" s="49"/>
      <c r="S1230" s="49"/>
      <c r="T1230" s="49"/>
      <c r="U1230" s="49"/>
      <c r="V1230" s="49"/>
      <c r="W1230" s="49"/>
      <c r="X1230" s="49"/>
      <c r="Y1230" s="49"/>
      <c r="Z1230" s="49"/>
      <c r="AA1230" s="49"/>
      <c r="AB1230" s="49"/>
      <c r="AC1230" s="49"/>
      <c r="AD1230" s="49"/>
      <c r="AE1230" s="49"/>
      <c r="AF1230" s="49"/>
      <c r="AG1230" s="49"/>
      <c r="AH1230" s="49"/>
      <c r="AI1230" s="49"/>
      <c r="AJ1230" s="49"/>
      <c r="AK1230" s="49"/>
      <c r="AL1230" s="49"/>
      <c r="AM1230" s="49"/>
      <c r="AN1230" s="49"/>
      <c r="AO1230" s="49"/>
      <c r="AP1230" s="49"/>
      <c r="AQ1230" s="49"/>
      <c r="AR1230" s="49"/>
      <c r="AS1230" s="49"/>
      <c r="AT1230" s="49"/>
      <c r="AU1230" s="49"/>
      <c r="AV1230" s="49"/>
      <c r="AW1230" s="49"/>
      <c r="AX1230" s="49"/>
      <c r="AY1230" s="49"/>
      <c r="AZ1230" s="49"/>
      <c r="BA1230" s="49"/>
      <c r="BB1230" s="49"/>
      <c r="BC1230" s="49"/>
      <c r="BD1230" s="49"/>
      <c r="BE1230" s="49"/>
      <c r="BF1230" s="68"/>
    </row>
    <row r="1231" spans="1:58" s="51" customFormat="1">
      <c r="A1231" s="1081"/>
      <c r="B1231" s="960"/>
      <c r="C1231" s="490"/>
      <c r="D1231" s="62">
        <v>2023</v>
      </c>
      <c r="E1231" s="63">
        <f>F1231</f>
        <v>0.81399999999999995</v>
      </c>
      <c r="F1231" s="63">
        <f>F1238</f>
        <v>0.81399999999999995</v>
      </c>
      <c r="G1231" s="63">
        <v>0</v>
      </c>
      <c r="H1231" s="63">
        <v>0</v>
      </c>
      <c r="I1231" s="63">
        <v>0</v>
      </c>
      <c r="J1231" s="63">
        <v>0</v>
      </c>
      <c r="K1231" s="76">
        <v>0</v>
      </c>
      <c r="L1231" s="497">
        <f t="shared" si="413"/>
        <v>0.81399999999999995</v>
      </c>
      <c r="M1231" s="944"/>
      <c r="N1231" s="88"/>
      <c r="O1231" s="301"/>
      <c r="P1231" s="1125"/>
      <c r="Q1231" s="49"/>
      <c r="R1231" s="49"/>
      <c r="S1231" s="49"/>
      <c r="T1231" s="49"/>
      <c r="U1231" s="49"/>
      <c r="V1231" s="49"/>
      <c r="W1231" s="49"/>
      <c r="X1231" s="49"/>
      <c r="Y1231" s="49"/>
      <c r="Z1231" s="49"/>
      <c r="AA1231" s="49"/>
      <c r="AB1231" s="49"/>
      <c r="AC1231" s="49"/>
      <c r="AD1231" s="49"/>
      <c r="AE1231" s="49"/>
      <c r="AF1231" s="49"/>
      <c r="AG1231" s="49"/>
      <c r="AH1231" s="49"/>
      <c r="AI1231" s="49"/>
      <c r="AJ1231" s="49"/>
      <c r="AK1231" s="49"/>
      <c r="AL1231" s="49"/>
      <c r="AM1231" s="49"/>
      <c r="AN1231" s="49"/>
      <c r="AO1231" s="49"/>
      <c r="AP1231" s="49"/>
      <c r="AQ1231" s="49"/>
      <c r="AR1231" s="49"/>
      <c r="AS1231" s="49"/>
      <c r="AT1231" s="49"/>
      <c r="AU1231" s="49"/>
      <c r="AV1231" s="49"/>
      <c r="AW1231" s="49"/>
      <c r="AX1231" s="49"/>
      <c r="AY1231" s="49"/>
      <c r="AZ1231" s="49"/>
      <c r="BA1231" s="49"/>
      <c r="BB1231" s="49"/>
      <c r="BC1231" s="49"/>
      <c r="BD1231" s="49"/>
      <c r="BE1231" s="49"/>
      <c r="BF1231" s="68"/>
    </row>
    <row r="1232" spans="1:58" s="51" customFormat="1">
      <c r="A1232" s="1081"/>
      <c r="B1232" s="960"/>
      <c r="C1232" s="490"/>
      <c r="D1232" s="62">
        <v>2024</v>
      </c>
      <c r="E1232" s="63">
        <f>F1232</f>
        <v>0.85529999999999995</v>
      </c>
      <c r="F1232" s="63">
        <f>F1239</f>
        <v>0.85529999999999995</v>
      </c>
      <c r="G1232" s="63">
        <v>0</v>
      </c>
      <c r="H1232" s="63">
        <v>0</v>
      </c>
      <c r="I1232" s="63">
        <v>0</v>
      </c>
      <c r="J1232" s="63">
        <v>0</v>
      </c>
      <c r="K1232" s="76">
        <v>0</v>
      </c>
      <c r="L1232" s="497">
        <f t="shared" si="413"/>
        <v>0.85529999999999995</v>
      </c>
      <c r="M1232" s="944"/>
      <c r="N1232" s="88"/>
      <c r="O1232" s="301"/>
      <c r="P1232" s="1125"/>
      <c r="Q1232" s="49"/>
      <c r="R1232" s="49"/>
      <c r="S1232" s="49"/>
      <c r="T1232" s="49"/>
      <c r="U1232" s="49"/>
      <c r="V1232" s="49"/>
      <c r="W1232" s="49"/>
      <c r="X1232" s="49"/>
      <c r="Y1232" s="49"/>
      <c r="Z1232" s="49"/>
      <c r="AA1232" s="49"/>
      <c r="AB1232" s="49"/>
      <c r="AC1232" s="49"/>
      <c r="AD1232" s="49"/>
      <c r="AE1232" s="49"/>
      <c r="AF1232" s="49"/>
      <c r="AG1232" s="49"/>
      <c r="AH1232" s="49"/>
      <c r="AI1232" s="49"/>
      <c r="AJ1232" s="49"/>
      <c r="AK1232" s="49"/>
      <c r="AL1232" s="49"/>
      <c r="AM1232" s="49"/>
      <c r="AN1232" s="49"/>
      <c r="AO1232" s="49"/>
      <c r="AP1232" s="49"/>
      <c r="AQ1232" s="49"/>
      <c r="AR1232" s="49"/>
      <c r="AS1232" s="49"/>
      <c r="AT1232" s="49"/>
      <c r="AU1232" s="49"/>
      <c r="AV1232" s="49"/>
      <c r="AW1232" s="49"/>
      <c r="AX1232" s="49"/>
      <c r="AY1232" s="49"/>
      <c r="AZ1232" s="49"/>
      <c r="BA1232" s="49"/>
      <c r="BB1232" s="49"/>
      <c r="BC1232" s="49"/>
      <c r="BD1232" s="49"/>
      <c r="BE1232" s="49"/>
      <c r="BF1232" s="68"/>
    </row>
    <row r="1233" spans="1:58" s="51" customFormat="1">
      <c r="A1233" s="1081"/>
      <c r="B1233" s="960"/>
      <c r="C1233" s="490"/>
      <c r="D1233" s="62">
        <v>2025</v>
      </c>
      <c r="E1233" s="63">
        <f>F1233</f>
        <v>0.88949999999999996</v>
      </c>
      <c r="F1233" s="63">
        <f>F1240</f>
        <v>0.88949999999999996</v>
      </c>
      <c r="G1233" s="63">
        <v>0</v>
      </c>
      <c r="H1233" s="63">
        <v>0</v>
      </c>
      <c r="I1233" s="63">
        <v>0</v>
      </c>
      <c r="J1233" s="63">
        <v>0</v>
      </c>
      <c r="K1233" s="76">
        <v>0</v>
      </c>
      <c r="L1233" s="497">
        <f t="shared" si="413"/>
        <v>0.88949999999999996</v>
      </c>
      <c r="M1233" s="944"/>
      <c r="N1233" s="88"/>
      <c r="O1233" s="301"/>
      <c r="P1233" s="1125"/>
      <c r="Q1233" s="49"/>
      <c r="R1233" s="49"/>
      <c r="S1233" s="49"/>
      <c r="T1233" s="49"/>
      <c r="U1233" s="49"/>
      <c r="V1233" s="49"/>
      <c r="W1233" s="49"/>
      <c r="X1233" s="49"/>
      <c r="Y1233" s="49"/>
      <c r="Z1233" s="49"/>
      <c r="AA1233" s="49"/>
      <c r="AB1233" s="49"/>
      <c r="AC1233" s="49"/>
      <c r="AD1233" s="49"/>
      <c r="AE1233" s="49"/>
      <c r="AF1233" s="49"/>
      <c r="AG1233" s="49"/>
      <c r="AH1233" s="49"/>
      <c r="AI1233" s="49"/>
      <c r="AJ1233" s="49"/>
      <c r="AK1233" s="49"/>
      <c r="AL1233" s="49"/>
      <c r="AM1233" s="49"/>
      <c r="AN1233" s="49"/>
      <c r="AO1233" s="49"/>
      <c r="AP1233" s="49"/>
      <c r="AQ1233" s="49"/>
      <c r="AR1233" s="49"/>
      <c r="AS1233" s="49"/>
      <c r="AT1233" s="49"/>
      <c r="AU1233" s="49"/>
      <c r="AV1233" s="49"/>
      <c r="AW1233" s="49"/>
      <c r="AX1233" s="49"/>
      <c r="AY1233" s="49"/>
      <c r="AZ1233" s="49"/>
      <c r="BA1233" s="49"/>
      <c r="BB1233" s="49"/>
      <c r="BC1233" s="49"/>
      <c r="BD1233" s="49"/>
      <c r="BE1233" s="49"/>
      <c r="BF1233" s="68"/>
    </row>
    <row r="1234" spans="1:58" s="51" customFormat="1" ht="46.5" customHeight="1">
      <c r="A1234" s="398" t="s">
        <v>1374</v>
      </c>
      <c r="B1234" s="60" t="s">
        <v>1061</v>
      </c>
      <c r="C1234" s="490"/>
      <c r="D1234" s="62">
        <v>2019</v>
      </c>
      <c r="E1234" s="63">
        <f t="shared" ref="E1234:E1240" si="419">F1234+G1234+H1234+I1234+J1234</f>
        <v>0.53059000000000001</v>
      </c>
      <c r="F1234" s="63">
        <v>0.53059000000000001</v>
      </c>
      <c r="G1234" s="63">
        <v>0</v>
      </c>
      <c r="H1234" s="63">
        <v>0</v>
      </c>
      <c r="I1234" s="63">
        <v>0</v>
      </c>
      <c r="J1234" s="63">
        <v>0</v>
      </c>
      <c r="K1234" s="76">
        <v>0</v>
      </c>
      <c r="L1234" s="497">
        <f t="shared" si="413"/>
        <v>0.53059000000000001</v>
      </c>
      <c r="M1234" s="347"/>
      <c r="N1234" s="88"/>
      <c r="O1234" s="301"/>
      <c r="P1234" s="1125"/>
      <c r="Q1234" s="49"/>
      <c r="R1234" s="49"/>
      <c r="S1234" s="49"/>
      <c r="T1234" s="49"/>
      <c r="U1234" s="49"/>
      <c r="V1234" s="49"/>
      <c r="W1234" s="49"/>
      <c r="X1234" s="49"/>
      <c r="Y1234" s="49"/>
      <c r="Z1234" s="49"/>
      <c r="AA1234" s="49"/>
      <c r="AB1234" s="49"/>
      <c r="AC1234" s="49"/>
      <c r="AD1234" s="49"/>
      <c r="AE1234" s="49"/>
      <c r="AF1234" s="49"/>
      <c r="AG1234" s="49"/>
      <c r="AH1234" s="49"/>
      <c r="AI1234" s="49"/>
      <c r="AJ1234" s="49"/>
      <c r="AK1234" s="49"/>
      <c r="AL1234" s="49"/>
      <c r="AM1234" s="49"/>
      <c r="AN1234" s="49"/>
      <c r="AO1234" s="49"/>
      <c r="AP1234" s="49"/>
      <c r="AQ1234" s="49"/>
      <c r="AR1234" s="49"/>
      <c r="AS1234" s="49"/>
      <c r="AT1234" s="49"/>
      <c r="AU1234" s="49"/>
      <c r="AV1234" s="49"/>
      <c r="AW1234" s="49"/>
      <c r="AX1234" s="49"/>
      <c r="AY1234" s="49"/>
      <c r="AZ1234" s="49"/>
      <c r="BA1234" s="49"/>
      <c r="BB1234" s="49"/>
      <c r="BC1234" s="49"/>
      <c r="BD1234" s="49"/>
      <c r="BE1234" s="49"/>
      <c r="BF1234" s="68"/>
    </row>
    <row r="1235" spans="1:58" s="51" customFormat="1" ht="66.75" customHeight="1">
      <c r="A1235" s="398" t="s">
        <v>1375</v>
      </c>
      <c r="B1235" s="60" t="s">
        <v>1063</v>
      </c>
      <c r="C1235" s="490"/>
      <c r="D1235" s="62">
        <v>2020</v>
      </c>
      <c r="E1235" s="63">
        <f t="shared" si="419"/>
        <v>0.73109999999999997</v>
      </c>
      <c r="F1235" s="63">
        <v>0.73109999999999997</v>
      </c>
      <c r="G1235" s="63">
        <v>0</v>
      </c>
      <c r="H1235" s="63">
        <v>0</v>
      </c>
      <c r="I1235" s="63">
        <v>0</v>
      </c>
      <c r="J1235" s="63">
        <v>0</v>
      </c>
      <c r="K1235" s="76">
        <v>0</v>
      </c>
      <c r="L1235" s="497">
        <f t="shared" si="413"/>
        <v>0.73109999999999997</v>
      </c>
      <c r="M1235" s="347"/>
      <c r="N1235" s="88"/>
      <c r="O1235" s="301"/>
      <c r="P1235" s="1125"/>
      <c r="Q1235" s="49"/>
      <c r="R1235" s="49"/>
      <c r="S1235" s="49"/>
      <c r="T1235" s="49"/>
      <c r="U1235" s="49"/>
      <c r="V1235" s="49"/>
      <c r="W1235" s="49"/>
      <c r="X1235" s="49"/>
      <c r="Y1235" s="49"/>
      <c r="Z1235" s="49"/>
      <c r="AA1235" s="49"/>
      <c r="AB1235" s="49"/>
      <c r="AC1235" s="49"/>
      <c r="AD1235" s="49"/>
      <c r="AE1235" s="49"/>
      <c r="AF1235" s="49"/>
      <c r="AG1235" s="49"/>
      <c r="AH1235" s="49"/>
      <c r="AI1235" s="49"/>
      <c r="AJ1235" s="49"/>
      <c r="AK1235" s="49"/>
      <c r="AL1235" s="49"/>
      <c r="AM1235" s="49"/>
      <c r="AN1235" s="49"/>
      <c r="AO1235" s="49"/>
      <c r="AP1235" s="49"/>
      <c r="AQ1235" s="49"/>
      <c r="AR1235" s="49"/>
      <c r="AS1235" s="49"/>
      <c r="AT1235" s="49"/>
      <c r="AU1235" s="49"/>
      <c r="AV1235" s="49"/>
      <c r="AW1235" s="49"/>
      <c r="AX1235" s="49"/>
      <c r="AY1235" s="49"/>
      <c r="AZ1235" s="49"/>
      <c r="BA1235" s="49"/>
      <c r="BB1235" s="49"/>
      <c r="BC1235" s="49"/>
      <c r="BD1235" s="49"/>
      <c r="BE1235" s="49"/>
      <c r="BF1235" s="68"/>
    </row>
    <row r="1236" spans="1:58" s="51" customFormat="1" ht="25.5">
      <c r="A1236" s="398" t="s">
        <v>1376</v>
      </c>
      <c r="B1236" s="60" t="s">
        <v>1065</v>
      </c>
      <c r="C1236" s="490"/>
      <c r="D1236" s="62">
        <v>2021</v>
      </c>
      <c r="E1236" s="63">
        <f t="shared" si="419"/>
        <v>0.76029999999999998</v>
      </c>
      <c r="F1236" s="63">
        <v>0.76029999999999998</v>
      </c>
      <c r="G1236" s="63">
        <v>0</v>
      </c>
      <c r="H1236" s="63">
        <v>0</v>
      </c>
      <c r="I1236" s="63">
        <v>0</v>
      </c>
      <c r="J1236" s="63">
        <v>0</v>
      </c>
      <c r="K1236" s="76">
        <v>0</v>
      </c>
      <c r="L1236" s="497">
        <f t="shared" si="413"/>
        <v>0.76029999999999998</v>
      </c>
      <c r="M1236" s="347"/>
      <c r="N1236" s="88"/>
      <c r="O1236" s="301"/>
      <c r="P1236" s="1125"/>
      <c r="Q1236" s="49"/>
      <c r="R1236" s="49"/>
      <c r="S1236" s="49"/>
      <c r="T1236" s="49"/>
      <c r="U1236" s="49"/>
      <c r="V1236" s="49"/>
      <c r="W1236" s="49"/>
      <c r="X1236" s="49"/>
      <c r="Y1236" s="49"/>
      <c r="Z1236" s="49"/>
      <c r="AA1236" s="49"/>
      <c r="AB1236" s="49"/>
      <c r="AC1236" s="49"/>
      <c r="AD1236" s="49"/>
      <c r="AE1236" s="49"/>
      <c r="AF1236" s="49"/>
      <c r="AG1236" s="49"/>
      <c r="AH1236" s="49"/>
      <c r="AI1236" s="49"/>
      <c r="AJ1236" s="49"/>
      <c r="AK1236" s="49"/>
      <c r="AL1236" s="49"/>
      <c r="AM1236" s="49"/>
      <c r="AN1236" s="49"/>
      <c r="AO1236" s="49"/>
      <c r="AP1236" s="49"/>
      <c r="AQ1236" s="49"/>
      <c r="AR1236" s="49"/>
      <c r="AS1236" s="49"/>
      <c r="AT1236" s="49"/>
      <c r="AU1236" s="49"/>
      <c r="AV1236" s="49"/>
      <c r="AW1236" s="49"/>
      <c r="AX1236" s="49"/>
      <c r="AY1236" s="49"/>
      <c r="AZ1236" s="49"/>
      <c r="BA1236" s="49"/>
      <c r="BB1236" s="49"/>
      <c r="BC1236" s="49"/>
      <c r="BD1236" s="49"/>
      <c r="BE1236" s="49"/>
      <c r="BF1236" s="68"/>
    </row>
    <row r="1237" spans="1:58" s="51" customFormat="1" ht="25.5">
      <c r="A1237" s="398" t="s">
        <v>1377</v>
      </c>
      <c r="B1237" s="60" t="s">
        <v>1378</v>
      </c>
      <c r="C1237" s="490"/>
      <c r="D1237" s="62">
        <v>2022</v>
      </c>
      <c r="E1237" s="63">
        <f t="shared" si="419"/>
        <v>0.78269999999999995</v>
      </c>
      <c r="F1237" s="63">
        <v>0.78269999999999995</v>
      </c>
      <c r="G1237" s="63">
        <v>0</v>
      </c>
      <c r="H1237" s="63">
        <v>0</v>
      </c>
      <c r="I1237" s="63">
        <v>0</v>
      </c>
      <c r="J1237" s="63">
        <v>0</v>
      </c>
      <c r="K1237" s="76">
        <v>0</v>
      </c>
      <c r="L1237" s="497">
        <f t="shared" si="413"/>
        <v>0.78269999999999995</v>
      </c>
      <c r="M1237" s="347"/>
      <c r="N1237" s="88"/>
      <c r="O1237" s="301"/>
      <c r="P1237" s="1125"/>
      <c r="Q1237" s="49"/>
      <c r="R1237" s="49"/>
      <c r="S1237" s="49"/>
      <c r="T1237" s="49"/>
      <c r="U1237" s="49"/>
      <c r="V1237" s="49"/>
      <c r="W1237" s="49"/>
      <c r="X1237" s="49"/>
      <c r="Y1237" s="49"/>
      <c r="Z1237" s="49"/>
      <c r="AA1237" s="49"/>
      <c r="AB1237" s="49"/>
      <c r="AC1237" s="49"/>
      <c r="AD1237" s="49"/>
      <c r="AE1237" s="49"/>
      <c r="AF1237" s="49"/>
      <c r="AG1237" s="49"/>
      <c r="AH1237" s="49"/>
      <c r="AI1237" s="49"/>
      <c r="AJ1237" s="49"/>
      <c r="AK1237" s="49"/>
      <c r="AL1237" s="49"/>
      <c r="AM1237" s="49"/>
      <c r="AN1237" s="49"/>
      <c r="AO1237" s="49"/>
      <c r="AP1237" s="49"/>
      <c r="AQ1237" s="49"/>
      <c r="AR1237" s="49"/>
      <c r="AS1237" s="49"/>
      <c r="AT1237" s="49"/>
      <c r="AU1237" s="49"/>
      <c r="AV1237" s="49"/>
      <c r="AW1237" s="49"/>
      <c r="AX1237" s="49"/>
      <c r="AY1237" s="49"/>
      <c r="AZ1237" s="49"/>
      <c r="BA1237" s="49"/>
      <c r="BB1237" s="49"/>
      <c r="BC1237" s="49"/>
      <c r="BD1237" s="49"/>
      <c r="BE1237" s="49"/>
      <c r="BF1237" s="68"/>
    </row>
    <row r="1238" spans="1:58" s="51" customFormat="1" ht="25.5">
      <c r="A1238" s="391" t="s">
        <v>1379</v>
      </c>
      <c r="B1238" s="60" t="s">
        <v>1380</v>
      </c>
      <c r="C1238" s="490"/>
      <c r="D1238" s="62">
        <v>2023</v>
      </c>
      <c r="E1238" s="63">
        <f t="shared" si="419"/>
        <v>0.81399999999999995</v>
      </c>
      <c r="F1238" s="63">
        <v>0.81399999999999995</v>
      </c>
      <c r="G1238" s="63">
        <v>0</v>
      </c>
      <c r="H1238" s="63">
        <v>0</v>
      </c>
      <c r="I1238" s="63">
        <v>0</v>
      </c>
      <c r="J1238" s="63">
        <v>0</v>
      </c>
      <c r="K1238" s="76">
        <v>0</v>
      </c>
      <c r="L1238" s="497">
        <f t="shared" si="413"/>
        <v>0.81399999999999995</v>
      </c>
      <c r="M1238" s="347"/>
      <c r="N1238" s="88"/>
      <c r="O1238" s="301"/>
      <c r="P1238" s="1125"/>
      <c r="Q1238" s="49"/>
      <c r="R1238" s="49"/>
      <c r="S1238" s="49"/>
      <c r="T1238" s="49"/>
      <c r="U1238" s="49"/>
      <c r="V1238" s="49"/>
      <c r="W1238" s="49"/>
      <c r="X1238" s="49"/>
      <c r="Y1238" s="49"/>
      <c r="Z1238" s="49"/>
      <c r="AA1238" s="49"/>
      <c r="AB1238" s="49"/>
      <c r="AC1238" s="49"/>
      <c r="AD1238" s="49"/>
      <c r="AE1238" s="49"/>
      <c r="AF1238" s="49"/>
      <c r="AG1238" s="49"/>
      <c r="AH1238" s="49"/>
      <c r="AI1238" s="49"/>
      <c r="AJ1238" s="49"/>
      <c r="AK1238" s="49"/>
      <c r="AL1238" s="49"/>
      <c r="AM1238" s="49"/>
      <c r="AN1238" s="49"/>
      <c r="AO1238" s="49"/>
      <c r="AP1238" s="49"/>
      <c r="AQ1238" s="49"/>
      <c r="AR1238" s="49"/>
      <c r="AS1238" s="49"/>
      <c r="AT1238" s="49"/>
      <c r="AU1238" s="49"/>
      <c r="AV1238" s="49"/>
      <c r="AW1238" s="49"/>
      <c r="AX1238" s="49"/>
      <c r="AY1238" s="49"/>
      <c r="AZ1238" s="49"/>
      <c r="BA1238" s="49"/>
      <c r="BB1238" s="49"/>
      <c r="BC1238" s="49"/>
      <c r="BD1238" s="49"/>
      <c r="BE1238" s="49"/>
      <c r="BF1238" s="68"/>
    </row>
    <row r="1239" spans="1:58" s="51" customFormat="1" ht="25.5">
      <c r="A1239" s="391" t="s">
        <v>1381</v>
      </c>
      <c r="B1239" s="60" t="s">
        <v>1382</v>
      </c>
      <c r="C1239" s="490"/>
      <c r="D1239" s="62">
        <v>2024</v>
      </c>
      <c r="E1239" s="63">
        <f t="shared" si="419"/>
        <v>0.85529999999999995</v>
      </c>
      <c r="F1239" s="63">
        <v>0.85529999999999995</v>
      </c>
      <c r="G1239" s="63">
        <v>0</v>
      </c>
      <c r="H1239" s="63">
        <v>0</v>
      </c>
      <c r="I1239" s="63">
        <v>0</v>
      </c>
      <c r="J1239" s="63">
        <v>0</v>
      </c>
      <c r="K1239" s="76">
        <v>0</v>
      </c>
      <c r="L1239" s="497">
        <f t="shared" si="413"/>
        <v>0.85529999999999995</v>
      </c>
      <c r="M1239" s="347"/>
      <c r="N1239" s="88"/>
      <c r="O1239" s="301"/>
      <c r="P1239" s="1125"/>
      <c r="Q1239" s="49"/>
      <c r="R1239" s="49"/>
      <c r="S1239" s="49"/>
      <c r="T1239" s="49"/>
      <c r="U1239" s="49"/>
      <c r="V1239" s="49"/>
      <c r="W1239" s="49"/>
      <c r="X1239" s="49"/>
      <c r="Y1239" s="49"/>
      <c r="Z1239" s="49"/>
      <c r="AA1239" s="49"/>
      <c r="AB1239" s="49"/>
      <c r="AC1239" s="49"/>
      <c r="AD1239" s="49"/>
      <c r="AE1239" s="49"/>
      <c r="AF1239" s="49"/>
      <c r="AG1239" s="49"/>
      <c r="AH1239" s="49"/>
      <c r="AI1239" s="49"/>
      <c r="AJ1239" s="49"/>
      <c r="AK1239" s="49"/>
      <c r="AL1239" s="49"/>
      <c r="AM1239" s="49"/>
      <c r="AN1239" s="49"/>
      <c r="AO1239" s="49"/>
      <c r="AP1239" s="49"/>
      <c r="AQ1239" s="49"/>
      <c r="AR1239" s="49"/>
      <c r="AS1239" s="49"/>
      <c r="AT1239" s="49"/>
      <c r="AU1239" s="49"/>
      <c r="AV1239" s="49"/>
      <c r="AW1239" s="49"/>
      <c r="AX1239" s="49"/>
      <c r="AY1239" s="49"/>
      <c r="AZ1239" s="49"/>
      <c r="BA1239" s="49"/>
      <c r="BB1239" s="49"/>
      <c r="BC1239" s="49"/>
      <c r="BD1239" s="49"/>
      <c r="BE1239" s="49"/>
      <c r="BF1239" s="68"/>
    </row>
    <row r="1240" spans="1:58" s="51" customFormat="1" ht="51">
      <c r="A1240" s="391" t="s">
        <v>1383</v>
      </c>
      <c r="B1240" s="60" t="s">
        <v>1384</v>
      </c>
      <c r="C1240" s="490"/>
      <c r="D1240" s="62">
        <v>2025</v>
      </c>
      <c r="E1240" s="63">
        <f t="shared" si="419"/>
        <v>0.88949999999999996</v>
      </c>
      <c r="F1240" s="63">
        <v>0.88949999999999996</v>
      </c>
      <c r="G1240" s="63">
        <v>0</v>
      </c>
      <c r="H1240" s="63">
        <v>0</v>
      </c>
      <c r="I1240" s="63">
        <v>0</v>
      </c>
      <c r="J1240" s="63">
        <v>0</v>
      </c>
      <c r="K1240" s="76">
        <v>0</v>
      </c>
      <c r="L1240" s="497">
        <f t="shared" ref="L1240:L1271" si="420">F1240+G1240+H1240+I1240+J1240</f>
        <v>0.88949999999999996</v>
      </c>
      <c r="M1240" s="347"/>
      <c r="N1240" s="88"/>
      <c r="O1240" s="301"/>
      <c r="P1240" s="1125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49"/>
      <c r="AU1240" s="49"/>
      <c r="AV1240" s="49"/>
      <c r="AW1240" s="49"/>
      <c r="AX1240" s="49"/>
      <c r="AY1240" s="49"/>
      <c r="AZ1240" s="49"/>
      <c r="BA1240" s="49"/>
      <c r="BB1240" s="49"/>
      <c r="BC1240" s="49"/>
      <c r="BD1240" s="49"/>
      <c r="BE1240" s="49"/>
      <c r="BF1240" s="68"/>
    </row>
    <row r="1241" spans="1:58">
      <c r="A1241" s="1190" t="s">
        <v>1082</v>
      </c>
      <c r="B1241" s="915" t="s">
        <v>1385</v>
      </c>
      <c r="C1241" s="490"/>
      <c r="D1241" s="114" t="s">
        <v>16</v>
      </c>
      <c r="E1241" s="115">
        <f t="shared" ref="E1241:J1241" si="421">E1242+E1243+E1244+E1246+E1245+E1247+E1248</f>
        <v>1.3423500000000002</v>
      </c>
      <c r="F1241" s="115">
        <f t="shared" si="421"/>
        <v>1.3423500000000002</v>
      </c>
      <c r="G1241" s="115">
        <f t="shared" si="421"/>
        <v>0</v>
      </c>
      <c r="H1241" s="115">
        <f t="shared" si="421"/>
        <v>0</v>
      </c>
      <c r="I1241" s="115">
        <f t="shared" si="421"/>
        <v>0</v>
      </c>
      <c r="J1241" s="115">
        <f t="shared" si="421"/>
        <v>0</v>
      </c>
      <c r="K1241" s="76">
        <v>0</v>
      </c>
      <c r="L1241" s="497">
        <f t="shared" si="420"/>
        <v>1.3423500000000002</v>
      </c>
      <c r="M1241" s="292"/>
      <c r="N1241" s="110"/>
      <c r="O1241" s="305"/>
      <c r="P1241" s="479"/>
    </row>
    <row r="1242" spans="1:58">
      <c r="A1242" s="1191"/>
      <c r="B1242" s="916"/>
      <c r="C1242" s="490"/>
      <c r="D1242" s="103">
        <v>2019</v>
      </c>
      <c r="E1242" s="108">
        <f t="shared" ref="E1242:E1248" si="422">F1242</f>
        <v>0.50270000000000004</v>
      </c>
      <c r="F1242" s="108">
        <v>0.50270000000000004</v>
      </c>
      <c r="G1242" s="108">
        <v>0</v>
      </c>
      <c r="H1242" s="108">
        <v>0</v>
      </c>
      <c r="I1242" s="108">
        <v>0</v>
      </c>
      <c r="J1242" s="108">
        <v>0</v>
      </c>
      <c r="K1242" s="76">
        <v>0</v>
      </c>
      <c r="L1242" s="497">
        <f t="shared" si="420"/>
        <v>0.50270000000000004</v>
      </c>
      <c r="M1242" s="292"/>
      <c r="N1242" s="110"/>
      <c r="O1242" s="305"/>
      <c r="P1242" s="479"/>
    </row>
    <row r="1243" spans="1:58">
      <c r="A1243" s="1191"/>
      <c r="B1243" s="916"/>
      <c r="C1243" s="490"/>
      <c r="D1243" s="103">
        <v>2020</v>
      </c>
      <c r="E1243" s="108">
        <f t="shared" si="422"/>
        <v>0.1487</v>
      </c>
      <c r="F1243" s="108">
        <v>0.1487</v>
      </c>
      <c r="G1243" s="108">
        <v>0</v>
      </c>
      <c r="H1243" s="108">
        <v>0</v>
      </c>
      <c r="I1243" s="108">
        <v>0</v>
      </c>
      <c r="J1243" s="108">
        <v>0</v>
      </c>
      <c r="K1243" s="76">
        <v>0</v>
      </c>
      <c r="L1243" s="497">
        <f t="shared" si="420"/>
        <v>0.1487</v>
      </c>
      <c r="M1243" s="292"/>
      <c r="N1243" s="110"/>
      <c r="O1243" s="305"/>
      <c r="P1243" s="479"/>
    </row>
    <row r="1244" spans="1:58">
      <c r="A1244" s="1191"/>
      <c r="B1244" s="916"/>
      <c r="C1244" s="490"/>
      <c r="D1244" s="103">
        <v>2021</v>
      </c>
      <c r="E1244" s="108">
        <f t="shared" si="422"/>
        <v>0.1066</v>
      </c>
      <c r="F1244" s="108">
        <v>0.1066</v>
      </c>
      <c r="G1244" s="108">
        <v>0</v>
      </c>
      <c r="H1244" s="108">
        <v>0</v>
      </c>
      <c r="I1244" s="108">
        <v>0</v>
      </c>
      <c r="J1244" s="108">
        <v>0</v>
      </c>
      <c r="K1244" s="76">
        <v>0</v>
      </c>
      <c r="L1244" s="497">
        <f t="shared" si="420"/>
        <v>0.1066</v>
      </c>
      <c r="M1244" s="292"/>
      <c r="N1244" s="110"/>
      <c r="O1244" s="305"/>
      <c r="P1244" s="479"/>
    </row>
    <row r="1245" spans="1:58">
      <c r="A1245" s="1191"/>
      <c r="B1245" s="916"/>
      <c r="C1245" s="490"/>
      <c r="D1245" s="103">
        <v>2022</v>
      </c>
      <c r="E1245" s="108">
        <f t="shared" si="422"/>
        <v>0.113</v>
      </c>
      <c r="F1245" s="108">
        <v>0.113</v>
      </c>
      <c r="G1245" s="108">
        <v>0</v>
      </c>
      <c r="H1245" s="108">
        <v>0</v>
      </c>
      <c r="I1245" s="108">
        <v>0</v>
      </c>
      <c r="J1245" s="108">
        <v>0</v>
      </c>
      <c r="K1245" s="76">
        <v>0</v>
      </c>
      <c r="L1245" s="497">
        <f t="shared" si="420"/>
        <v>0.113</v>
      </c>
      <c r="M1245" s="292"/>
      <c r="N1245" s="110"/>
      <c r="O1245" s="305"/>
      <c r="P1245" s="479"/>
    </row>
    <row r="1246" spans="1:58">
      <c r="A1246" s="1191"/>
      <c r="B1246" s="916"/>
      <c r="C1246" s="490"/>
      <c r="D1246" s="103">
        <v>2023</v>
      </c>
      <c r="E1246" s="108">
        <f t="shared" si="422"/>
        <v>0.115</v>
      </c>
      <c r="F1246" s="108">
        <v>0.115</v>
      </c>
      <c r="G1246" s="108">
        <v>0</v>
      </c>
      <c r="H1246" s="108">
        <v>0</v>
      </c>
      <c r="I1246" s="108">
        <v>0</v>
      </c>
      <c r="J1246" s="108">
        <v>0</v>
      </c>
      <c r="K1246" s="76">
        <v>0</v>
      </c>
      <c r="L1246" s="497">
        <f t="shared" si="420"/>
        <v>0.115</v>
      </c>
      <c r="M1246" s="292"/>
      <c r="N1246" s="110"/>
      <c r="O1246" s="305"/>
      <c r="P1246" s="479"/>
    </row>
    <row r="1247" spans="1:58">
      <c r="A1247" s="1191"/>
      <c r="B1247" s="916"/>
      <c r="C1247" s="490"/>
      <c r="D1247" s="103">
        <v>2024</v>
      </c>
      <c r="E1247" s="108">
        <f t="shared" si="422"/>
        <v>0.17469999999999999</v>
      </c>
      <c r="F1247" s="108">
        <v>0.17469999999999999</v>
      </c>
      <c r="G1247" s="108">
        <v>0</v>
      </c>
      <c r="H1247" s="108">
        <v>0</v>
      </c>
      <c r="I1247" s="108">
        <v>0</v>
      </c>
      <c r="J1247" s="108">
        <v>0</v>
      </c>
      <c r="K1247" s="76">
        <v>0</v>
      </c>
      <c r="L1247" s="497">
        <f t="shared" si="420"/>
        <v>0.17469999999999999</v>
      </c>
      <c r="M1247" s="292"/>
      <c r="N1247" s="110"/>
      <c r="O1247" s="305"/>
      <c r="P1247" s="479"/>
    </row>
    <row r="1248" spans="1:58">
      <c r="A1248" s="1192"/>
      <c r="B1248" s="999"/>
      <c r="C1248" s="490"/>
      <c r="D1248" s="103">
        <v>2025</v>
      </c>
      <c r="E1248" s="108">
        <f t="shared" si="422"/>
        <v>0.18165000000000001</v>
      </c>
      <c r="F1248" s="108">
        <v>0.18165000000000001</v>
      </c>
      <c r="G1248" s="108">
        <v>0</v>
      </c>
      <c r="H1248" s="108">
        <v>0</v>
      </c>
      <c r="I1248" s="108">
        <v>0</v>
      </c>
      <c r="J1248" s="108">
        <v>0</v>
      </c>
      <c r="K1248" s="76">
        <v>0</v>
      </c>
      <c r="L1248" s="497">
        <f t="shared" si="420"/>
        <v>0.18165000000000001</v>
      </c>
      <c r="M1248" s="292"/>
      <c r="N1248" s="110"/>
      <c r="O1248" s="305"/>
      <c r="P1248" s="479"/>
    </row>
    <row r="1249" spans="1:16">
      <c r="A1249" s="1201">
        <v>22</v>
      </c>
      <c r="B1249" s="929" t="s">
        <v>286</v>
      </c>
      <c r="C1249" s="1203"/>
      <c r="D1249" s="114" t="s">
        <v>16</v>
      </c>
      <c r="E1249" s="115">
        <f t="shared" ref="E1249:J1249" si="423">SUM(E1250:E1261)</f>
        <v>0.20910000000000001</v>
      </c>
      <c r="F1249" s="115">
        <f t="shared" si="423"/>
        <v>0.20910000000000001</v>
      </c>
      <c r="G1249" s="115">
        <f t="shared" si="423"/>
        <v>0</v>
      </c>
      <c r="H1249" s="115">
        <f t="shared" si="423"/>
        <v>0</v>
      </c>
      <c r="I1249" s="115">
        <f t="shared" si="423"/>
        <v>0</v>
      </c>
      <c r="J1249" s="115">
        <f t="shared" si="423"/>
        <v>0</v>
      </c>
      <c r="K1249" s="76">
        <v>0</v>
      </c>
      <c r="L1249" s="497">
        <f t="shared" si="420"/>
        <v>0.20910000000000001</v>
      </c>
      <c r="M1249" s="292"/>
      <c r="N1249" s="349"/>
      <c r="O1249" s="290"/>
      <c r="P1249" s="479"/>
    </row>
    <row r="1250" spans="1:16">
      <c r="A1250" s="1081"/>
      <c r="B1250" s="957"/>
      <c r="C1250" s="1178"/>
      <c r="D1250" s="114">
        <v>2019</v>
      </c>
      <c r="E1250" s="115">
        <f t="shared" ref="E1250:J1250" si="424">E1274+E1276</f>
        <v>0.11700000000000001</v>
      </c>
      <c r="F1250" s="115">
        <f t="shared" si="424"/>
        <v>0.11700000000000001</v>
      </c>
      <c r="G1250" s="115">
        <f t="shared" si="424"/>
        <v>0</v>
      </c>
      <c r="H1250" s="115">
        <f t="shared" si="424"/>
        <v>0</v>
      </c>
      <c r="I1250" s="115">
        <f t="shared" si="424"/>
        <v>0</v>
      </c>
      <c r="J1250" s="115">
        <f t="shared" si="424"/>
        <v>0</v>
      </c>
      <c r="K1250" s="76">
        <v>0</v>
      </c>
      <c r="L1250" s="497">
        <f t="shared" si="420"/>
        <v>0.11700000000000001</v>
      </c>
      <c r="M1250" s="292"/>
      <c r="N1250" s="349"/>
      <c r="O1250" s="290"/>
      <c r="P1250" s="479"/>
    </row>
    <row r="1251" spans="1:16">
      <c r="A1251" s="1081"/>
      <c r="B1251" s="957"/>
      <c r="C1251" s="1178"/>
      <c r="D1251" s="114">
        <v>2020</v>
      </c>
      <c r="E1251" s="115">
        <f t="shared" ref="E1251:E1261" si="425">F1251+G1251+H1251+I1251+J1251</f>
        <v>0</v>
      </c>
      <c r="F1251" s="115">
        <f t="shared" ref="F1251:F1261" si="426">F1263</f>
        <v>0</v>
      </c>
      <c r="G1251" s="115">
        <f>G1263+G1290</f>
        <v>0</v>
      </c>
      <c r="H1251" s="115">
        <f>H1263+H1290</f>
        <v>0</v>
      </c>
      <c r="I1251" s="115">
        <f>I1263+I1290</f>
        <v>0</v>
      </c>
      <c r="J1251" s="115">
        <f>J1263+J1290</f>
        <v>0</v>
      </c>
      <c r="K1251" s="76">
        <v>0</v>
      </c>
      <c r="L1251" s="497">
        <f t="shared" si="420"/>
        <v>0</v>
      </c>
      <c r="M1251" s="292"/>
      <c r="N1251" s="349"/>
      <c r="O1251" s="290"/>
      <c r="P1251" s="479"/>
    </row>
    <row r="1252" spans="1:16">
      <c r="A1252" s="1081"/>
      <c r="B1252" s="957"/>
      <c r="C1252" s="1178"/>
      <c r="D1252" s="114">
        <v>2021</v>
      </c>
      <c r="E1252" s="115">
        <f t="shared" si="425"/>
        <v>9.2100000000000001E-2</v>
      </c>
      <c r="F1252" s="115">
        <f t="shared" si="426"/>
        <v>9.2100000000000001E-2</v>
      </c>
      <c r="G1252" s="115">
        <f>G1263</f>
        <v>0</v>
      </c>
      <c r="H1252" s="115">
        <f>H1263</f>
        <v>0</v>
      </c>
      <c r="I1252" s="115">
        <f>I1263</f>
        <v>0</v>
      </c>
      <c r="J1252" s="115">
        <f>J1263</f>
        <v>0</v>
      </c>
      <c r="K1252" s="76">
        <v>0</v>
      </c>
      <c r="L1252" s="497">
        <f t="shared" si="420"/>
        <v>9.2100000000000001E-2</v>
      </c>
      <c r="M1252" s="292"/>
      <c r="N1252" s="349"/>
      <c r="O1252" s="290"/>
      <c r="P1252" s="479"/>
    </row>
    <row r="1253" spans="1:16">
      <c r="A1253" s="1081"/>
      <c r="B1253" s="957"/>
      <c r="C1253" s="1178"/>
      <c r="D1253" s="114">
        <v>2022</v>
      </c>
      <c r="E1253" s="115">
        <f t="shared" si="425"/>
        <v>0</v>
      </c>
      <c r="F1253" s="115">
        <f t="shared" si="426"/>
        <v>0</v>
      </c>
      <c r="G1253" s="115">
        <f t="shared" ref="G1253:J1261" si="427">G1265</f>
        <v>0</v>
      </c>
      <c r="H1253" s="115">
        <f t="shared" si="427"/>
        <v>0</v>
      </c>
      <c r="I1253" s="115">
        <f t="shared" si="427"/>
        <v>0</v>
      </c>
      <c r="J1253" s="115">
        <f t="shared" si="427"/>
        <v>0</v>
      </c>
      <c r="K1253" s="76">
        <v>0</v>
      </c>
      <c r="L1253" s="497">
        <f t="shared" si="420"/>
        <v>0</v>
      </c>
      <c r="M1253" s="292"/>
      <c r="N1253" s="349"/>
      <c r="O1253" s="290"/>
      <c r="P1253" s="479"/>
    </row>
    <row r="1254" spans="1:16">
      <c r="A1254" s="1081"/>
      <c r="B1254" s="957"/>
      <c r="C1254" s="1178"/>
      <c r="D1254" s="114">
        <v>2023</v>
      </c>
      <c r="E1254" s="115">
        <f t="shared" si="425"/>
        <v>0</v>
      </c>
      <c r="F1254" s="115">
        <f t="shared" si="426"/>
        <v>0</v>
      </c>
      <c r="G1254" s="115">
        <f t="shared" si="427"/>
        <v>0</v>
      </c>
      <c r="H1254" s="115">
        <f t="shared" si="427"/>
        <v>0</v>
      </c>
      <c r="I1254" s="115">
        <f t="shared" si="427"/>
        <v>0</v>
      </c>
      <c r="J1254" s="115">
        <f t="shared" si="427"/>
        <v>0</v>
      </c>
      <c r="K1254" s="76">
        <v>0</v>
      </c>
      <c r="L1254" s="497">
        <f t="shared" si="420"/>
        <v>0</v>
      </c>
      <c r="M1254" s="292"/>
      <c r="N1254" s="349"/>
      <c r="O1254" s="290"/>
      <c r="P1254" s="479"/>
    </row>
    <row r="1255" spans="1:16">
      <c r="A1255" s="1081"/>
      <c r="B1255" s="957"/>
      <c r="C1255" s="1178"/>
      <c r="D1255" s="114">
        <v>2024</v>
      </c>
      <c r="E1255" s="115">
        <f t="shared" si="425"/>
        <v>0</v>
      </c>
      <c r="F1255" s="115">
        <f t="shared" si="426"/>
        <v>0</v>
      </c>
      <c r="G1255" s="115">
        <f t="shared" si="427"/>
        <v>0</v>
      </c>
      <c r="H1255" s="115">
        <f t="shared" si="427"/>
        <v>0</v>
      </c>
      <c r="I1255" s="115">
        <f t="shared" si="427"/>
        <v>0</v>
      </c>
      <c r="J1255" s="115">
        <f t="shared" si="427"/>
        <v>0</v>
      </c>
      <c r="K1255" s="76">
        <v>0</v>
      </c>
      <c r="L1255" s="497">
        <f t="shared" si="420"/>
        <v>0</v>
      </c>
      <c r="M1255" s="292"/>
      <c r="N1255" s="349"/>
      <c r="O1255" s="290"/>
      <c r="P1255" s="479"/>
    </row>
    <row r="1256" spans="1:16">
      <c r="A1256" s="1081"/>
      <c r="B1256" s="957"/>
      <c r="C1256" s="1178"/>
      <c r="D1256" s="114">
        <v>2025</v>
      </c>
      <c r="E1256" s="115">
        <f t="shared" si="425"/>
        <v>0</v>
      </c>
      <c r="F1256" s="115">
        <f t="shared" si="426"/>
        <v>0</v>
      </c>
      <c r="G1256" s="115">
        <f t="shared" si="427"/>
        <v>0</v>
      </c>
      <c r="H1256" s="115">
        <f t="shared" si="427"/>
        <v>0</v>
      </c>
      <c r="I1256" s="115">
        <f t="shared" si="427"/>
        <v>0</v>
      </c>
      <c r="J1256" s="115">
        <f t="shared" si="427"/>
        <v>0</v>
      </c>
      <c r="K1256" s="76">
        <v>0</v>
      </c>
      <c r="L1256" s="497">
        <f t="shared" si="420"/>
        <v>0</v>
      </c>
      <c r="M1256" s="292"/>
      <c r="N1256" s="349"/>
      <c r="O1256" s="290"/>
      <c r="P1256" s="479"/>
    </row>
    <row r="1257" spans="1:16">
      <c r="A1257" s="1081"/>
      <c r="B1257" s="957"/>
      <c r="C1257" s="1178"/>
      <c r="D1257" s="114">
        <v>2026</v>
      </c>
      <c r="E1257" s="115">
        <f t="shared" si="425"/>
        <v>0</v>
      </c>
      <c r="F1257" s="115">
        <f t="shared" si="426"/>
        <v>0</v>
      </c>
      <c r="G1257" s="115">
        <f t="shared" si="427"/>
        <v>0</v>
      </c>
      <c r="H1257" s="115">
        <f t="shared" si="427"/>
        <v>0</v>
      </c>
      <c r="I1257" s="115">
        <f t="shared" si="427"/>
        <v>0</v>
      </c>
      <c r="J1257" s="115">
        <f t="shared" si="427"/>
        <v>0</v>
      </c>
      <c r="K1257" s="76">
        <v>0</v>
      </c>
      <c r="L1257" s="497">
        <f t="shared" si="420"/>
        <v>0</v>
      </c>
      <c r="M1257" s="292"/>
      <c r="N1257" s="349"/>
      <c r="O1257" s="290"/>
      <c r="P1257" s="479"/>
    </row>
    <row r="1258" spans="1:16">
      <c r="A1258" s="1081"/>
      <c r="B1258" s="957"/>
      <c r="C1258" s="1178"/>
      <c r="D1258" s="114">
        <v>2027</v>
      </c>
      <c r="E1258" s="115">
        <f t="shared" si="425"/>
        <v>0</v>
      </c>
      <c r="F1258" s="115">
        <f t="shared" si="426"/>
        <v>0</v>
      </c>
      <c r="G1258" s="115">
        <f t="shared" si="427"/>
        <v>0</v>
      </c>
      <c r="H1258" s="115">
        <f t="shared" si="427"/>
        <v>0</v>
      </c>
      <c r="I1258" s="115">
        <f t="shared" si="427"/>
        <v>0</v>
      </c>
      <c r="J1258" s="115">
        <f t="shared" si="427"/>
        <v>0</v>
      </c>
      <c r="K1258" s="76">
        <v>0</v>
      </c>
      <c r="L1258" s="497">
        <f t="shared" si="420"/>
        <v>0</v>
      </c>
      <c r="M1258" s="292"/>
      <c r="N1258" s="349"/>
      <c r="O1258" s="290"/>
      <c r="P1258" s="479"/>
    </row>
    <row r="1259" spans="1:16">
      <c r="A1259" s="1081"/>
      <c r="B1259" s="957"/>
      <c r="C1259" s="1178"/>
      <c r="D1259" s="114">
        <v>2028</v>
      </c>
      <c r="E1259" s="115">
        <f t="shared" si="425"/>
        <v>0</v>
      </c>
      <c r="F1259" s="115">
        <f t="shared" si="426"/>
        <v>0</v>
      </c>
      <c r="G1259" s="115">
        <f t="shared" si="427"/>
        <v>0</v>
      </c>
      <c r="H1259" s="115">
        <f t="shared" si="427"/>
        <v>0</v>
      </c>
      <c r="I1259" s="115">
        <f t="shared" si="427"/>
        <v>0</v>
      </c>
      <c r="J1259" s="115">
        <f t="shared" si="427"/>
        <v>0</v>
      </c>
      <c r="K1259" s="76">
        <v>0</v>
      </c>
      <c r="L1259" s="497">
        <f t="shared" si="420"/>
        <v>0</v>
      </c>
      <c r="M1259" s="292"/>
      <c r="N1259" s="349"/>
      <c r="O1259" s="290"/>
      <c r="P1259" s="479"/>
    </row>
    <row r="1260" spans="1:16">
      <c r="A1260" s="1081"/>
      <c r="B1260" s="957"/>
      <c r="C1260" s="1178"/>
      <c r="D1260" s="114">
        <v>2029</v>
      </c>
      <c r="E1260" s="115">
        <f t="shared" si="425"/>
        <v>0</v>
      </c>
      <c r="F1260" s="115">
        <f t="shared" si="426"/>
        <v>0</v>
      </c>
      <c r="G1260" s="115">
        <f t="shared" si="427"/>
        <v>0</v>
      </c>
      <c r="H1260" s="115">
        <f t="shared" si="427"/>
        <v>0</v>
      </c>
      <c r="I1260" s="115">
        <f t="shared" si="427"/>
        <v>0</v>
      </c>
      <c r="J1260" s="115">
        <f t="shared" si="427"/>
        <v>0</v>
      </c>
      <c r="K1260" s="76">
        <v>0</v>
      </c>
      <c r="L1260" s="497">
        <f t="shared" si="420"/>
        <v>0</v>
      </c>
      <c r="M1260" s="292"/>
      <c r="N1260" s="349"/>
      <c r="O1260" s="290"/>
      <c r="P1260" s="479"/>
    </row>
    <row r="1261" spans="1:16">
      <c r="A1261" s="1202"/>
      <c r="B1261" s="859"/>
      <c r="C1261" s="1179"/>
      <c r="D1261" s="114">
        <v>2030</v>
      </c>
      <c r="E1261" s="115">
        <f t="shared" si="425"/>
        <v>0</v>
      </c>
      <c r="F1261" s="115">
        <f t="shared" si="426"/>
        <v>0</v>
      </c>
      <c r="G1261" s="115">
        <f t="shared" si="427"/>
        <v>0</v>
      </c>
      <c r="H1261" s="115">
        <f t="shared" si="427"/>
        <v>0</v>
      </c>
      <c r="I1261" s="115">
        <f t="shared" si="427"/>
        <v>0</v>
      </c>
      <c r="J1261" s="115">
        <f t="shared" si="427"/>
        <v>0</v>
      </c>
      <c r="K1261" s="76">
        <v>0</v>
      </c>
      <c r="L1261" s="497">
        <f t="shared" si="420"/>
        <v>0</v>
      </c>
      <c r="M1261" s="292"/>
      <c r="N1261" s="349"/>
      <c r="O1261" s="290"/>
      <c r="P1261" s="479"/>
    </row>
    <row r="1262" spans="1:16">
      <c r="A1262" s="1048" t="s">
        <v>1386</v>
      </c>
      <c r="B1262" s="867" t="s">
        <v>1077</v>
      </c>
      <c r="C1262" s="579"/>
      <c r="D1262" s="114" t="s">
        <v>16</v>
      </c>
      <c r="E1262" s="115">
        <f t="shared" ref="E1262:J1262" si="428">SUM(E1263:E1273)</f>
        <v>9.2100000000000001E-2</v>
      </c>
      <c r="F1262" s="115">
        <f t="shared" si="428"/>
        <v>9.2100000000000001E-2</v>
      </c>
      <c r="G1262" s="115">
        <f t="shared" si="428"/>
        <v>0</v>
      </c>
      <c r="H1262" s="115">
        <f t="shared" si="428"/>
        <v>0</v>
      </c>
      <c r="I1262" s="115">
        <f t="shared" si="428"/>
        <v>0</v>
      </c>
      <c r="J1262" s="115">
        <f t="shared" si="428"/>
        <v>0</v>
      </c>
      <c r="K1262" s="76">
        <v>0</v>
      </c>
      <c r="L1262" s="497">
        <f t="shared" si="420"/>
        <v>9.2100000000000001E-2</v>
      </c>
      <c r="M1262" s="292"/>
      <c r="N1262" s="349"/>
      <c r="O1262" s="290"/>
      <c r="P1262" s="881" t="s">
        <v>527</v>
      </c>
    </row>
    <row r="1263" spans="1:16">
      <c r="A1263" s="1049"/>
      <c r="B1263" s="872"/>
      <c r="C1263" s="1185" t="s">
        <v>1387</v>
      </c>
      <c r="D1263" s="103">
        <v>2020</v>
      </c>
      <c r="E1263" s="108">
        <f t="shared" ref="E1263:E1273" si="429">F1263+G1263+H1263+I1263+J1263</f>
        <v>0</v>
      </c>
      <c r="F1263" s="108">
        <v>0</v>
      </c>
      <c r="G1263" s="108">
        <v>0</v>
      </c>
      <c r="H1263" s="108">
        <v>0</v>
      </c>
      <c r="I1263" s="108">
        <v>0</v>
      </c>
      <c r="J1263" s="108">
        <v>0</v>
      </c>
      <c r="K1263" s="76">
        <v>0</v>
      </c>
      <c r="L1263" s="497">
        <f t="shared" si="420"/>
        <v>0</v>
      </c>
      <c r="M1263" s="292"/>
      <c r="N1263" s="349"/>
      <c r="O1263" s="290"/>
      <c r="P1263" s="882"/>
    </row>
    <row r="1264" spans="1:16" ht="12.75" customHeight="1">
      <c r="A1264" s="1049"/>
      <c r="B1264" s="872"/>
      <c r="C1264" s="1185"/>
      <c r="D1264" s="103">
        <v>2021</v>
      </c>
      <c r="E1264" s="108">
        <f t="shared" si="429"/>
        <v>9.2100000000000001E-2</v>
      </c>
      <c r="F1264" s="108">
        <v>9.2100000000000001E-2</v>
      </c>
      <c r="G1264" s="108">
        <v>0</v>
      </c>
      <c r="H1264" s="108">
        <v>0</v>
      </c>
      <c r="I1264" s="108">
        <v>0</v>
      </c>
      <c r="J1264" s="108">
        <v>0</v>
      </c>
      <c r="K1264" s="76">
        <v>0</v>
      </c>
      <c r="L1264" s="497">
        <f t="shared" si="420"/>
        <v>9.2100000000000001E-2</v>
      </c>
      <c r="M1264" s="292"/>
      <c r="N1264" s="349"/>
      <c r="O1264" s="290"/>
      <c r="P1264" s="882"/>
    </row>
    <row r="1265" spans="1:16">
      <c r="A1265" s="1049"/>
      <c r="B1265" s="872"/>
      <c r="C1265" s="1185"/>
      <c r="D1265" s="103">
        <v>2022</v>
      </c>
      <c r="E1265" s="108">
        <f t="shared" si="429"/>
        <v>0</v>
      </c>
      <c r="F1265" s="108">
        <v>0</v>
      </c>
      <c r="G1265" s="108">
        <v>0</v>
      </c>
      <c r="H1265" s="108">
        <v>0</v>
      </c>
      <c r="I1265" s="108">
        <v>0</v>
      </c>
      <c r="J1265" s="108">
        <v>0</v>
      </c>
      <c r="K1265" s="76">
        <v>0</v>
      </c>
      <c r="L1265" s="497">
        <f t="shared" si="420"/>
        <v>0</v>
      </c>
      <c r="M1265" s="292"/>
      <c r="N1265" s="349"/>
      <c r="O1265" s="290"/>
      <c r="P1265" s="882"/>
    </row>
    <row r="1266" spans="1:16">
      <c r="A1266" s="1049"/>
      <c r="B1266" s="872"/>
      <c r="C1266" s="1185"/>
      <c r="D1266" s="103">
        <v>2023</v>
      </c>
      <c r="E1266" s="108">
        <f t="shared" si="429"/>
        <v>0</v>
      </c>
      <c r="F1266" s="108">
        <v>0</v>
      </c>
      <c r="G1266" s="108">
        <v>0</v>
      </c>
      <c r="H1266" s="108">
        <v>0</v>
      </c>
      <c r="I1266" s="108">
        <v>0</v>
      </c>
      <c r="J1266" s="108">
        <v>0</v>
      </c>
      <c r="K1266" s="76">
        <v>0</v>
      </c>
      <c r="L1266" s="497">
        <f t="shared" si="420"/>
        <v>0</v>
      </c>
      <c r="M1266" s="292"/>
      <c r="N1266" s="349"/>
      <c r="O1266" s="290"/>
      <c r="P1266" s="882"/>
    </row>
    <row r="1267" spans="1:16">
      <c r="A1267" s="1049"/>
      <c r="B1267" s="872"/>
      <c r="C1267" s="1185"/>
      <c r="D1267" s="103">
        <v>2024</v>
      </c>
      <c r="E1267" s="108">
        <f t="shared" si="429"/>
        <v>0</v>
      </c>
      <c r="F1267" s="108">
        <v>0</v>
      </c>
      <c r="G1267" s="108">
        <v>0</v>
      </c>
      <c r="H1267" s="108">
        <v>0</v>
      </c>
      <c r="I1267" s="108">
        <v>0</v>
      </c>
      <c r="J1267" s="108">
        <v>0</v>
      </c>
      <c r="K1267" s="76">
        <v>0</v>
      </c>
      <c r="L1267" s="497">
        <f t="shared" si="420"/>
        <v>0</v>
      </c>
      <c r="M1267" s="292"/>
      <c r="N1267" s="349"/>
      <c r="O1267" s="290"/>
      <c r="P1267" s="882"/>
    </row>
    <row r="1268" spans="1:16">
      <c r="A1268" s="1049"/>
      <c r="B1268" s="872"/>
      <c r="C1268" s="1109"/>
      <c r="D1268" s="103">
        <v>2025</v>
      </c>
      <c r="E1268" s="108">
        <f t="shared" si="429"/>
        <v>0</v>
      </c>
      <c r="F1268" s="108">
        <v>0</v>
      </c>
      <c r="G1268" s="108">
        <v>0</v>
      </c>
      <c r="H1268" s="108">
        <v>0</v>
      </c>
      <c r="I1268" s="108">
        <v>0</v>
      </c>
      <c r="J1268" s="108">
        <v>0</v>
      </c>
      <c r="K1268" s="76">
        <v>0</v>
      </c>
      <c r="L1268" s="497">
        <f t="shared" si="420"/>
        <v>0</v>
      </c>
      <c r="M1268" s="292"/>
      <c r="N1268" s="349"/>
      <c r="O1268" s="290"/>
      <c r="P1268" s="882"/>
    </row>
    <row r="1269" spans="1:16">
      <c r="A1269" s="1049"/>
      <c r="B1269" s="872"/>
      <c r="C1269" s="1019" t="s">
        <v>1078</v>
      </c>
      <c r="D1269" s="103">
        <v>2026</v>
      </c>
      <c r="E1269" s="108">
        <f t="shared" si="429"/>
        <v>0</v>
      </c>
      <c r="F1269" s="108">
        <v>0</v>
      </c>
      <c r="G1269" s="108">
        <v>0</v>
      </c>
      <c r="H1269" s="108">
        <v>0</v>
      </c>
      <c r="I1269" s="108">
        <v>0</v>
      </c>
      <c r="J1269" s="108">
        <v>0</v>
      </c>
      <c r="K1269" s="76">
        <v>0</v>
      </c>
      <c r="L1269" s="497">
        <f t="shared" si="420"/>
        <v>0</v>
      </c>
      <c r="M1269" s="292"/>
      <c r="N1269" s="349"/>
      <c r="O1269" s="290"/>
      <c r="P1269" s="882"/>
    </row>
    <row r="1270" spans="1:16">
      <c r="A1270" s="1049"/>
      <c r="B1270" s="872"/>
      <c r="C1270" s="1019"/>
      <c r="D1270" s="103">
        <v>2027</v>
      </c>
      <c r="E1270" s="108">
        <f t="shared" si="429"/>
        <v>0</v>
      </c>
      <c r="F1270" s="108">
        <v>0</v>
      </c>
      <c r="G1270" s="108">
        <v>0</v>
      </c>
      <c r="H1270" s="108">
        <v>0</v>
      </c>
      <c r="I1270" s="108">
        <v>0</v>
      </c>
      <c r="J1270" s="108">
        <v>0</v>
      </c>
      <c r="K1270" s="76">
        <v>0</v>
      </c>
      <c r="L1270" s="497">
        <f t="shared" si="420"/>
        <v>0</v>
      </c>
      <c r="M1270" s="292"/>
      <c r="N1270" s="349"/>
      <c r="O1270" s="290"/>
      <c r="P1270" s="882"/>
    </row>
    <row r="1271" spans="1:16">
      <c r="A1271" s="1049"/>
      <c r="B1271" s="872"/>
      <c r="C1271" s="1019"/>
      <c r="D1271" s="103">
        <v>2028</v>
      </c>
      <c r="E1271" s="108">
        <f t="shared" si="429"/>
        <v>0</v>
      </c>
      <c r="F1271" s="108">
        <v>0</v>
      </c>
      <c r="G1271" s="108">
        <v>0</v>
      </c>
      <c r="H1271" s="108">
        <v>0</v>
      </c>
      <c r="I1271" s="108">
        <v>0</v>
      </c>
      <c r="J1271" s="108">
        <v>0</v>
      </c>
      <c r="K1271" s="76">
        <v>0</v>
      </c>
      <c r="L1271" s="497">
        <f t="shared" si="420"/>
        <v>0</v>
      </c>
      <c r="M1271" s="292"/>
      <c r="N1271" s="349"/>
      <c r="O1271" s="290"/>
      <c r="P1271" s="882"/>
    </row>
    <row r="1272" spans="1:16">
      <c r="A1272" s="1049"/>
      <c r="B1272" s="872"/>
      <c r="C1272" s="1019"/>
      <c r="D1272" s="103">
        <v>2029</v>
      </c>
      <c r="E1272" s="108">
        <f t="shared" si="429"/>
        <v>0</v>
      </c>
      <c r="F1272" s="108">
        <v>0</v>
      </c>
      <c r="G1272" s="108">
        <v>0</v>
      </c>
      <c r="H1272" s="108">
        <v>0</v>
      </c>
      <c r="I1272" s="108">
        <v>0</v>
      </c>
      <c r="J1272" s="108">
        <v>0</v>
      </c>
      <c r="K1272" s="76">
        <v>0</v>
      </c>
      <c r="L1272" s="497">
        <f t="shared" ref="L1272:L1307" si="430">F1272+G1272+H1272+I1272+J1272</f>
        <v>0</v>
      </c>
      <c r="M1272" s="292"/>
      <c r="N1272" s="349"/>
      <c r="O1272" s="290"/>
      <c r="P1272" s="882"/>
    </row>
    <row r="1273" spans="1:16">
      <c r="A1273" s="1050"/>
      <c r="B1273" s="873"/>
      <c r="C1273" s="1019"/>
      <c r="D1273" s="103">
        <v>2030</v>
      </c>
      <c r="E1273" s="108">
        <f t="shared" si="429"/>
        <v>0</v>
      </c>
      <c r="F1273" s="108">
        <v>0</v>
      </c>
      <c r="G1273" s="108">
        <v>0</v>
      </c>
      <c r="H1273" s="108">
        <v>0</v>
      </c>
      <c r="I1273" s="108">
        <v>0</v>
      </c>
      <c r="J1273" s="108">
        <v>0</v>
      </c>
      <c r="K1273" s="76">
        <v>0</v>
      </c>
      <c r="L1273" s="497">
        <f t="shared" si="430"/>
        <v>0</v>
      </c>
      <c r="M1273" s="292"/>
      <c r="N1273" s="349"/>
      <c r="O1273" s="290"/>
      <c r="P1273" s="964"/>
    </row>
    <row r="1274" spans="1:16" ht="63.75">
      <c r="A1274" s="398" t="s">
        <v>1388</v>
      </c>
      <c r="B1274" s="60" t="s">
        <v>1080</v>
      </c>
      <c r="C1274" s="534" t="s">
        <v>955</v>
      </c>
      <c r="D1274" s="103">
        <v>2019</v>
      </c>
      <c r="E1274" s="108">
        <v>0.11700000000000001</v>
      </c>
      <c r="F1274" s="108">
        <v>0.11700000000000001</v>
      </c>
      <c r="G1274" s="108">
        <v>0</v>
      </c>
      <c r="H1274" s="108">
        <v>0</v>
      </c>
      <c r="I1274" s="108">
        <v>0</v>
      </c>
      <c r="J1274" s="108">
        <v>0</v>
      </c>
      <c r="K1274" s="76">
        <v>0</v>
      </c>
      <c r="L1274" s="497">
        <f t="shared" si="430"/>
        <v>0.11700000000000001</v>
      </c>
      <c r="M1274" s="292"/>
      <c r="N1274" s="349"/>
      <c r="O1274" s="290"/>
      <c r="P1274" s="1019" t="s">
        <v>1081</v>
      </c>
    </row>
    <row r="1275" spans="1:16" ht="18" customHeight="1">
      <c r="A1275" s="1063" t="s">
        <v>1092</v>
      </c>
      <c r="B1275" s="867" t="s">
        <v>1083</v>
      </c>
      <c r="C1275" s="585"/>
      <c r="D1275" s="114" t="s">
        <v>16</v>
      </c>
      <c r="E1275" s="115">
        <f t="shared" ref="E1275:J1275" si="431">E1276</f>
        <v>0</v>
      </c>
      <c r="F1275" s="115">
        <f t="shared" si="431"/>
        <v>0</v>
      </c>
      <c r="G1275" s="115">
        <f t="shared" si="431"/>
        <v>0</v>
      </c>
      <c r="H1275" s="115">
        <f t="shared" si="431"/>
        <v>0</v>
      </c>
      <c r="I1275" s="115">
        <f t="shared" si="431"/>
        <v>0</v>
      </c>
      <c r="J1275" s="115">
        <f t="shared" si="431"/>
        <v>0</v>
      </c>
      <c r="K1275" s="76">
        <v>0</v>
      </c>
      <c r="L1275" s="497">
        <f t="shared" si="430"/>
        <v>0</v>
      </c>
      <c r="M1275" s="292"/>
      <c r="N1275" s="349"/>
      <c r="O1275" s="290"/>
      <c r="P1275" s="1019"/>
    </row>
    <row r="1276" spans="1:16" ht="27.75" customHeight="1">
      <c r="A1276" s="1063"/>
      <c r="B1276" s="873"/>
      <c r="C1276" s="534" t="s">
        <v>955</v>
      </c>
      <c r="D1276" s="103">
        <v>2019</v>
      </c>
      <c r="E1276" s="108">
        <f>F1276+G1276+H1276+I1276+J1276</f>
        <v>0</v>
      </c>
      <c r="F1276" s="108">
        <v>0</v>
      </c>
      <c r="G1276" s="108">
        <v>0</v>
      </c>
      <c r="H1276" s="108">
        <v>0</v>
      </c>
      <c r="I1276" s="108">
        <v>0</v>
      </c>
      <c r="J1276" s="108">
        <v>0</v>
      </c>
      <c r="K1276" s="76">
        <v>0</v>
      </c>
      <c r="L1276" s="497">
        <f t="shared" si="430"/>
        <v>0</v>
      </c>
      <c r="M1276" s="292"/>
      <c r="N1276" s="349"/>
      <c r="O1276" s="290"/>
      <c r="P1276" s="1019"/>
    </row>
    <row r="1277" spans="1:16" ht="23.25" customHeight="1">
      <c r="A1277" s="1190" t="s">
        <v>1389</v>
      </c>
      <c r="B1277" s="1193" t="s">
        <v>1085</v>
      </c>
      <c r="C1277" s="881" t="s">
        <v>1390</v>
      </c>
      <c r="D1277" s="114" t="s">
        <v>16</v>
      </c>
      <c r="E1277" s="115">
        <f t="shared" ref="E1277:J1277" si="432">E1278+E1279+E1280+E1281+E1282+E1283+E1284+E1285+E1286+E1287+E1288</f>
        <v>43.454575363553282</v>
      </c>
      <c r="F1277" s="115">
        <f t="shared" si="432"/>
        <v>43.454575363553282</v>
      </c>
      <c r="G1277" s="115">
        <f t="shared" si="432"/>
        <v>0</v>
      </c>
      <c r="H1277" s="115">
        <f t="shared" si="432"/>
        <v>0</v>
      </c>
      <c r="I1277" s="115">
        <f t="shared" si="432"/>
        <v>0</v>
      </c>
      <c r="J1277" s="115">
        <f t="shared" si="432"/>
        <v>0</v>
      </c>
      <c r="K1277" s="76">
        <v>0</v>
      </c>
      <c r="L1277" s="497">
        <f t="shared" si="430"/>
        <v>43.454575363553282</v>
      </c>
      <c r="M1277" s="292"/>
      <c r="N1277" s="349"/>
      <c r="O1277" s="290"/>
      <c r="P1277" s="881" t="s">
        <v>1081</v>
      </c>
    </row>
    <row r="1278" spans="1:16">
      <c r="A1278" s="1191"/>
      <c r="B1278" s="953"/>
      <c r="C1278" s="882"/>
      <c r="D1278" s="103">
        <v>2020</v>
      </c>
      <c r="E1278" s="108">
        <f t="shared" ref="E1278:J1278" si="433">E1290+E1292+E1304</f>
        <v>7.4136959999999998</v>
      </c>
      <c r="F1278" s="108">
        <f t="shared" si="433"/>
        <v>7.4136959999999998</v>
      </c>
      <c r="G1278" s="108">
        <f t="shared" si="433"/>
        <v>0</v>
      </c>
      <c r="H1278" s="108">
        <f t="shared" si="433"/>
        <v>0</v>
      </c>
      <c r="I1278" s="108">
        <f t="shared" si="433"/>
        <v>0</v>
      </c>
      <c r="J1278" s="108">
        <f t="shared" si="433"/>
        <v>0</v>
      </c>
      <c r="K1278" s="76">
        <v>0</v>
      </c>
      <c r="L1278" s="497">
        <f t="shared" si="430"/>
        <v>7.4136959999999998</v>
      </c>
      <c r="M1278" s="292"/>
      <c r="N1278" s="349"/>
      <c r="O1278" s="290"/>
      <c r="P1278" s="882"/>
    </row>
    <row r="1279" spans="1:16">
      <c r="A1279" s="1191"/>
      <c r="B1279" s="953"/>
      <c r="C1279" s="882"/>
      <c r="D1279" s="103">
        <v>2021</v>
      </c>
      <c r="E1279" s="108">
        <f t="shared" ref="E1279:E1288" si="434">F1279+G1279+H1279+I1279+J1279</f>
        <v>3.2953000000000001</v>
      </c>
      <c r="F1279" s="108">
        <f>F1293+F1305</f>
        <v>3.2953000000000001</v>
      </c>
      <c r="G1279" s="108">
        <f t="shared" ref="G1279:J1288" si="435">G1291+G1293</f>
        <v>0</v>
      </c>
      <c r="H1279" s="108">
        <f t="shared" si="435"/>
        <v>0</v>
      </c>
      <c r="I1279" s="108">
        <f t="shared" si="435"/>
        <v>0</v>
      </c>
      <c r="J1279" s="108">
        <f t="shared" si="435"/>
        <v>0</v>
      </c>
      <c r="K1279" s="76">
        <v>0</v>
      </c>
      <c r="L1279" s="497">
        <f t="shared" si="430"/>
        <v>3.2953000000000001</v>
      </c>
      <c r="M1279" s="292"/>
      <c r="N1279" s="349"/>
      <c r="O1279" s="290"/>
      <c r="P1279" s="882"/>
    </row>
    <row r="1280" spans="1:16">
      <c r="A1280" s="1191"/>
      <c r="B1280" s="953"/>
      <c r="C1280" s="882"/>
      <c r="D1280" s="103">
        <v>2022</v>
      </c>
      <c r="E1280" s="108">
        <f t="shared" si="434"/>
        <v>3.4245999999999999</v>
      </c>
      <c r="F1280" s="108">
        <f>F1294+F1306</f>
        <v>3.4245999999999999</v>
      </c>
      <c r="G1280" s="108">
        <f t="shared" si="435"/>
        <v>0</v>
      </c>
      <c r="H1280" s="108">
        <f t="shared" si="435"/>
        <v>0</v>
      </c>
      <c r="I1280" s="108">
        <f t="shared" si="435"/>
        <v>0</v>
      </c>
      <c r="J1280" s="108">
        <f t="shared" si="435"/>
        <v>0</v>
      </c>
      <c r="K1280" s="76">
        <v>0</v>
      </c>
      <c r="L1280" s="497">
        <f t="shared" si="430"/>
        <v>3.4245999999999999</v>
      </c>
      <c r="M1280" s="292"/>
      <c r="N1280" s="349"/>
      <c r="O1280" s="290"/>
      <c r="P1280" s="882"/>
    </row>
    <row r="1281" spans="1:141">
      <c r="A1281" s="1191"/>
      <c r="B1281" s="953"/>
      <c r="C1281" s="882"/>
      <c r="D1281" s="103">
        <v>2023</v>
      </c>
      <c r="E1281" s="108">
        <f t="shared" si="434"/>
        <v>3.5589</v>
      </c>
      <c r="F1281" s="108">
        <f>F1295+F1307</f>
        <v>3.5589</v>
      </c>
      <c r="G1281" s="108">
        <f t="shared" si="435"/>
        <v>0</v>
      </c>
      <c r="H1281" s="108">
        <f t="shared" si="435"/>
        <v>0</v>
      </c>
      <c r="I1281" s="108">
        <f t="shared" si="435"/>
        <v>0</v>
      </c>
      <c r="J1281" s="108">
        <f t="shared" si="435"/>
        <v>0</v>
      </c>
      <c r="K1281" s="76">
        <v>0</v>
      </c>
      <c r="L1281" s="497">
        <f t="shared" si="430"/>
        <v>3.5589</v>
      </c>
      <c r="M1281" s="292"/>
      <c r="N1281" s="349"/>
      <c r="O1281" s="290"/>
      <c r="P1281" s="882"/>
    </row>
    <row r="1282" spans="1:141">
      <c r="A1282" s="1191"/>
      <c r="B1282" s="953"/>
      <c r="C1282" s="882"/>
      <c r="D1282" s="103">
        <v>2024</v>
      </c>
      <c r="E1282" s="108">
        <f t="shared" si="434"/>
        <v>3.2616999999999998</v>
      </c>
      <c r="F1282" s="108">
        <f t="shared" ref="F1282:F1288" si="436">F1296</f>
        <v>3.2616999999999998</v>
      </c>
      <c r="G1282" s="108">
        <f t="shared" si="435"/>
        <v>0</v>
      </c>
      <c r="H1282" s="108">
        <f t="shared" si="435"/>
        <v>0</v>
      </c>
      <c r="I1282" s="108">
        <f t="shared" si="435"/>
        <v>0</v>
      </c>
      <c r="J1282" s="108">
        <f t="shared" si="435"/>
        <v>0</v>
      </c>
      <c r="K1282" s="76">
        <v>0</v>
      </c>
      <c r="L1282" s="497">
        <f t="shared" si="430"/>
        <v>3.2616999999999998</v>
      </c>
      <c r="M1282" s="292"/>
      <c r="N1282" s="349"/>
      <c r="O1282" s="290"/>
      <c r="P1282" s="882"/>
    </row>
    <row r="1283" spans="1:141">
      <c r="A1283" s="1191"/>
      <c r="B1283" s="953"/>
      <c r="C1283" s="882"/>
      <c r="D1283" s="103">
        <v>2025</v>
      </c>
      <c r="E1283" s="108">
        <f t="shared" si="434"/>
        <v>3.3921999999999999</v>
      </c>
      <c r="F1283" s="108">
        <f t="shared" si="436"/>
        <v>3.3921999999999999</v>
      </c>
      <c r="G1283" s="108">
        <f t="shared" si="435"/>
        <v>0</v>
      </c>
      <c r="H1283" s="108">
        <f t="shared" si="435"/>
        <v>0</v>
      </c>
      <c r="I1283" s="108">
        <f t="shared" si="435"/>
        <v>0</v>
      </c>
      <c r="J1283" s="108">
        <f t="shared" si="435"/>
        <v>0</v>
      </c>
      <c r="K1283" s="76">
        <v>0</v>
      </c>
      <c r="L1283" s="497">
        <f t="shared" si="430"/>
        <v>3.3921999999999999</v>
      </c>
      <c r="M1283" s="292"/>
      <c r="N1283" s="349"/>
      <c r="O1283" s="290"/>
      <c r="P1283" s="882"/>
    </row>
    <row r="1284" spans="1:141">
      <c r="A1284" s="1191"/>
      <c r="B1284" s="953"/>
      <c r="C1284" s="1019" t="s">
        <v>1091</v>
      </c>
      <c r="D1284" s="103">
        <v>2026</v>
      </c>
      <c r="E1284" s="108">
        <f t="shared" si="434"/>
        <v>3.5278879999999999</v>
      </c>
      <c r="F1284" s="108">
        <f t="shared" si="436"/>
        <v>3.5278879999999999</v>
      </c>
      <c r="G1284" s="108">
        <f t="shared" si="435"/>
        <v>0</v>
      </c>
      <c r="H1284" s="108">
        <f t="shared" si="435"/>
        <v>0</v>
      </c>
      <c r="I1284" s="108">
        <f t="shared" si="435"/>
        <v>0</v>
      </c>
      <c r="J1284" s="108">
        <f t="shared" si="435"/>
        <v>0</v>
      </c>
      <c r="K1284" s="76">
        <v>0</v>
      </c>
      <c r="L1284" s="497">
        <f t="shared" si="430"/>
        <v>3.5278879999999999</v>
      </c>
      <c r="M1284" s="292"/>
      <c r="N1284" s="349"/>
      <c r="O1284" s="290"/>
      <c r="P1284" s="882"/>
    </row>
    <row r="1285" spans="1:141">
      <c r="A1285" s="1191"/>
      <c r="B1285" s="953"/>
      <c r="C1285" s="1019"/>
      <c r="D1285" s="103">
        <v>2027</v>
      </c>
      <c r="E1285" s="108">
        <f t="shared" si="434"/>
        <v>3.66900352</v>
      </c>
      <c r="F1285" s="108">
        <f t="shared" si="436"/>
        <v>3.66900352</v>
      </c>
      <c r="G1285" s="108">
        <f t="shared" si="435"/>
        <v>0</v>
      </c>
      <c r="H1285" s="108">
        <f t="shared" si="435"/>
        <v>0</v>
      </c>
      <c r="I1285" s="108">
        <f t="shared" si="435"/>
        <v>0</v>
      </c>
      <c r="J1285" s="108">
        <f t="shared" si="435"/>
        <v>0</v>
      </c>
      <c r="K1285" s="76">
        <v>0</v>
      </c>
      <c r="L1285" s="497">
        <f t="shared" si="430"/>
        <v>3.66900352</v>
      </c>
      <c r="M1285" s="292"/>
      <c r="N1285" s="349"/>
      <c r="O1285" s="290"/>
      <c r="P1285" s="882"/>
    </row>
    <row r="1286" spans="1:141">
      <c r="A1286" s="1191"/>
      <c r="B1286" s="953"/>
      <c r="C1286" s="1019"/>
      <c r="D1286" s="103">
        <v>2028</v>
      </c>
      <c r="E1286" s="108">
        <f t="shared" si="434"/>
        <v>3.8157636608000001</v>
      </c>
      <c r="F1286" s="108">
        <f t="shared" si="436"/>
        <v>3.8157636608000001</v>
      </c>
      <c r="G1286" s="108">
        <f t="shared" si="435"/>
        <v>0</v>
      </c>
      <c r="H1286" s="108">
        <f t="shared" si="435"/>
        <v>0</v>
      </c>
      <c r="I1286" s="108">
        <f t="shared" si="435"/>
        <v>0</v>
      </c>
      <c r="J1286" s="108">
        <f t="shared" si="435"/>
        <v>0</v>
      </c>
      <c r="K1286" s="76">
        <v>0</v>
      </c>
      <c r="L1286" s="497">
        <f t="shared" si="430"/>
        <v>3.8157636608000001</v>
      </c>
      <c r="M1286" s="292"/>
      <c r="N1286" s="349"/>
      <c r="O1286" s="290"/>
      <c r="P1286" s="882"/>
    </row>
    <row r="1287" spans="1:141">
      <c r="A1287" s="1191"/>
      <c r="B1287" s="953"/>
      <c r="C1287" s="1019"/>
      <c r="D1287" s="103">
        <v>2029</v>
      </c>
      <c r="E1287" s="108">
        <f t="shared" si="434"/>
        <v>3.9683942072320004</v>
      </c>
      <c r="F1287" s="108">
        <f t="shared" si="436"/>
        <v>3.9683942072320004</v>
      </c>
      <c r="G1287" s="108">
        <f t="shared" si="435"/>
        <v>0</v>
      </c>
      <c r="H1287" s="108">
        <f t="shared" si="435"/>
        <v>0</v>
      </c>
      <c r="I1287" s="108">
        <f t="shared" si="435"/>
        <v>0</v>
      </c>
      <c r="J1287" s="108">
        <f t="shared" si="435"/>
        <v>0</v>
      </c>
      <c r="K1287" s="76">
        <v>0</v>
      </c>
      <c r="L1287" s="497">
        <f t="shared" si="430"/>
        <v>3.9683942072320004</v>
      </c>
      <c r="M1287" s="292"/>
      <c r="N1287" s="349"/>
      <c r="O1287" s="290"/>
      <c r="P1287" s="882"/>
    </row>
    <row r="1288" spans="1:141">
      <c r="A1288" s="1192"/>
      <c r="B1288" s="954"/>
      <c r="C1288" s="881"/>
      <c r="D1288" s="103">
        <v>2030</v>
      </c>
      <c r="E1288" s="108">
        <f t="shared" si="434"/>
        <v>4.1271299755212807</v>
      </c>
      <c r="F1288" s="108">
        <f t="shared" si="436"/>
        <v>4.1271299755212807</v>
      </c>
      <c r="G1288" s="108">
        <f t="shared" si="435"/>
        <v>0</v>
      </c>
      <c r="H1288" s="108">
        <f t="shared" si="435"/>
        <v>0</v>
      </c>
      <c r="I1288" s="108">
        <f t="shared" si="435"/>
        <v>0</v>
      </c>
      <c r="J1288" s="108">
        <f t="shared" si="435"/>
        <v>0</v>
      </c>
      <c r="K1288" s="76">
        <v>0</v>
      </c>
      <c r="L1288" s="497">
        <f t="shared" si="430"/>
        <v>4.1271299755212807</v>
      </c>
      <c r="M1288" s="292"/>
      <c r="N1288" s="349"/>
      <c r="O1288" s="290"/>
      <c r="P1288" s="882"/>
    </row>
    <row r="1289" spans="1:141">
      <c r="A1289" s="1048" t="s">
        <v>1391</v>
      </c>
      <c r="B1289" s="870" t="s">
        <v>1088</v>
      </c>
      <c r="C1289" s="881"/>
      <c r="D1289" s="586" t="s">
        <v>16</v>
      </c>
      <c r="E1289" s="115">
        <f t="shared" ref="E1289:J1289" si="437">E1290</f>
        <v>4.62</v>
      </c>
      <c r="F1289" s="115">
        <f t="shared" si="437"/>
        <v>4.62</v>
      </c>
      <c r="G1289" s="115">
        <f t="shared" si="437"/>
        <v>0</v>
      </c>
      <c r="H1289" s="115">
        <f t="shared" si="437"/>
        <v>0</v>
      </c>
      <c r="I1289" s="115">
        <f t="shared" si="437"/>
        <v>0</v>
      </c>
      <c r="J1289" s="115">
        <f t="shared" si="437"/>
        <v>0</v>
      </c>
      <c r="K1289" s="76">
        <v>0</v>
      </c>
      <c r="L1289" s="497">
        <f t="shared" si="430"/>
        <v>4.62</v>
      </c>
      <c r="M1289" s="292"/>
      <c r="N1289" s="349"/>
      <c r="O1289" s="290"/>
      <c r="P1289" s="882"/>
    </row>
    <row r="1290" spans="1:141" ht="20.25" customHeight="1">
      <c r="A1290" s="1050"/>
      <c r="B1290" s="870"/>
      <c r="C1290" s="882"/>
      <c r="D1290" s="587">
        <v>2020</v>
      </c>
      <c r="E1290" s="63">
        <f>F1290+G1290+H1290+I1290+J1290</f>
        <v>4.62</v>
      </c>
      <c r="F1290" s="63">
        <v>4.62</v>
      </c>
      <c r="G1290" s="63">
        <v>0</v>
      </c>
      <c r="H1290" s="63">
        <v>0</v>
      </c>
      <c r="I1290" s="63">
        <v>0</v>
      </c>
      <c r="J1290" s="63">
        <v>0</v>
      </c>
      <c r="K1290" s="76">
        <v>0</v>
      </c>
      <c r="L1290" s="497">
        <f t="shared" si="430"/>
        <v>4.62</v>
      </c>
      <c r="M1290" s="347"/>
      <c r="N1290" s="90"/>
      <c r="O1290" s="399"/>
      <c r="P1290" s="882"/>
    </row>
    <row r="1291" spans="1:141" ht="12.75" customHeight="1">
      <c r="A1291" s="1048" t="s">
        <v>1392</v>
      </c>
      <c r="B1291" s="1197" t="s">
        <v>1090</v>
      </c>
      <c r="C1291" s="882"/>
      <c r="D1291" s="586" t="s">
        <v>429</v>
      </c>
      <c r="E1291" s="480">
        <f t="shared" ref="E1291:J1291" si="438">E1292+E1293+E1294+E1295+E1296+E1297+E1298+E1299+E1300+E1301+E1302</f>
        <v>38.648379363553282</v>
      </c>
      <c r="F1291" s="85">
        <f t="shared" si="438"/>
        <v>38.648379363553282</v>
      </c>
      <c r="G1291" s="85">
        <f t="shared" si="438"/>
        <v>0</v>
      </c>
      <c r="H1291" s="85">
        <f t="shared" si="438"/>
        <v>0</v>
      </c>
      <c r="I1291" s="85">
        <f t="shared" si="438"/>
        <v>0</v>
      </c>
      <c r="J1291" s="85">
        <f t="shared" si="438"/>
        <v>0</v>
      </c>
      <c r="K1291" s="76">
        <v>0</v>
      </c>
      <c r="L1291" s="497">
        <f t="shared" si="430"/>
        <v>38.648379363553282</v>
      </c>
      <c r="M1291" s="347"/>
      <c r="N1291" s="90"/>
      <c r="O1291" s="399"/>
      <c r="P1291" s="882"/>
    </row>
    <row r="1292" spans="1:141" s="448" customFormat="1">
      <c r="A1292" s="1049"/>
      <c r="B1292" s="1198"/>
      <c r="C1292" s="882"/>
      <c r="D1292" s="587">
        <v>2020</v>
      </c>
      <c r="E1292" s="63">
        <v>2.7854000000000001</v>
      </c>
      <c r="F1292" s="63">
        <v>2.7854000000000001</v>
      </c>
      <c r="G1292" s="63">
        <v>0</v>
      </c>
      <c r="H1292" s="63">
        <v>0</v>
      </c>
      <c r="I1292" s="63">
        <v>0</v>
      </c>
      <c r="J1292" s="63">
        <v>0</v>
      </c>
      <c r="K1292" s="76">
        <v>0</v>
      </c>
      <c r="L1292" s="497">
        <f t="shared" si="430"/>
        <v>2.7854000000000001</v>
      </c>
      <c r="M1292" s="449"/>
      <c r="N1292" s="450"/>
      <c r="O1292" s="450"/>
      <c r="P1292" s="882"/>
    </row>
    <row r="1293" spans="1:141" s="448" customFormat="1">
      <c r="A1293" s="1049"/>
      <c r="B1293" s="1198"/>
      <c r="C1293" s="882"/>
      <c r="D1293" s="587">
        <v>2021</v>
      </c>
      <c r="E1293" s="63">
        <f t="shared" ref="E1293:E1302" si="439">F1293</f>
        <v>3.2360000000000002</v>
      </c>
      <c r="F1293" s="63">
        <v>3.2360000000000002</v>
      </c>
      <c r="G1293" s="63">
        <v>0</v>
      </c>
      <c r="H1293" s="63">
        <v>0</v>
      </c>
      <c r="I1293" s="63">
        <v>0</v>
      </c>
      <c r="J1293" s="63">
        <v>0</v>
      </c>
      <c r="K1293" s="76">
        <v>0</v>
      </c>
      <c r="L1293" s="497">
        <f t="shared" si="430"/>
        <v>3.2360000000000002</v>
      </c>
      <c r="M1293" s="449"/>
      <c r="N1293" s="450"/>
      <c r="O1293" s="450"/>
      <c r="P1293" s="882"/>
      <c r="EI1293" s="448">
        <v>3061.5</v>
      </c>
      <c r="EJ1293" s="448">
        <v>174.5</v>
      </c>
      <c r="EK1293" s="588">
        <f>SUM(EI1293:EJ1293)</f>
        <v>3236</v>
      </c>
    </row>
    <row r="1294" spans="1:141" s="448" customFormat="1">
      <c r="A1294" s="1049"/>
      <c r="B1294" s="1198"/>
      <c r="C1294" s="882"/>
      <c r="D1294" s="587">
        <v>2022</v>
      </c>
      <c r="E1294" s="63">
        <f t="shared" si="439"/>
        <v>3.3653</v>
      </c>
      <c r="F1294" s="63">
        <v>3.3653</v>
      </c>
      <c r="G1294" s="63">
        <v>0</v>
      </c>
      <c r="H1294" s="63">
        <v>0</v>
      </c>
      <c r="I1294" s="63">
        <v>0</v>
      </c>
      <c r="J1294" s="63">
        <v>0</v>
      </c>
      <c r="K1294" s="76">
        <v>0</v>
      </c>
      <c r="L1294" s="497">
        <f t="shared" si="430"/>
        <v>3.3653</v>
      </c>
      <c r="M1294" s="449"/>
      <c r="N1294" s="450"/>
      <c r="O1294" s="450"/>
      <c r="P1294" s="882"/>
      <c r="EI1294" s="448">
        <v>3184</v>
      </c>
      <c r="EJ1294" s="448">
        <v>181.3</v>
      </c>
      <c r="EK1294" s="588">
        <f>SUM(EI1294:EJ1294)</f>
        <v>3365.3</v>
      </c>
    </row>
    <row r="1295" spans="1:141" s="448" customFormat="1">
      <c r="A1295" s="1049"/>
      <c r="B1295" s="1198"/>
      <c r="C1295" s="882"/>
      <c r="D1295" s="587">
        <v>2023</v>
      </c>
      <c r="E1295" s="63">
        <f t="shared" si="439"/>
        <v>3.4996</v>
      </c>
      <c r="F1295" s="385">
        <v>3.4996</v>
      </c>
      <c r="G1295" s="63">
        <v>0</v>
      </c>
      <c r="H1295" s="63">
        <v>0</v>
      </c>
      <c r="I1295" s="63">
        <v>0</v>
      </c>
      <c r="J1295" s="63">
        <v>0</v>
      </c>
      <c r="K1295" s="76">
        <v>0</v>
      </c>
      <c r="L1295" s="497">
        <f t="shared" si="430"/>
        <v>3.4996</v>
      </c>
      <c r="M1295" s="449"/>
      <c r="N1295" s="450"/>
      <c r="O1295" s="450"/>
      <c r="P1295" s="882"/>
      <c r="EI1295" s="448">
        <v>3311.3</v>
      </c>
      <c r="EJ1295" s="448">
        <v>188.3</v>
      </c>
      <c r="EK1295" s="588">
        <f>SUM(EI1295:EJ1295)</f>
        <v>3499.6000000000004</v>
      </c>
    </row>
    <row r="1296" spans="1:141" s="448" customFormat="1">
      <c r="A1296" s="1049"/>
      <c r="B1296" s="1198"/>
      <c r="C1296" s="882"/>
      <c r="D1296" s="587">
        <v>2024</v>
      </c>
      <c r="E1296" s="63">
        <f t="shared" si="439"/>
        <v>3.2616999999999998</v>
      </c>
      <c r="F1296" s="63">
        <v>3.2616999999999998</v>
      </c>
      <c r="G1296" s="63">
        <v>0</v>
      </c>
      <c r="H1296" s="63">
        <v>0</v>
      </c>
      <c r="I1296" s="63">
        <v>0</v>
      </c>
      <c r="J1296" s="63">
        <v>0</v>
      </c>
      <c r="K1296" s="76">
        <v>0</v>
      </c>
      <c r="L1296" s="497">
        <f t="shared" si="430"/>
        <v>3.2616999999999998</v>
      </c>
      <c r="M1296" s="449"/>
      <c r="N1296" s="450"/>
      <c r="O1296" s="450"/>
      <c r="P1296" s="882"/>
    </row>
    <row r="1297" spans="1:16" s="448" customFormat="1">
      <c r="A1297" s="1049"/>
      <c r="B1297" s="1198"/>
      <c r="C1297" s="882"/>
      <c r="D1297" s="587">
        <v>2025</v>
      </c>
      <c r="E1297" s="63">
        <f t="shared" si="439"/>
        <v>3.3921999999999999</v>
      </c>
      <c r="F1297" s="63">
        <v>3.3921999999999999</v>
      </c>
      <c r="G1297" s="63">
        <v>0</v>
      </c>
      <c r="H1297" s="63">
        <v>0</v>
      </c>
      <c r="I1297" s="63">
        <v>0</v>
      </c>
      <c r="J1297" s="63">
        <v>0</v>
      </c>
      <c r="K1297" s="76">
        <v>0</v>
      </c>
      <c r="L1297" s="497">
        <f t="shared" si="430"/>
        <v>3.3921999999999999</v>
      </c>
      <c r="M1297" s="449"/>
      <c r="N1297" s="450"/>
      <c r="O1297" s="450"/>
      <c r="P1297" s="882"/>
    </row>
    <row r="1298" spans="1:16" s="448" customFormat="1">
      <c r="A1298" s="1049"/>
      <c r="B1298" s="1198"/>
      <c r="C1298" s="882"/>
      <c r="D1298" s="587">
        <v>2026</v>
      </c>
      <c r="E1298" s="63">
        <f t="shared" si="439"/>
        <v>3.5278879999999999</v>
      </c>
      <c r="F1298" s="63">
        <f>F1297*1.04</f>
        <v>3.5278879999999999</v>
      </c>
      <c r="G1298" s="63">
        <v>0</v>
      </c>
      <c r="H1298" s="63">
        <v>0</v>
      </c>
      <c r="I1298" s="63">
        <v>0</v>
      </c>
      <c r="J1298" s="63">
        <v>0</v>
      </c>
      <c r="K1298" s="76">
        <v>0</v>
      </c>
      <c r="L1298" s="497">
        <f t="shared" si="430"/>
        <v>3.5278879999999999</v>
      </c>
      <c r="M1298" s="449"/>
      <c r="N1298" s="450"/>
      <c r="O1298" s="450"/>
      <c r="P1298" s="882"/>
    </row>
    <row r="1299" spans="1:16" s="448" customFormat="1">
      <c r="A1299" s="1049"/>
      <c r="B1299" s="1198"/>
      <c r="C1299" s="882"/>
      <c r="D1299" s="587">
        <v>2027</v>
      </c>
      <c r="E1299" s="63">
        <f t="shared" si="439"/>
        <v>3.66900352</v>
      </c>
      <c r="F1299" s="63">
        <f>F1298*1.04</f>
        <v>3.66900352</v>
      </c>
      <c r="G1299" s="63">
        <v>0</v>
      </c>
      <c r="H1299" s="63">
        <v>0</v>
      </c>
      <c r="I1299" s="63">
        <v>0</v>
      </c>
      <c r="J1299" s="63">
        <v>0</v>
      </c>
      <c r="K1299" s="76">
        <v>0</v>
      </c>
      <c r="L1299" s="497">
        <f t="shared" si="430"/>
        <v>3.66900352</v>
      </c>
      <c r="M1299" s="449"/>
      <c r="N1299" s="450"/>
      <c r="O1299" s="450"/>
      <c r="P1299" s="882"/>
    </row>
    <row r="1300" spans="1:16" s="448" customFormat="1">
      <c r="A1300" s="1049"/>
      <c r="B1300" s="1198"/>
      <c r="C1300" s="882"/>
      <c r="D1300" s="587">
        <v>2028</v>
      </c>
      <c r="E1300" s="63">
        <f t="shared" si="439"/>
        <v>3.8157636608000001</v>
      </c>
      <c r="F1300" s="63">
        <f>F1299*1.04</f>
        <v>3.8157636608000001</v>
      </c>
      <c r="G1300" s="63">
        <v>0</v>
      </c>
      <c r="H1300" s="63">
        <v>0</v>
      </c>
      <c r="I1300" s="63">
        <v>0</v>
      </c>
      <c r="J1300" s="63">
        <v>0</v>
      </c>
      <c r="K1300" s="76">
        <v>0</v>
      </c>
      <c r="L1300" s="497">
        <f t="shared" si="430"/>
        <v>3.8157636608000001</v>
      </c>
      <c r="M1300" s="449"/>
      <c r="N1300" s="450"/>
      <c r="O1300" s="450"/>
      <c r="P1300" s="882"/>
    </row>
    <row r="1301" spans="1:16" s="448" customFormat="1">
      <c r="A1301" s="1049"/>
      <c r="B1301" s="1198"/>
      <c r="C1301" s="882"/>
      <c r="D1301" s="587">
        <v>2029</v>
      </c>
      <c r="E1301" s="63">
        <f t="shared" si="439"/>
        <v>3.9683942072320004</v>
      </c>
      <c r="F1301" s="63">
        <f>F1300*1.04</f>
        <v>3.9683942072320004</v>
      </c>
      <c r="G1301" s="63">
        <v>0</v>
      </c>
      <c r="H1301" s="63">
        <v>0</v>
      </c>
      <c r="I1301" s="63">
        <v>0</v>
      </c>
      <c r="J1301" s="63">
        <v>0</v>
      </c>
      <c r="K1301" s="76">
        <v>0</v>
      </c>
      <c r="L1301" s="497">
        <f t="shared" si="430"/>
        <v>3.9683942072320004</v>
      </c>
      <c r="M1301" s="449"/>
      <c r="N1301" s="450"/>
      <c r="O1301" s="450"/>
      <c r="P1301" s="882"/>
    </row>
    <row r="1302" spans="1:16" s="448" customFormat="1">
      <c r="A1302" s="1050"/>
      <c r="B1302" s="1199"/>
      <c r="C1302" s="964"/>
      <c r="D1302" s="587">
        <v>2030</v>
      </c>
      <c r="E1302" s="63">
        <f t="shared" si="439"/>
        <v>4.1271299755212807</v>
      </c>
      <c r="F1302" s="63">
        <f>F1301*1.04</f>
        <v>4.1271299755212807</v>
      </c>
      <c r="G1302" s="63">
        <v>0</v>
      </c>
      <c r="H1302" s="63">
        <v>0</v>
      </c>
      <c r="I1302" s="63">
        <v>0</v>
      </c>
      <c r="J1302" s="63">
        <v>0</v>
      </c>
      <c r="K1302" s="76">
        <v>0</v>
      </c>
      <c r="L1302" s="497">
        <f t="shared" si="430"/>
        <v>4.1271299755212807</v>
      </c>
      <c r="M1302" s="449"/>
      <c r="N1302" s="450"/>
      <c r="O1302" s="450"/>
      <c r="P1302" s="964"/>
    </row>
    <row r="1303" spans="1:16" s="448" customFormat="1" ht="25.5" customHeight="1">
      <c r="A1303" s="1048" t="s">
        <v>1393</v>
      </c>
      <c r="B1303" s="1194" t="s">
        <v>1093</v>
      </c>
      <c r="C1303" s="882" t="s">
        <v>1390</v>
      </c>
      <c r="D1303" s="84" t="s">
        <v>429</v>
      </c>
      <c r="E1303" s="507">
        <f t="shared" ref="E1303:J1303" si="440">E1304+E1305+E1306+E1307</f>
        <v>0.186196</v>
      </c>
      <c r="F1303" s="63">
        <f t="shared" si="440"/>
        <v>0.186196</v>
      </c>
      <c r="G1303" s="63">
        <f t="shared" si="440"/>
        <v>0</v>
      </c>
      <c r="H1303" s="63">
        <f t="shared" si="440"/>
        <v>0</v>
      </c>
      <c r="I1303" s="63">
        <f t="shared" si="440"/>
        <v>0</v>
      </c>
      <c r="J1303" s="63">
        <f t="shared" si="440"/>
        <v>0</v>
      </c>
      <c r="K1303" s="76">
        <v>0</v>
      </c>
      <c r="L1303" s="497">
        <f t="shared" si="430"/>
        <v>0.186196</v>
      </c>
      <c r="M1303" s="449"/>
      <c r="N1303" s="450"/>
      <c r="O1303" s="450"/>
      <c r="P1303" s="358"/>
    </row>
    <row r="1304" spans="1:16" s="448" customFormat="1">
      <c r="A1304" s="1049"/>
      <c r="B1304" s="1195"/>
      <c r="C1304" s="882"/>
      <c r="D1304" s="62">
        <v>2020</v>
      </c>
      <c r="E1304" s="63">
        <f>F1304</f>
        <v>8.2959999999999996E-3</v>
      </c>
      <c r="F1304" s="63">
        <v>8.2959999999999996E-3</v>
      </c>
      <c r="G1304" s="63">
        <v>0</v>
      </c>
      <c r="H1304" s="63">
        <v>0</v>
      </c>
      <c r="I1304" s="63">
        <v>0</v>
      </c>
      <c r="J1304" s="63">
        <v>0</v>
      </c>
      <c r="K1304" s="76">
        <v>0</v>
      </c>
      <c r="L1304" s="497">
        <f t="shared" si="430"/>
        <v>8.2959999999999996E-3</v>
      </c>
      <c r="M1304" s="449"/>
      <c r="N1304" s="450"/>
      <c r="O1304" s="450"/>
      <c r="P1304" s="358"/>
    </row>
    <row r="1305" spans="1:16" s="448" customFormat="1">
      <c r="A1305" s="1049"/>
      <c r="B1305" s="1195"/>
      <c r="C1305" s="882"/>
      <c r="D1305" s="62">
        <v>2021</v>
      </c>
      <c r="E1305" s="63">
        <f>F1305</f>
        <v>5.9299999999999999E-2</v>
      </c>
      <c r="F1305" s="63">
        <v>5.9299999999999999E-2</v>
      </c>
      <c r="G1305" s="63">
        <v>0</v>
      </c>
      <c r="H1305" s="63">
        <v>0</v>
      </c>
      <c r="I1305" s="63">
        <v>0</v>
      </c>
      <c r="J1305" s="63">
        <v>0</v>
      </c>
      <c r="K1305" s="76">
        <v>0</v>
      </c>
      <c r="L1305" s="474">
        <f t="shared" si="430"/>
        <v>5.9299999999999999E-2</v>
      </c>
      <c r="M1305" s="449"/>
      <c r="N1305" s="450"/>
      <c r="O1305" s="450"/>
      <c r="P1305" s="358"/>
    </row>
    <row r="1306" spans="1:16" s="448" customFormat="1">
      <c r="A1306" s="1049"/>
      <c r="B1306" s="1195"/>
      <c r="C1306" s="882"/>
      <c r="D1306" s="62">
        <v>2022</v>
      </c>
      <c r="E1306" s="63">
        <f>F1306</f>
        <v>5.9299999999999999E-2</v>
      </c>
      <c r="F1306" s="63">
        <v>5.9299999999999999E-2</v>
      </c>
      <c r="G1306" s="63">
        <v>0</v>
      </c>
      <c r="H1306" s="63">
        <v>0</v>
      </c>
      <c r="I1306" s="63">
        <v>0</v>
      </c>
      <c r="J1306" s="63">
        <v>0</v>
      </c>
      <c r="K1306" s="76">
        <v>0</v>
      </c>
      <c r="L1306" s="474">
        <f t="shared" si="430"/>
        <v>5.9299999999999999E-2</v>
      </c>
      <c r="M1306" s="449"/>
      <c r="N1306" s="450"/>
      <c r="O1306" s="450"/>
      <c r="P1306" s="358"/>
    </row>
    <row r="1307" spans="1:16" s="448" customFormat="1">
      <c r="A1307" s="1050"/>
      <c r="B1307" s="1196"/>
      <c r="C1307" s="964"/>
      <c r="D1307" s="62">
        <v>2023</v>
      </c>
      <c r="E1307" s="63">
        <f>F1307</f>
        <v>5.9299999999999999E-2</v>
      </c>
      <c r="F1307" s="63">
        <v>5.9299999999999999E-2</v>
      </c>
      <c r="G1307" s="63">
        <v>0</v>
      </c>
      <c r="H1307" s="63">
        <v>0</v>
      </c>
      <c r="I1307" s="63">
        <v>0</v>
      </c>
      <c r="J1307" s="63">
        <v>0</v>
      </c>
      <c r="K1307" s="76">
        <v>0</v>
      </c>
      <c r="L1307" s="474">
        <f t="shared" si="430"/>
        <v>5.9299999999999999E-2</v>
      </c>
      <c r="M1307" s="449"/>
      <c r="N1307" s="450"/>
      <c r="O1307" s="450"/>
      <c r="P1307" s="358"/>
    </row>
    <row r="1308" spans="1:16" s="448" customFormat="1" ht="42" customHeight="1">
      <c r="A1308" s="589"/>
      <c r="B1308" s="452" t="s">
        <v>1394</v>
      </c>
      <c r="C1308" s="590"/>
      <c r="E1308" s="591"/>
      <c r="I1308" s="1089" t="s">
        <v>1095</v>
      </c>
      <c r="J1308" s="1089"/>
      <c r="K1308" s="453"/>
      <c r="L1308" s="592"/>
      <c r="M1308" s="455"/>
      <c r="P1308" s="593"/>
    </row>
    <row r="1309" spans="1:16" s="448" customFormat="1" ht="15.75">
      <c r="A1309" s="589"/>
      <c r="B1309" s="452"/>
      <c r="C1309" s="590"/>
      <c r="E1309" s="591"/>
      <c r="J1309" s="594"/>
      <c r="K1309" s="452"/>
      <c r="L1309" s="592"/>
      <c r="M1309" s="455"/>
      <c r="P1309" s="593"/>
    </row>
    <row r="1310" spans="1:16" s="448" customFormat="1" ht="15.75">
      <c r="A1310" s="589"/>
      <c r="B1310" s="452"/>
      <c r="C1310" s="590"/>
      <c r="E1310" s="591"/>
      <c r="J1310" s="594"/>
      <c r="K1310" s="452"/>
      <c r="L1310" s="592"/>
      <c r="M1310" s="455"/>
      <c r="P1310" s="593"/>
    </row>
    <row r="1311" spans="1:16" s="448" customFormat="1" ht="24" customHeight="1">
      <c r="A1311" s="589"/>
      <c r="B1311" s="452"/>
      <c r="C1311" s="590"/>
      <c r="E1311" s="591"/>
      <c r="J1311" s="594"/>
      <c r="K1311" s="452"/>
      <c r="L1311" s="592"/>
      <c r="M1311" s="455"/>
      <c r="P1311" s="593"/>
    </row>
    <row r="1312" spans="1:16" s="448" customFormat="1" ht="15.75">
      <c r="A1312" s="589"/>
      <c r="B1312" s="452"/>
      <c r="C1312" s="590"/>
      <c r="E1312" s="591"/>
      <c r="J1312" s="594"/>
      <c r="K1312" s="452"/>
      <c r="L1312" s="592"/>
      <c r="M1312" s="455"/>
      <c r="P1312" s="593"/>
    </row>
    <row r="1313" spans="1:16" s="448" customFormat="1" ht="15.75">
      <c r="A1313" s="589"/>
      <c r="B1313" s="452"/>
      <c r="C1313" s="590"/>
      <c r="E1313" s="591"/>
      <c r="J1313" s="594"/>
      <c r="K1313" s="452"/>
      <c r="L1313" s="592"/>
      <c r="M1313" s="455"/>
      <c r="P1313" s="593"/>
    </row>
    <row r="1314" spans="1:16" s="448" customFormat="1" ht="15.75">
      <c r="A1314" s="589"/>
      <c r="B1314" s="452"/>
      <c r="C1314" s="590"/>
      <c r="E1314" s="591"/>
      <c r="J1314" s="594"/>
      <c r="K1314" s="452"/>
      <c r="L1314" s="592"/>
      <c r="M1314" s="455"/>
      <c r="P1314" s="593"/>
    </row>
    <row r="1315" spans="1:16" s="448" customFormat="1" ht="15.75">
      <c r="A1315" s="589"/>
      <c r="B1315" s="452"/>
      <c r="C1315" s="590"/>
      <c r="E1315" s="591"/>
      <c r="J1315" s="594"/>
      <c r="K1315" s="452"/>
      <c r="L1315" s="592"/>
      <c r="M1315" s="455"/>
      <c r="P1315" s="593"/>
    </row>
    <row r="1316" spans="1:16" s="448" customFormat="1" ht="31.5" customHeight="1">
      <c r="A1316" s="589"/>
      <c r="B1316" s="452"/>
      <c r="C1316" s="590"/>
      <c r="E1316" s="591"/>
      <c r="J1316" s="594"/>
      <c r="K1316" s="452"/>
      <c r="L1316" s="592"/>
      <c r="M1316" s="455"/>
      <c r="P1316" s="593"/>
    </row>
    <row r="1317" spans="1:16" s="448" customFormat="1" ht="49.5" customHeight="1">
      <c r="A1317" s="595"/>
      <c r="B1317" s="452"/>
      <c r="C1317" s="590"/>
      <c r="E1317" s="591"/>
      <c r="J1317" s="594"/>
      <c r="K1317" s="452"/>
      <c r="L1317" s="592"/>
      <c r="M1317" s="455"/>
      <c r="P1317" s="593"/>
    </row>
    <row r="1318" spans="1:16" s="448" customFormat="1">
      <c r="A1318" s="596"/>
      <c r="C1318" s="593"/>
      <c r="E1318" s="591"/>
      <c r="J1318" s="597"/>
      <c r="L1318" s="598"/>
      <c r="M1318" s="455"/>
      <c r="P1318" s="593"/>
    </row>
    <row r="1319" spans="1:16" s="448" customFormat="1">
      <c r="A1319" s="596"/>
      <c r="C1319" s="593"/>
      <c r="E1319" s="591"/>
      <c r="J1319" s="597"/>
      <c r="L1319" s="598"/>
      <c r="M1319" s="455"/>
      <c r="P1319" s="593"/>
    </row>
    <row r="1320" spans="1:16" s="448" customFormat="1">
      <c r="A1320" s="596"/>
      <c r="C1320" s="593"/>
      <c r="E1320" s="591"/>
      <c r="J1320" s="597"/>
      <c r="L1320" s="598"/>
      <c r="M1320" s="455"/>
      <c r="P1320" s="593"/>
    </row>
    <row r="1321" spans="1:16" s="448" customFormat="1">
      <c r="A1321" s="596"/>
      <c r="C1321" s="593"/>
      <c r="E1321" s="591"/>
      <c r="J1321" s="597"/>
      <c r="L1321" s="598"/>
      <c r="M1321" s="455"/>
      <c r="P1321" s="593"/>
    </row>
    <row r="1322" spans="1:16" s="448" customFormat="1">
      <c r="A1322" s="596"/>
      <c r="C1322" s="593"/>
      <c r="E1322" s="591"/>
      <c r="J1322" s="597"/>
      <c r="L1322" s="598"/>
      <c r="M1322" s="455"/>
      <c r="P1322" s="593"/>
    </row>
    <row r="1323" spans="1:16" s="448" customFormat="1">
      <c r="A1323" s="596"/>
      <c r="C1323" s="593"/>
      <c r="E1323" s="591"/>
      <c r="J1323" s="597"/>
      <c r="L1323" s="598"/>
      <c r="M1323" s="455"/>
      <c r="P1323" s="593"/>
    </row>
    <row r="1324" spans="1:16" s="448" customFormat="1">
      <c r="A1324" s="596"/>
      <c r="C1324" s="593"/>
      <c r="E1324" s="591"/>
      <c r="J1324" s="597"/>
      <c r="L1324" s="598"/>
      <c r="M1324" s="455"/>
      <c r="P1324" s="593"/>
    </row>
    <row r="1325" spans="1:16" s="448" customFormat="1">
      <c r="A1325" s="596"/>
      <c r="C1325" s="593"/>
      <c r="E1325" s="591"/>
      <c r="J1325" s="597"/>
      <c r="L1325" s="598"/>
      <c r="M1325" s="455"/>
      <c r="P1325" s="593"/>
    </row>
    <row r="1326" spans="1:16" s="448" customFormat="1">
      <c r="A1326" s="596"/>
      <c r="C1326" s="593"/>
      <c r="E1326" s="591"/>
      <c r="J1326" s="597"/>
      <c r="L1326" s="598"/>
      <c r="M1326" s="455"/>
      <c r="P1326" s="593"/>
    </row>
    <row r="1327" spans="1:16" s="448" customFormat="1">
      <c r="A1327" s="596"/>
      <c r="C1327" s="593"/>
      <c r="E1327" s="591"/>
      <c r="J1327" s="597"/>
      <c r="L1327" s="598"/>
      <c r="M1327" s="455"/>
      <c r="P1327" s="593"/>
    </row>
    <row r="1328" spans="1:16" s="448" customFormat="1">
      <c r="A1328" s="596"/>
      <c r="C1328" s="593"/>
      <c r="E1328" s="591"/>
      <c r="J1328" s="597"/>
      <c r="L1328" s="598"/>
      <c r="M1328" s="455"/>
      <c r="P1328" s="593"/>
    </row>
    <row r="1329" spans="1:16" s="448" customFormat="1">
      <c r="A1329" s="596"/>
      <c r="C1329" s="593"/>
      <c r="E1329" s="591"/>
      <c r="J1329" s="597"/>
      <c r="L1329" s="598"/>
      <c r="M1329" s="455"/>
      <c r="P1329" s="593"/>
    </row>
    <row r="1330" spans="1:16" s="448" customFormat="1">
      <c r="A1330" s="596"/>
      <c r="C1330" s="593"/>
      <c r="E1330" s="591"/>
      <c r="J1330" s="597"/>
      <c r="L1330" s="598"/>
      <c r="M1330" s="455"/>
      <c r="P1330" s="593"/>
    </row>
    <row r="1331" spans="1:16" s="448" customFormat="1">
      <c r="A1331" s="596"/>
      <c r="C1331" s="593"/>
      <c r="E1331" s="591"/>
      <c r="J1331" s="597"/>
      <c r="L1331" s="598"/>
      <c r="M1331" s="455"/>
      <c r="P1331" s="593"/>
    </row>
    <row r="1332" spans="1:16" s="448" customFormat="1">
      <c r="A1332" s="596"/>
      <c r="C1332" s="593"/>
      <c r="E1332" s="591"/>
      <c r="J1332" s="597"/>
      <c r="L1332" s="598"/>
      <c r="M1332" s="455"/>
      <c r="P1332" s="593"/>
    </row>
    <row r="1333" spans="1:16" s="448" customFormat="1">
      <c r="A1333" s="596"/>
      <c r="C1333" s="593"/>
      <c r="E1333" s="591"/>
      <c r="J1333" s="597"/>
      <c r="L1333" s="598"/>
      <c r="M1333" s="455"/>
      <c r="P1333" s="593"/>
    </row>
    <row r="1334" spans="1:16" s="448" customFormat="1">
      <c r="A1334" s="596"/>
      <c r="C1334" s="593"/>
      <c r="E1334" s="591"/>
      <c r="J1334" s="597"/>
      <c r="L1334" s="598"/>
      <c r="M1334" s="455"/>
      <c r="P1334" s="593"/>
    </row>
    <row r="1335" spans="1:16" s="448" customFormat="1">
      <c r="A1335" s="596"/>
      <c r="C1335" s="593"/>
      <c r="E1335" s="591"/>
      <c r="J1335" s="597"/>
      <c r="L1335" s="598"/>
      <c r="M1335" s="455"/>
      <c r="P1335" s="593"/>
    </row>
    <row r="1336" spans="1:16" s="448" customFormat="1">
      <c r="A1336" s="596"/>
      <c r="C1336" s="593"/>
      <c r="E1336" s="591"/>
      <c r="J1336" s="597"/>
      <c r="L1336" s="598"/>
      <c r="M1336" s="455"/>
      <c r="P1336" s="593"/>
    </row>
    <row r="1337" spans="1:16" s="448" customFormat="1">
      <c r="A1337" s="596"/>
      <c r="C1337" s="593"/>
      <c r="E1337" s="591"/>
      <c r="J1337" s="597"/>
      <c r="L1337" s="598"/>
      <c r="M1337" s="455"/>
      <c r="P1337" s="593"/>
    </row>
    <row r="1338" spans="1:16" s="448" customFormat="1">
      <c r="A1338" s="596"/>
      <c r="C1338" s="593"/>
      <c r="E1338" s="591"/>
      <c r="J1338" s="597"/>
      <c r="L1338" s="598"/>
      <c r="M1338" s="455"/>
      <c r="P1338" s="593"/>
    </row>
    <row r="1339" spans="1:16" s="448" customFormat="1">
      <c r="A1339" s="596"/>
      <c r="C1339" s="593"/>
      <c r="E1339" s="591"/>
      <c r="J1339" s="597"/>
      <c r="L1339" s="598"/>
      <c r="M1339" s="455"/>
      <c r="P1339" s="593"/>
    </row>
    <row r="1340" spans="1:16" s="448" customFormat="1">
      <c r="A1340" s="596"/>
      <c r="C1340" s="593"/>
      <c r="E1340" s="591"/>
      <c r="J1340" s="597"/>
      <c r="L1340" s="598"/>
      <c r="M1340" s="455"/>
      <c r="P1340" s="593"/>
    </row>
    <row r="1341" spans="1:16" s="448" customFormat="1">
      <c r="A1341" s="596"/>
      <c r="C1341" s="593"/>
      <c r="E1341" s="591"/>
      <c r="J1341" s="597"/>
      <c r="L1341" s="598"/>
      <c r="M1341" s="455"/>
      <c r="P1341" s="593"/>
    </row>
    <row r="1342" spans="1:16" s="448" customFormat="1">
      <c r="A1342" s="596"/>
      <c r="C1342" s="593"/>
      <c r="E1342" s="591"/>
      <c r="J1342" s="597"/>
      <c r="L1342" s="598"/>
      <c r="M1342" s="455"/>
      <c r="P1342" s="593"/>
    </row>
    <row r="1343" spans="1:16" s="448" customFormat="1">
      <c r="A1343" s="596"/>
      <c r="C1343" s="593"/>
      <c r="E1343" s="591"/>
      <c r="J1343" s="597"/>
      <c r="L1343" s="598"/>
      <c r="M1343" s="455"/>
      <c r="P1343" s="593"/>
    </row>
    <row r="1344" spans="1:16" s="448" customFormat="1">
      <c r="A1344" s="596"/>
      <c r="C1344" s="593"/>
      <c r="E1344" s="591"/>
      <c r="J1344" s="597"/>
      <c r="L1344" s="598"/>
      <c r="M1344" s="455"/>
      <c r="P1344" s="593"/>
    </row>
    <row r="1345" spans="1:16" s="448" customFormat="1">
      <c r="A1345" s="596"/>
      <c r="C1345" s="593"/>
      <c r="E1345" s="591"/>
      <c r="J1345" s="597"/>
      <c r="L1345" s="598"/>
      <c r="M1345" s="455"/>
      <c r="P1345" s="593"/>
    </row>
    <row r="1346" spans="1:16" s="448" customFormat="1">
      <c r="A1346" s="596"/>
      <c r="C1346" s="593"/>
      <c r="E1346" s="591"/>
      <c r="J1346" s="597"/>
      <c r="L1346" s="598"/>
      <c r="M1346" s="455"/>
      <c r="P1346" s="593"/>
    </row>
    <row r="1347" spans="1:16" s="448" customFormat="1">
      <c r="A1347" s="596"/>
      <c r="C1347" s="593"/>
      <c r="E1347" s="591"/>
      <c r="J1347" s="597"/>
      <c r="L1347" s="598"/>
      <c r="M1347" s="455"/>
      <c r="P1347" s="593"/>
    </row>
    <row r="1348" spans="1:16" s="448" customFormat="1">
      <c r="A1348" s="596"/>
      <c r="C1348" s="593"/>
      <c r="E1348" s="591"/>
      <c r="J1348" s="597"/>
      <c r="L1348" s="598"/>
      <c r="M1348" s="455"/>
      <c r="P1348" s="593"/>
    </row>
    <row r="1349" spans="1:16" s="448" customFormat="1">
      <c r="A1349" s="596"/>
      <c r="C1349" s="593"/>
      <c r="E1349" s="591"/>
      <c r="J1349" s="597"/>
      <c r="L1349" s="598"/>
      <c r="M1349" s="455"/>
      <c r="P1349" s="593"/>
    </row>
    <row r="1350" spans="1:16" s="448" customFormat="1">
      <c r="A1350" s="596"/>
      <c r="C1350" s="593"/>
      <c r="E1350" s="591"/>
      <c r="J1350" s="597"/>
      <c r="L1350" s="598"/>
      <c r="M1350" s="455"/>
      <c r="P1350" s="593"/>
    </row>
    <row r="1351" spans="1:16" s="448" customFormat="1">
      <c r="A1351" s="596"/>
      <c r="C1351" s="593"/>
      <c r="E1351" s="591"/>
      <c r="J1351" s="597"/>
      <c r="L1351" s="598"/>
      <c r="M1351" s="455"/>
      <c r="P1351" s="593"/>
    </row>
    <row r="1352" spans="1:16" s="448" customFormat="1">
      <c r="A1352" s="596"/>
      <c r="C1352" s="593"/>
      <c r="E1352" s="591"/>
      <c r="J1352" s="597"/>
      <c r="L1352" s="598"/>
      <c r="M1352" s="455"/>
      <c r="P1352" s="593"/>
    </row>
    <row r="1353" spans="1:16" s="448" customFormat="1">
      <c r="A1353" s="596"/>
      <c r="C1353" s="593"/>
      <c r="E1353" s="591"/>
      <c r="J1353" s="597"/>
      <c r="L1353" s="598"/>
      <c r="M1353" s="455"/>
      <c r="P1353" s="593"/>
    </row>
    <row r="1354" spans="1:16" s="448" customFormat="1">
      <c r="A1354" s="596"/>
      <c r="C1354" s="593"/>
      <c r="E1354" s="591"/>
      <c r="J1354" s="597"/>
      <c r="L1354" s="598"/>
      <c r="M1354" s="455"/>
      <c r="P1354" s="593"/>
    </row>
    <row r="1355" spans="1:16" s="448" customFormat="1">
      <c r="A1355" s="596"/>
      <c r="C1355" s="593"/>
      <c r="E1355" s="591"/>
      <c r="J1355" s="597"/>
      <c r="L1355" s="598"/>
      <c r="M1355" s="455"/>
      <c r="P1355" s="593"/>
    </row>
    <row r="1356" spans="1:16" s="448" customFormat="1">
      <c r="A1356" s="596"/>
      <c r="C1356" s="593"/>
      <c r="E1356" s="591"/>
      <c r="J1356" s="597"/>
      <c r="L1356" s="598"/>
      <c r="M1356" s="455"/>
      <c r="P1356" s="593"/>
    </row>
    <row r="1357" spans="1:16" s="448" customFormat="1">
      <c r="A1357" s="596"/>
      <c r="C1357" s="593"/>
      <c r="E1357" s="591"/>
      <c r="J1357" s="597"/>
      <c r="L1357" s="598"/>
      <c r="M1357" s="455"/>
      <c r="P1357" s="593"/>
    </row>
    <row r="1358" spans="1:16" s="448" customFormat="1">
      <c r="A1358" s="596"/>
      <c r="C1358" s="593"/>
      <c r="E1358" s="591"/>
      <c r="J1358" s="597"/>
      <c r="L1358" s="598"/>
      <c r="M1358" s="455"/>
      <c r="P1358" s="593"/>
    </row>
    <row r="1359" spans="1:16" s="448" customFormat="1">
      <c r="A1359" s="596"/>
      <c r="C1359" s="593"/>
      <c r="E1359" s="591"/>
      <c r="J1359" s="597"/>
      <c r="L1359" s="598"/>
      <c r="M1359" s="455"/>
      <c r="P1359" s="593"/>
    </row>
    <row r="1360" spans="1:16" s="448" customFormat="1">
      <c r="A1360" s="596"/>
      <c r="C1360" s="593"/>
      <c r="E1360" s="591"/>
      <c r="J1360" s="597"/>
      <c r="L1360" s="598"/>
      <c r="M1360" s="455"/>
      <c r="P1360" s="593"/>
    </row>
    <row r="1361" spans="1:16" s="448" customFormat="1">
      <c r="A1361" s="596"/>
      <c r="C1361" s="593"/>
      <c r="E1361" s="591"/>
      <c r="J1361" s="597"/>
      <c r="L1361" s="598"/>
      <c r="M1361" s="455"/>
      <c r="P1361" s="593"/>
    </row>
    <row r="1362" spans="1:16" s="448" customFormat="1">
      <c r="A1362" s="596"/>
      <c r="C1362" s="593"/>
      <c r="E1362" s="591"/>
      <c r="J1362" s="597"/>
      <c r="L1362" s="598"/>
      <c r="M1362" s="455"/>
      <c r="P1362" s="593"/>
    </row>
    <row r="1363" spans="1:16" s="448" customFormat="1">
      <c r="A1363" s="596"/>
      <c r="C1363" s="593"/>
      <c r="E1363" s="591"/>
      <c r="J1363" s="597"/>
      <c r="L1363" s="598"/>
      <c r="M1363" s="455"/>
      <c r="P1363" s="593"/>
    </row>
    <row r="1364" spans="1:16" s="448" customFormat="1">
      <c r="A1364" s="596"/>
      <c r="C1364" s="593"/>
      <c r="E1364" s="591"/>
      <c r="J1364" s="597"/>
      <c r="L1364" s="598"/>
      <c r="M1364" s="455"/>
      <c r="P1364" s="593"/>
    </row>
    <row r="1365" spans="1:16" s="448" customFormat="1">
      <c r="A1365" s="596"/>
      <c r="C1365" s="593"/>
      <c r="E1365" s="591"/>
      <c r="J1365" s="597"/>
      <c r="L1365" s="598"/>
      <c r="M1365" s="455"/>
      <c r="P1365" s="593"/>
    </row>
    <row r="1366" spans="1:16" s="448" customFormat="1">
      <c r="A1366" s="596"/>
      <c r="C1366" s="593"/>
      <c r="E1366" s="591"/>
      <c r="J1366" s="597"/>
      <c r="L1366" s="598"/>
      <c r="M1366" s="455"/>
      <c r="P1366" s="593"/>
    </row>
    <row r="1367" spans="1:16" s="448" customFormat="1">
      <c r="A1367" s="596"/>
      <c r="C1367" s="593"/>
      <c r="E1367" s="591"/>
      <c r="J1367" s="597"/>
      <c r="L1367" s="598"/>
      <c r="M1367" s="455"/>
      <c r="P1367" s="593"/>
    </row>
    <row r="1368" spans="1:16" s="448" customFormat="1">
      <c r="A1368" s="596"/>
      <c r="C1368" s="593"/>
      <c r="E1368" s="591"/>
      <c r="J1368" s="597"/>
      <c r="L1368" s="598"/>
      <c r="M1368" s="455"/>
      <c r="P1368" s="593"/>
    </row>
    <row r="1369" spans="1:16" s="448" customFormat="1">
      <c r="A1369" s="596"/>
      <c r="C1369" s="593"/>
      <c r="E1369" s="591"/>
      <c r="J1369" s="597"/>
      <c r="L1369" s="598"/>
      <c r="M1369" s="455"/>
      <c r="P1369" s="593"/>
    </row>
    <row r="1370" spans="1:16" s="448" customFormat="1">
      <c r="A1370" s="596"/>
      <c r="C1370" s="593"/>
      <c r="E1370" s="591"/>
      <c r="J1370" s="597"/>
      <c r="L1370" s="598"/>
      <c r="M1370" s="455"/>
      <c r="P1370" s="593"/>
    </row>
    <row r="1371" spans="1:16" s="448" customFormat="1">
      <c r="A1371" s="596"/>
      <c r="C1371" s="593"/>
      <c r="E1371" s="591"/>
      <c r="J1371" s="597"/>
      <c r="L1371" s="598"/>
      <c r="M1371" s="455"/>
      <c r="P1371" s="593"/>
    </row>
    <row r="1372" spans="1:16" s="448" customFormat="1">
      <c r="A1372" s="596"/>
      <c r="C1372" s="593"/>
      <c r="E1372" s="591"/>
      <c r="J1372" s="597"/>
      <c r="L1372" s="598"/>
      <c r="M1372" s="455"/>
      <c r="P1372" s="593"/>
    </row>
    <row r="1373" spans="1:16" s="448" customFormat="1">
      <c r="A1373" s="596"/>
      <c r="C1373" s="593"/>
      <c r="E1373" s="591"/>
      <c r="J1373" s="597"/>
      <c r="L1373" s="598"/>
      <c r="M1373" s="455"/>
      <c r="P1373" s="593"/>
    </row>
    <row r="1374" spans="1:16" s="448" customFormat="1">
      <c r="A1374" s="596"/>
      <c r="C1374" s="593"/>
      <c r="E1374" s="591"/>
      <c r="J1374" s="597"/>
      <c r="L1374" s="598"/>
      <c r="M1374" s="455"/>
      <c r="P1374" s="593"/>
    </row>
    <row r="1375" spans="1:16" s="448" customFormat="1">
      <c r="A1375" s="596"/>
      <c r="C1375" s="593"/>
      <c r="E1375" s="591"/>
      <c r="J1375" s="597"/>
      <c r="L1375" s="598"/>
      <c r="M1375" s="455"/>
      <c r="P1375" s="593"/>
    </row>
    <row r="1376" spans="1:16" s="448" customFormat="1">
      <c r="A1376" s="596"/>
      <c r="C1376" s="593"/>
      <c r="E1376" s="591"/>
      <c r="J1376" s="597"/>
      <c r="L1376" s="598"/>
      <c r="M1376" s="455"/>
      <c r="P1376" s="593"/>
    </row>
    <row r="1377" spans="1:16" s="448" customFormat="1">
      <c r="A1377" s="596"/>
      <c r="C1377" s="593"/>
      <c r="E1377" s="591"/>
      <c r="J1377" s="597"/>
      <c r="L1377" s="598"/>
      <c r="M1377" s="455"/>
      <c r="P1377" s="593"/>
    </row>
    <row r="1378" spans="1:16" s="448" customFormat="1">
      <c r="A1378" s="596"/>
      <c r="C1378" s="593"/>
      <c r="E1378" s="591"/>
      <c r="J1378" s="597"/>
      <c r="L1378" s="598"/>
      <c r="M1378" s="455"/>
      <c r="P1378" s="593"/>
    </row>
    <row r="1379" spans="1:16" s="448" customFormat="1">
      <c r="A1379" s="596"/>
      <c r="C1379" s="593"/>
      <c r="E1379" s="591"/>
      <c r="J1379" s="597"/>
      <c r="L1379" s="598"/>
      <c r="M1379" s="455"/>
      <c r="P1379" s="593"/>
    </row>
    <row r="1380" spans="1:16" s="448" customFormat="1">
      <c r="A1380" s="596"/>
      <c r="C1380" s="593"/>
      <c r="E1380" s="591"/>
      <c r="J1380" s="597"/>
      <c r="L1380" s="598"/>
      <c r="M1380" s="455"/>
      <c r="P1380" s="593"/>
    </row>
    <row r="1381" spans="1:16" s="448" customFormat="1">
      <c r="A1381" s="596"/>
      <c r="C1381" s="593"/>
      <c r="E1381" s="591"/>
      <c r="J1381" s="597"/>
      <c r="L1381" s="598"/>
      <c r="M1381" s="455"/>
      <c r="P1381" s="593"/>
    </row>
    <row r="1382" spans="1:16" s="448" customFormat="1">
      <c r="A1382" s="596"/>
      <c r="C1382" s="593"/>
      <c r="E1382" s="591"/>
      <c r="J1382" s="597"/>
      <c r="L1382" s="598"/>
      <c r="M1382" s="455"/>
      <c r="P1382" s="593"/>
    </row>
    <row r="1383" spans="1:16" s="448" customFormat="1">
      <c r="A1383" s="596"/>
      <c r="C1383" s="593"/>
      <c r="E1383" s="591"/>
      <c r="J1383" s="597"/>
      <c r="L1383" s="598"/>
      <c r="M1383" s="455"/>
      <c r="P1383" s="593"/>
    </row>
    <row r="1384" spans="1:16" s="448" customFormat="1">
      <c r="A1384" s="596"/>
      <c r="C1384" s="593"/>
      <c r="E1384" s="591"/>
      <c r="J1384" s="597"/>
      <c r="L1384" s="598"/>
      <c r="M1384" s="455"/>
      <c r="P1384" s="593"/>
    </row>
    <row r="1385" spans="1:16" s="448" customFormat="1">
      <c r="A1385" s="596"/>
      <c r="C1385" s="593"/>
      <c r="E1385" s="591"/>
      <c r="J1385" s="597"/>
      <c r="L1385" s="598"/>
      <c r="M1385" s="455"/>
      <c r="P1385" s="593"/>
    </row>
    <row r="1386" spans="1:16" s="448" customFormat="1">
      <c r="A1386" s="596"/>
      <c r="C1386" s="593"/>
      <c r="E1386" s="591"/>
      <c r="J1386" s="597"/>
      <c r="L1386" s="598"/>
      <c r="M1386" s="455"/>
      <c r="P1386" s="593"/>
    </row>
    <row r="1387" spans="1:16" s="448" customFormat="1">
      <c r="A1387" s="596"/>
      <c r="C1387" s="593"/>
      <c r="E1387" s="591"/>
      <c r="J1387" s="597"/>
      <c r="L1387" s="598"/>
      <c r="M1387" s="455"/>
      <c r="P1387" s="593"/>
    </row>
    <row r="1388" spans="1:16" s="448" customFormat="1">
      <c r="A1388" s="596"/>
      <c r="C1388" s="593"/>
      <c r="E1388" s="591"/>
      <c r="J1388" s="597"/>
      <c r="L1388" s="598"/>
      <c r="M1388" s="455"/>
      <c r="P1388" s="593"/>
    </row>
    <row r="1389" spans="1:16" s="448" customFormat="1">
      <c r="A1389" s="596"/>
      <c r="C1389" s="593"/>
      <c r="E1389" s="591"/>
      <c r="J1389" s="597"/>
      <c r="L1389" s="598"/>
      <c r="M1389" s="455"/>
      <c r="P1389" s="593"/>
    </row>
    <row r="1390" spans="1:16" s="448" customFormat="1">
      <c r="A1390" s="596"/>
      <c r="C1390" s="593"/>
      <c r="E1390" s="591"/>
      <c r="J1390" s="597"/>
      <c r="L1390" s="598"/>
      <c r="M1390" s="455"/>
      <c r="P1390" s="593"/>
    </row>
    <row r="1391" spans="1:16" s="448" customFormat="1">
      <c r="A1391" s="596"/>
      <c r="C1391" s="593"/>
      <c r="E1391" s="591"/>
      <c r="J1391" s="597"/>
      <c r="L1391" s="598"/>
      <c r="M1391" s="455"/>
      <c r="P1391" s="593"/>
    </row>
    <row r="1392" spans="1:16" s="448" customFormat="1">
      <c r="A1392" s="596"/>
      <c r="C1392" s="593"/>
      <c r="E1392" s="591"/>
      <c r="J1392" s="597"/>
      <c r="L1392" s="598"/>
      <c r="M1392" s="455"/>
      <c r="P1392" s="593"/>
    </row>
    <row r="1393" spans="1:16" s="448" customFormat="1">
      <c r="A1393" s="596"/>
      <c r="C1393" s="593"/>
      <c r="E1393" s="591"/>
      <c r="J1393" s="597"/>
      <c r="L1393" s="598"/>
      <c r="M1393" s="455"/>
      <c r="P1393" s="593"/>
    </row>
    <row r="1394" spans="1:16" s="448" customFormat="1">
      <c r="A1394" s="596"/>
      <c r="C1394" s="593"/>
      <c r="E1394" s="591"/>
      <c r="J1394" s="597"/>
      <c r="L1394" s="598"/>
      <c r="M1394" s="455"/>
      <c r="P1394" s="593"/>
    </row>
    <row r="1395" spans="1:16" s="448" customFormat="1">
      <c r="A1395" s="596"/>
      <c r="C1395" s="593"/>
      <c r="E1395" s="591"/>
      <c r="J1395" s="597"/>
      <c r="L1395" s="598"/>
      <c r="M1395" s="455"/>
      <c r="P1395" s="593"/>
    </row>
    <row r="1396" spans="1:16" s="448" customFormat="1">
      <c r="A1396" s="596"/>
      <c r="C1396" s="593"/>
      <c r="E1396" s="591"/>
      <c r="J1396" s="597"/>
      <c r="L1396" s="598"/>
      <c r="M1396" s="455"/>
      <c r="P1396" s="593"/>
    </row>
    <row r="1397" spans="1:16" s="448" customFormat="1">
      <c r="A1397" s="596"/>
      <c r="C1397" s="593"/>
      <c r="E1397" s="591"/>
      <c r="J1397" s="597"/>
      <c r="L1397" s="598"/>
      <c r="M1397" s="455"/>
      <c r="P1397" s="593"/>
    </row>
    <row r="1398" spans="1:16" s="448" customFormat="1">
      <c r="A1398" s="596"/>
      <c r="C1398" s="593"/>
      <c r="E1398" s="591"/>
      <c r="J1398" s="597"/>
      <c r="L1398" s="598"/>
      <c r="M1398" s="455"/>
      <c r="P1398" s="593"/>
    </row>
    <row r="1399" spans="1:16" s="448" customFormat="1">
      <c r="A1399" s="596"/>
      <c r="C1399" s="593"/>
      <c r="E1399" s="591"/>
      <c r="J1399" s="597"/>
      <c r="L1399" s="598"/>
      <c r="M1399" s="455"/>
      <c r="P1399" s="593"/>
    </row>
    <row r="1400" spans="1:16" s="448" customFormat="1">
      <c r="A1400" s="596"/>
      <c r="C1400" s="593"/>
      <c r="E1400" s="591"/>
      <c r="J1400" s="597"/>
      <c r="L1400" s="598"/>
      <c r="M1400" s="455"/>
      <c r="P1400" s="593"/>
    </row>
    <row r="1401" spans="1:16" s="448" customFormat="1">
      <c r="A1401" s="596"/>
      <c r="C1401" s="593"/>
      <c r="E1401" s="591"/>
      <c r="J1401" s="597"/>
      <c r="L1401" s="598"/>
      <c r="M1401" s="455"/>
      <c r="P1401" s="593"/>
    </row>
    <row r="1402" spans="1:16" s="448" customFormat="1">
      <c r="A1402" s="596"/>
      <c r="C1402" s="593"/>
      <c r="E1402" s="591"/>
      <c r="J1402" s="597"/>
      <c r="L1402" s="598"/>
      <c r="M1402" s="455"/>
      <c r="P1402" s="593"/>
    </row>
    <row r="1403" spans="1:16" s="448" customFormat="1">
      <c r="A1403" s="596"/>
      <c r="C1403" s="593"/>
      <c r="E1403" s="591"/>
      <c r="J1403" s="597"/>
      <c r="L1403" s="598"/>
      <c r="M1403" s="455"/>
      <c r="P1403" s="593"/>
    </row>
    <row r="1404" spans="1:16" s="448" customFormat="1">
      <c r="A1404" s="596"/>
      <c r="C1404" s="593"/>
      <c r="E1404" s="591"/>
      <c r="J1404" s="597"/>
      <c r="L1404" s="598"/>
      <c r="M1404" s="455"/>
      <c r="P1404" s="593"/>
    </row>
    <row r="1405" spans="1:16" s="448" customFormat="1">
      <c r="A1405" s="596"/>
      <c r="C1405" s="593"/>
      <c r="E1405" s="591"/>
      <c r="J1405" s="597"/>
      <c r="L1405" s="598"/>
      <c r="M1405" s="455"/>
      <c r="P1405" s="593"/>
    </row>
    <row r="1406" spans="1:16" s="448" customFormat="1">
      <c r="A1406" s="596"/>
      <c r="C1406" s="593"/>
      <c r="E1406" s="591"/>
      <c r="J1406" s="597"/>
      <c r="L1406" s="598"/>
      <c r="M1406" s="455"/>
      <c r="P1406" s="593"/>
    </row>
    <row r="1407" spans="1:16" s="448" customFormat="1">
      <c r="A1407" s="596"/>
      <c r="C1407" s="593"/>
      <c r="E1407" s="591"/>
      <c r="J1407" s="597"/>
      <c r="L1407" s="598"/>
      <c r="M1407" s="455"/>
      <c r="P1407" s="593"/>
    </row>
    <row r="1408" spans="1:16" s="448" customFormat="1">
      <c r="A1408" s="596"/>
      <c r="C1408" s="593"/>
      <c r="E1408" s="591"/>
      <c r="J1408" s="597"/>
      <c r="L1408" s="598"/>
      <c r="M1408" s="455"/>
      <c r="P1408" s="593"/>
    </row>
    <row r="1409" spans="1:16" s="448" customFormat="1">
      <c r="A1409" s="596"/>
      <c r="C1409" s="593"/>
      <c r="E1409" s="591"/>
      <c r="J1409" s="597"/>
      <c r="L1409" s="598"/>
      <c r="M1409" s="455"/>
      <c r="P1409" s="593"/>
    </row>
    <row r="1410" spans="1:16" s="448" customFormat="1">
      <c r="A1410" s="596"/>
      <c r="C1410" s="593"/>
      <c r="E1410" s="591"/>
      <c r="J1410" s="597"/>
      <c r="L1410" s="598"/>
      <c r="M1410" s="455"/>
      <c r="P1410" s="593"/>
    </row>
    <row r="1411" spans="1:16" s="448" customFormat="1">
      <c r="A1411" s="596"/>
      <c r="C1411" s="593"/>
      <c r="E1411" s="591"/>
      <c r="J1411" s="597"/>
      <c r="L1411" s="598"/>
      <c r="M1411" s="455"/>
      <c r="P1411" s="593"/>
    </row>
    <row r="1412" spans="1:16" s="448" customFormat="1">
      <c r="A1412" s="596"/>
      <c r="C1412" s="593"/>
      <c r="E1412" s="591"/>
      <c r="J1412" s="597"/>
      <c r="L1412" s="598"/>
      <c r="M1412" s="455"/>
      <c r="P1412" s="593"/>
    </row>
    <row r="1413" spans="1:16" s="448" customFormat="1">
      <c r="A1413" s="596"/>
      <c r="C1413" s="593"/>
      <c r="E1413" s="591"/>
      <c r="J1413" s="597"/>
      <c r="L1413" s="598"/>
      <c r="M1413" s="455"/>
      <c r="P1413" s="593"/>
    </row>
    <row r="1414" spans="1:16" s="448" customFormat="1">
      <c r="A1414" s="596"/>
      <c r="C1414" s="593"/>
      <c r="E1414" s="591"/>
      <c r="J1414" s="597"/>
      <c r="L1414" s="598"/>
      <c r="M1414" s="455"/>
      <c r="P1414" s="593"/>
    </row>
    <row r="1415" spans="1:16" s="448" customFormat="1">
      <c r="A1415" s="596"/>
      <c r="C1415" s="593"/>
      <c r="E1415" s="591"/>
      <c r="J1415" s="597"/>
      <c r="L1415" s="598"/>
      <c r="M1415" s="455"/>
      <c r="P1415" s="593"/>
    </row>
    <row r="1416" spans="1:16" s="448" customFormat="1">
      <c r="A1416" s="596"/>
      <c r="C1416" s="593"/>
      <c r="E1416" s="591"/>
      <c r="J1416" s="597"/>
      <c r="L1416" s="598"/>
      <c r="M1416" s="455"/>
      <c r="P1416" s="593"/>
    </row>
    <row r="1417" spans="1:16" s="448" customFormat="1">
      <c r="A1417" s="596"/>
      <c r="C1417" s="593"/>
      <c r="E1417" s="591"/>
      <c r="J1417" s="597"/>
      <c r="L1417" s="598"/>
      <c r="M1417" s="455"/>
      <c r="P1417" s="593"/>
    </row>
    <row r="1418" spans="1:16" s="448" customFormat="1">
      <c r="A1418" s="596"/>
      <c r="C1418" s="593"/>
      <c r="E1418" s="591"/>
      <c r="J1418" s="597"/>
      <c r="L1418" s="598"/>
      <c r="M1418" s="455"/>
      <c r="P1418" s="593"/>
    </row>
    <row r="1419" spans="1:16" s="448" customFormat="1">
      <c r="A1419" s="596"/>
      <c r="C1419" s="593"/>
      <c r="E1419" s="591"/>
      <c r="J1419" s="597"/>
      <c r="L1419" s="598"/>
      <c r="M1419" s="455"/>
      <c r="P1419" s="593"/>
    </row>
    <row r="1420" spans="1:16" s="448" customFormat="1">
      <c r="A1420" s="596"/>
      <c r="C1420" s="593"/>
      <c r="E1420" s="591"/>
      <c r="J1420" s="597"/>
      <c r="L1420" s="598"/>
      <c r="M1420" s="455"/>
      <c r="P1420" s="593"/>
    </row>
    <row r="1421" spans="1:16" s="448" customFormat="1">
      <c r="A1421" s="596"/>
      <c r="C1421" s="593"/>
      <c r="E1421" s="591"/>
      <c r="J1421" s="597"/>
      <c r="L1421" s="598"/>
      <c r="M1421" s="455"/>
      <c r="P1421" s="593"/>
    </row>
    <row r="1422" spans="1:16" s="448" customFormat="1">
      <c r="A1422" s="596"/>
      <c r="C1422" s="593"/>
      <c r="E1422" s="591"/>
      <c r="J1422" s="597"/>
      <c r="L1422" s="598"/>
      <c r="M1422" s="455"/>
      <c r="P1422" s="593"/>
    </row>
    <row r="1423" spans="1:16" s="448" customFormat="1">
      <c r="A1423" s="596"/>
      <c r="C1423" s="593"/>
      <c r="E1423" s="591"/>
      <c r="J1423" s="597"/>
      <c r="L1423" s="598"/>
      <c r="M1423" s="455"/>
      <c r="P1423" s="593"/>
    </row>
    <row r="1424" spans="1:16" s="448" customFormat="1">
      <c r="A1424" s="596"/>
      <c r="C1424" s="593"/>
      <c r="E1424" s="591"/>
      <c r="J1424" s="597"/>
      <c r="L1424" s="598"/>
      <c r="M1424" s="455"/>
      <c r="P1424" s="593"/>
    </row>
    <row r="1425" spans="1:16" s="448" customFormat="1">
      <c r="A1425" s="596"/>
      <c r="C1425" s="593"/>
      <c r="E1425" s="591"/>
      <c r="J1425" s="597"/>
      <c r="L1425" s="598"/>
      <c r="M1425" s="455"/>
      <c r="P1425" s="593"/>
    </row>
    <row r="1426" spans="1:16" s="448" customFormat="1">
      <c r="A1426" s="596"/>
      <c r="C1426" s="593"/>
      <c r="E1426" s="591"/>
      <c r="J1426" s="597"/>
      <c r="L1426" s="598"/>
      <c r="M1426" s="455"/>
      <c r="P1426" s="593"/>
    </row>
    <row r="1427" spans="1:16" s="448" customFormat="1">
      <c r="A1427" s="596"/>
      <c r="C1427" s="593"/>
      <c r="E1427" s="591"/>
      <c r="J1427" s="597"/>
      <c r="L1427" s="598"/>
      <c r="M1427" s="455"/>
      <c r="P1427" s="593"/>
    </row>
    <row r="1428" spans="1:16" s="448" customFormat="1">
      <c r="A1428" s="596"/>
      <c r="C1428" s="593"/>
      <c r="E1428" s="591"/>
      <c r="J1428" s="597"/>
      <c r="L1428" s="598"/>
      <c r="M1428" s="455"/>
      <c r="P1428" s="593"/>
    </row>
    <row r="1429" spans="1:16" s="448" customFormat="1">
      <c r="A1429" s="596"/>
      <c r="C1429" s="593"/>
      <c r="E1429" s="591"/>
      <c r="J1429" s="597"/>
      <c r="L1429" s="598"/>
      <c r="M1429" s="455"/>
      <c r="P1429" s="593"/>
    </row>
    <row r="1430" spans="1:16" s="448" customFormat="1">
      <c r="A1430" s="596"/>
      <c r="C1430" s="593"/>
      <c r="E1430" s="591"/>
      <c r="J1430" s="597"/>
      <c r="L1430" s="598"/>
      <c r="M1430" s="455"/>
      <c r="P1430" s="593"/>
    </row>
    <row r="1431" spans="1:16" s="448" customFormat="1">
      <c r="A1431" s="596"/>
      <c r="C1431" s="593"/>
      <c r="E1431" s="591"/>
      <c r="J1431" s="597"/>
      <c r="L1431" s="598"/>
      <c r="M1431" s="455"/>
      <c r="P1431" s="593"/>
    </row>
    <row r="1432" spans="1:16" s="448" customFormat="1">
      <c r="A1432" s="596"/>
      <c r="C1432" s="593"/>
      <c r="E1432" s="591"/>
      <c r="J1432" s="597"/>
      <c r="L1432" s="598"/>
      <c r="M1432" s="455"/>
      <c r="P1432" s="593"/>
    </row>
    <row r="1433" spans="1:16" s="448" customFormat="1">
      <c r="A1433" s="596"/>
      <c r="C1433" s="593"/>
      <c r="E1433" s="591"/>
      <c r="J1433" s="597"/>
      <c r="L1433" s="598"/>
      <c r="M1433" s="455"/>
      <c r="P1433" s="593"/>
    </row>
    <row r="1434" spans="1:16" s="448" customFormat="1">
      <c r="A1434" s="596"/>
      <c r="C1434" s="593"/>
      <c r="E1434" s="591"/>
      <c r="J1434" s="597"/>
      <c r="L1434" s="598"/>
      <c r="M1434" s="455"/>
      <c r="P1434" s="593"/>
    </row>
    <row r="1435" spans="1:16" s="448" customFormat="1">
      <c r="A1435" s="596"/>
      <c r="C1435" s="593"/>
      <c r="E1435" s="591"/>
      <c r="J1435" s="597"/>
      <c r="L1435" s="598"/>
      <c r="M1435" s="455"/>
      <c r="P1435" s="593"/>
    </row>
    <row r="1436" spans="1:16" s="448" customFormat="1">
      <c r="A1436" s="596"/>
      <c r="C1436" s="593"/>
      <c r="E1436" s="591"/>
      <c r="J1436" s="597"/>
      <c r="L1436" s="598"/>
      <c r="M1436" s="455"/>
      <c r="P1436" s="593"/>
    </row>
    <row r="1437" spans="1:16" s="448" customFormat="1">
      <c r="A1437" s="596"/>
      <c r="C1437" s="593"/>
      <c r="E1437" s="591"/>
      <c r="J1437" s="597"/>
      <c r="L1437" s="598"/>
      <c r="M1437" s="455"/>
      <c r="P1437" s="593"/>
    </row>
    <row r="1438" spans="1:16" s="448" customFormat="1">
      <c r="A1438" s="596"/>
      <c r="C1438" s="593"/>
      <c r="E1438" s="591"/>
      <c r="J1438" s="597"/>
      <c r="L1438" s="598"/>
      <c r="M1438" s="455"/>
      <c r="P1438" s="593"/>
    </row>
    <row r="1439" spans="1:16" s="448" customFormat="1">
      <c r="A1439" s="596"/>
      <c r="C1439" s="593"/>
      <c r="E1439" s="591"/>
      <c r="J1439" s="597"/>
      <c r="L1439" s="598"/>
      <c r="M1439" s="455"/>
      <c r="P1439" s="593"/>
    </row>
    <row r="1440" spans="1:16" s="448" customFormat="1">
      <c r="A1440" s="596"/>
      <c r="C1440" s="593"/>
      <c r="E1440" s="591"/>
      <c r="J1440" s="597"/>
      <c r="L1440" s="598"/>
      <c r="M1440" s="455"/>
      <c r="P1440" s="593"/>
    </row>
    <row r="1441" spans="1:16" s="448" customFormat="1">
      <c r="A1441" s="596"/>
      <c r="C1441" s="593"/>
      <c r="E1441" s="591"/>
      <c r="J1441" s="597"/>
      <c r="L1441" s="598"/>
      <c r="M1441" s="455"/>
      <c r="P1441" s="593"/>
    </row>
    <row r="1442" spans="1:16" s="448" customFormat="1">
      <c r="A1442" s="596"/>
      <c r="C1442" s="593"/>
      <c r="E1442" s="591"/>
      <c r="J1442" s="597"/>
      <c r="L1442" s="598"/>
      <c r="M1442" s="455"/>
      <c r="P1442" s="593"/>
    </row>
    <row r="1443" spans="1:16" s="448" customFormat="1">
      <c r="A1443" s="596"/>
      <c r="C1443" s="593"/>
      <c r="E1443" s="591"/>
      <c r="J1443" s="597"/>
      <c r="L1443" s="598"/>
      <c r="M1443" s="455"/>
      <c r="P1443" s="593"/>
    </row>
    <row r="1444" spans="1:16" s="448" customFormat="1">
      <c r="A1444" s="596"/>
      <c r="C1444" s="593"/>
      <c r="E1444" s="591"/>
      <c r="J1444" s="597"/>
      <c r="L1444" s="598"/>
      <c r="M1444" s="455"/>
      <c r="P1444" s="593"/>
    </row>
    <row r="1445" spans="1:16" s="448" customFormat="1">
      <c r="A1445" s="596"/>
      <c r="C1445" s="593"/>
      <c r="E1445" s="591"/>
      <c r="J1445" s="597"/>
      <c r="L1445" s="598"/>
      <c r="M1445" s="455"/>
      <c r="P1445" s="593"/>
    </row>
    <row r="1446" spans="1:16" s="448" customFormat="1">
      <c r="A1446" s="596"/>
      <c r="C1446" s="593"/>
      <c r="E1446" s="591"/>
      <c r="J1446" s="597"/>
      <c r="L1446" s="598"/>
      <c r="M1446" s="455"/>
      <c r="P1446" s="593"/>
    </row>
    <row r="1447" spans="1:16" s="448" customFormat="1">
      <c r="A1447" s="596"/>
      <c r="C1447" s="593"/>
      <c r="E1447" s="591"/>
      <c r="J1447" s="597"/>
      <c r="L1447" s="598"/>
      <c r="M1447" s="455"/>
      <c r="P1447" s="593"/>
    </row>
    <row r="1448" spans="1:16" s="448" customFormat="1">
      <c r="A1448" s="596"/>
      <c r="C1448" s="593"/>
      <c r="E1448" s="591"/>
      <c r="J1448" s="597"/>
      <c r="L1448" s="598"/>
      <c r="M1448" s="455"/>
      <c r="P1448" s="593"/>
    </row>
    <row r="1449" spans="1:16" s="448" customFormat="1">
      <c r="A1449" s="596"/>
      <c r="C1449" s="593"/>
      <c r="E1449" s="591"/>
      <c r="J1449" s="597"/>
      <c r="L1449" s="598"/>
      <c r="M1449" s="455"/>
      <c r="P1449" s="593"/>
    </row>
    <row r="1450" spans="1:16" s="448" customFormat="1">
      <c r="A1450" s="596"/>
      <c r="C1450" s="593"/>
      <c r="E1450" s="591"/>
      <c r="J1450" s="597"/>
      <c r="L1450" s="598"/>
      <c r="M1450" s="455"/>
      <c r="P1450" s="593"/>
    </row>
    <row r="1451" spans="1:16" s="448" customFormat="1">
      <c r="A1451" s="596"/>
      <c r="C1451" s="593"/>
      <c r="E1451" s="591"/>
      <c r="J1451" s="597"/>
      <c r="L1451" s="598"/>
      <c r="M1451" s="455"/>
      <c r="P1451" s="593"/>
    </row>
    <row r="1452" spans="1:16" s="448" customFormat="1">
      <c r="A1452" s="596"/>
      <c r="C1452" s="593"/>
      <c r="E1452" s="591"/>
      <c r="J1452" s="597"/>
      <c r="L1452" s="598"/>
      <c r="M1452" s="455"/>
      <c r="P1452" s="593"/>
    </row>
    <row r="1453" spans="1:16" s="448" customFormat="1">
      <c r="A1453" s="596"/>
      <c r="C1453" s="593"/>
      <c r="E1453" s="591"/>
      <c r="J1453" s="597"/>
      <c r="L1453" s="598"/>
      <c r="M1453" s="455"/>
      <c r="P1453" s="593"/>
    </row>
    <row r="1454" spans="1:16" s="448" customFormat="1">
      <c r="A1454" s="596"/>
      <c r="C1454" s="593"/>
      <c r="E1454" s="591"/>
      <c r="J1454" s="597"/>
      <c r="L1454" s="598"/>
      <c r="M1454" s="455"/>
      <c r="P1454" s="593"/>
    </row>
    <row r="1455" spans="1:16" s="448" customFormat="1">
      <c r="A1455" s="596"/>
      <c r="C1455" s="593"/>
      <c r="E1455" s="591"/>
      <c r="J1455" s="597"/>
      <c r="L1455" s="598"/>
      <c r="M1455" s="455"/>
      <c r="P1455" s="593"/>
    </row>
    <row r="1456" spans="1:16" s="448" customFormat="1">
      <c r="A1456" s="596"/>
      <c r="C1456" s="593"/>
      <c r="E1456" s="591"/>
      <c r="J1456" s="597"/>
      <c r="L1456" s="598"/>
      <c r="M1456" s="455"/>
      <c r="P1456" s="593"/>
    </row>
    <row r="1457" spans="1:16" s="448" customFormat="1">
      <c r="A1457" s="596"/>
      <c r="C1457" s="593"/>
      <c r="E1457" s="591"/>
      <c r="J1457" s="597"/>
      <c r="L1457" s="598"/>
      <c r="M1457" s="455"/>
      <c r="P1457" s="593"/>
    </row>
    <row r="1458" spans="1:16" s="448" customFormat="1">
      <c r="A1458" s="596"/>
      <c r="C1458" s="593"/>
      <c r="E1458" s="591"/>
      <c r="J1458" s="597"/>
      <c r="L1458" s="598"/>
      <c r="M1458" s="455"/>
      <c r="P1458" s="593"/>
    </row>
    <row r="1459" spans="1:16" s="448" customFormat="1">
      <c r="A1459" s="596"/>
      <c r="C1459" s="593"/>
      <c r="E1459" s="591"/>
      <c r="J1459" s="597"/>
      <c r="L1459" s="598"/>
      <c r="M1459" s="455"/>
      <c r="P1459" s="593"/>
    </row>
    <row r="1460" spans="1:16" s="448" customFormat="1">
      <c r="A1460" s="596"/>
      <c r="C1460" s="593"/>
      <c r="E1460" s="591"/>
      <c r="J1460" s="597"/>
      <c r="L1460" s="598"/>
      <c r="M1460" s="455"/>
      <c r="P1460" s="593"/>
    </row>
    <row r="1461" spans="1:16" s="448" customFormat="1">
      <c r="A1461" s="596"/>
      <c r="C1461" s="593"/>
      <c r="E1461" s="591"/>
      <c r="J1461" s="597"/>
      <c r="L1461" s="598"/>
      <c r="M1461" s="455"/>
      <c r="P1461" s="593"/>
    </row>
    <row r="1462" spans="1:16" s="448" customFormat="1">
      <c r="A1462" s="596"/>
      <c r="C1462" s="593"/>
      <c r="E1462" s="591"/>
      <c r="J1462" s="597"/>
      <c r="L1462" s="598"/>
      <c r="M1462" s="455"/>
      <c r="P1462" s="593"/>
    </row>
    <row r="1463" spans="1:16" s="448" customFormat="1">
      <c r="A1463" s="596"/>
      <c r="C1463" s="593"/>
      <c r="E1463" s="591"/>
      <c r="J1463" s="597"/>
      <c r="L1463" s="598"/>
      <c r="M1463" s="455"/>
      <c r="P1463" s="593"/>
    </row>
    <row r="1464" spans="1:16" s="448" customFormat="1">
      <c r="A1464" s="596"/>
      <c r="C1464" s="593"/>
      <c r="E1464" s="591"/>
      <c r="J1464" s="597"/>
      <c r="L1464" s="598"/>
      <c r="M1464" s="455"/>
      <c r="P1464" s="593"/>
    </row>
    <row r="1465" spans="1:16" s="448" customFormat="1">
      <c r="A1465" s="596"/>
      <c r="C1465" s="593"/>
      <c r="E1465" s="591"/>
      <c r="J1465" s="597"/>
      <c r="L1465" s="598"/>
      <c r="M1465" s="455"/>
      <c r="P1465" s="593"/>
    </row>
    <row r="1466" spans="1:16" s="448" customFormat="1">
      <c r="A1466" s="596"/>
      <c r="C1466" s="593"/>
      <c r="E1466" s="591"/>
      <c r="J1466" s="597"/>
      <c r="L1466" s="598"/>
      <c r="M1466" s="455"/>
      <c r="P1466" s="593"/>
    </row>
    <row r="1467" spans="1:16" s="448" customFormat="1">
      <c r="A1467" s="596"/>
      <c r="C1467" s="593"/>
      <c r="E1467" s="591"/>
      <c r="J1467" s="597"/>
      <c r="L1467" s="598"/>
      <c r="M1467" s="455"/>
      <c r="P1467" s="593"/>
    </row>
    <row r="1468" spans="1:16" s="448" customFormat="1">
      <c r="A1468" s="596"/>
      <c r="C1468" s="593"/>
      <c r="E1468" s="591"/>
      <c r="J1468" s="597"/>
      <c r="L1468" s="598"/>
      <c r="M1468" s="455"/>
      <c r="P1468" s="593"/>
    </row>
    <row r="1469" spans="1:16" s="448" customFormat="1">
      <c r="A1469" s="596"/>
      <c r="C1469" s="593"/>
      <c r="E1469" s="591"/>
      <c r="J1469" s="597"/>
      <c r="L1469" s="598"/>
      <c r="M1469" s="455"/>
      <c r="P1469" s="593"/>
    </row>
    <row r="1470" spans="1:16" s="448" customFormat="1">
      <c r="A1470" s="596"/>
      <c r="C1470" s="593"/>
      <c r="E1470" s="591"/>
      <c r="J1470" s="597"/>
      <c r="L1470" s="598"/>
      <c r="M1470" s="455"/>
      <c r="P1470" s="593"/>
    </row>
    <row r="1471" spans="1:16" s="448" customFormat="1">
      <c r="A1471" s="596"/>
      <c r="C1471" s="593"/>
      <c r="E1471" s="591"/>
      <c r="J1471" s="597"/>
      <c r="L1471" s="598"/>
      <c r="M1471" s="455"/>
      <c r="P1471" s="593"/>
    </row>
    <row r="1472" spans="1:16" s="448" customFormat="1">
      <c r="A1472" s="596"/>
      <c r="C1472" s="593"/>
      <c r="E1472" s="591"/>
      <c r="J1472" s="597"/>
      <c r="L1472" s="598"/>
      <c r="M1472" s="455"/>
      <c r="P1472" s="593"/>
    </row>
    <row r="1473" spans="1:16" s="448" customFormat="1">
      <c r="A1473" s="596"/>
      <c r="C1473" s="593"/>
      <c r="E1473" s="591"/>
      <c r="J1473" s="597"/>
      <c r="L1473" s="598"/>
      <c r="M1473" s="455"/>
      <c r="P1473" s="593"/>
    </row>
    <row r="1474" spans="1:16" s="448" customFormat="1">
      <c r="A1474" s="596"/>
      <c r="C1474" s="593"/>
      <c r="E1474" s="591"/>
      <c r="J1474" s="597"/>
      <c r="L1474" s="598"/>
      <c r="M1474" s="455"/>
      <c r="P1474" s="593"/>
    </row>
    <row r="1475" spans="1:16" s="448" customFormat="1">
      <c r="A1475" s="596"/>
      <c r="C1475" s="593"/>
      <c r="E1475" s="591"/>
      <c r="J1475" s="597"/>
      <c r="L1475" s="598"/>
      <c r="M1475" s="455"/>
      <c r="P1475" s="593"/>
    </row>
    <row r="1476" spans="1:16" s="448" customFormat="1">
      <c r="A1476" s="596"/>
      <c r="C1476" s="593"/>
      <c r="E1476" s="591"/>
      <c r="J1476" s="597"/>
      <c r="L1476" s="598"/>
      <c r="M1476" s="455"/>
      <c r="P1476" s="593"/>
    </row>
    <row r="1477" spans="1:16" s="448" customFormat="1">
      <c r="A1477" s="596"/>
      <c r="C1477" s="593"/>
      <c r="E1477" s="591"/>
      <c r="J1477" s="597"/>
      <c r="L1477" s="598"/>
      <c r="M1477" s="455"/>
      <c r="P1477" s="593"/>
    </row>
    <row r="1478" spans="1:16" s="448" customFormat="1">
      <c r="A1478" s="596"/>
      <c r="C1478" s="593"/>
      <c r="E1478" s="591"/>
      <c r="J1478" s="597"/>
      <c r="L1478" s="598"/>
      <c r="M1478" s="455"/>
      <c r="P1478" s="593"/>
    </row>
    <row r="1479" spans="1:16" s="448" customFormat="1">
      <c r="A1479" s="596"/>
      <c r="C1479" s="593"/>
      <c r="E1479" s="591"/>
      <c r="J1479" s="597"/>
      <c r="L1479" s="598"/>
      <c r="M1479" s="455"/>
      <c r="P1479" s="593"/>
    </row>
    <row r="1480" spans="1:16" s="448" customFormat="1">
      <c r="A1480" s="596"/>
      <c r="C1480" s="593"/>
      <c r="E1480" s="591"/>
      <c r="J1480" s="597"/>
      <c r="L1480" s="598"/>
      <c r="M1480" s="455"/>
      <c r="P1480" s="593"/>
    </row>
    <row r="1481" spans="1:16" s="448" customFormat="1">
      <c r="A1481" s="596"/>
      <c r="C1481" s="593"/>
      <c r="E1481" s="591"/>
      <c r="J1481" s="597"/>
      <c r="L1481" s="598"/>
      <c r="M1481" s="455"/>
      <c r="P1481" s="593"/>
    </row>
    <row r="1482" spans="1:16" s="448" customFormat="1">
      <c r="A1482" s="596"/>
      <c r="C1482" s="593"/>
      <c r="E1482" s="591"/>
      <c r="J1482" s="597"/>
      <c r="L1482" s="598"/>
      <c r="M1482" s="455"/>
      <c r="P1482" s="593"/>
    </row>
    <row r="1483" spans="1:16" s="448" customFormat="1">
      <c r="A1483" s="596"/>
      <c r="C1483" s="593"/>
      <c r="E1483" s="591"/>
      <c r="J1483" s="597"/>
      <c r="L1483" s="598"/>
      <c r="M1483" s="455"/>
      <c r="P1483" s="593"/>
    </row>
    <row r="1484" spans="1:16" s="448" customFormat="1">
      <c r="A1484" s="596"/>
      <c r="C1484" s="593"/>
      <c r="E1484" s="591"/>
      <c r="J1484" s="597"/>
      <c r="L1484" s="598"/>
      <c r="M1484" s="455"/>
      <c r="P1484" s="593"/>
    </row>
    <row r="1485" spans="1:16" s="448" customFormat="1">
      <c r="A1485" s="596"/>
      <c r="C1485" s="593"/>
      <c r="E1485" s="591"/>
      <c r="J1485" s="597"/>
      <c r="L1485" s="598"/>
      <c r="M1485" s="455"/>
      <c r="P1485" s="593"/>
    </row>
    <row r="1486" spans="1:16" s="448" customFormat="1">
      <c r="A1486" s="596"/>
      <c r="C1486" s="593"/>
      <c r="E1486" s="591"/>
      <c r="J1486" s="597"/>
      <c r="L1486" s="598"/>
      <c r="M1486" s="455"/>
      <c r="P1486" s="593"/>
    </row>
    <row r="1487" spans="1:16" s="448" customFormat="1">
      <c r="A1487" s="596"/>
      <c r="C1487" s="593"/>
      <c r="E1487" s="591"/>
      <c r="J1487" s="597"/>
      <c r="L1487" s="598"/>
      <c r="M1487" s="455"/>
      <c r="P1487" s="593"/>
    </row>
    <row r="1488" spans="1:16" s="448" customFormat="1">
      <c r="A1488" s="596"/>
      <c r="C1488" s="593"/>
      <c r="E1488" s="591"/>
      <c r="J1488" s="597"/>
      <c r="L1488" s="598"/>
      <c r="M1488" s="455"/>
      <c r="P1488" s="593"/>
    </row>
    <row r="1489" spans="1:16" s="448" customFormat="1">
      <c r="A1489" s="596"/>
      <c r="C1489" s="593"/>
      <c r="E1489" s="591"/>
      <c r="J1489" s="597"/>
      <c r="L1489" s="598"/>
      <c r="M1489" s="455"/>
      <c r="P1489" s="593"/>
    </row>
    <row r="1490" spans="1:16" s="448" customFormat="1">
      <c r="A1490" s="596"/>
      <c r="C1490" s="593"/>
      <c r="E1490" s="591"/>
      <c r="J1490" s="597"/>
      <c r="L1490" s="598"/>
      <c r="M1490" s="455"/>
      <c r="P1490" s="593"/>
    </row>
    <row r="1491" spans="1:16" s="448" customFormat="1">
      <c r="A1491" s="596"/>
      <c r="C1491" s="593"/>
      <c r="E1491" s="591"/>
      <c r="J1491" s="597"/>
      <c r="L1491" s="598"/>
      <c r="M1491" s="455"/>
      <c r="P1491" s="593"/>
    </row>
    <row r="1492" spans="1:16" s="448" customFormat="1">
      <c r="A1492" s="596"/>
      <c r="C1492" s="593"/>
      <c r="E1492" s="591"/>
      <c r="J1492" s="597"/>
      <c r="L1492" s="598"/>
      <c r="M1492" s="455"/>
      <c r="P1492" s="593"/>
    </row>
    <row r="1493" spans="1:16" s="448" customFormat="1">
      <c r="A1493" s="596"/>
      <c r="C1493" s="593"/>
      <c r="E1493" s="591"/>
      <c r="J1493" s="597"/>
      <c r="L1493" s="598"/>
      <c r="M1493" s="455"/>
      <c r="P1493" s="593"/>
    </row>
    <row r="1494" spans="1:16" s="448" customFormat="1">
      <c r="A1494" s="596"/>
      <c r="C1494" s="593"/>
      <c r="E1494" s="591"/>
      <c r="J1494" s="597"/>
      <c r="L1494" s="598"/>
      <c r="M1494" s="455"/>
      <c r="P1494" s="593"/>
    </row>
    <row r="1495" spans="1:16" s="448" customFormat="1">
      <c r="A1495" s="596"/>
      <c r="C1495" s="593"/>
      <c r="E1495" s="591"/>
      <c r="J1495" s="597"/>
      <c r="L1495" s="598"/>
      <c r="M1495" s="455"/>
      <c r="P1495" s="593"/>
    </row>
    <row r="1496" spans="1:16" s="448" customFormat="1">
      <c r="A1496" s="596"/>
      <c r="C1496" s="593"/>
      <c r="E1496" s="591"/>
      <c r="J1496" s="597"/>
      <c r="L1496" s="598"/>
      <c r="M1496" s="455"/>
      <c r="P1496" s="593"/>
    </row>
    <row r="1497" spans="1:16" s="448" customFormat="1">
      <c r="A1497" s="596"/>
      <c r="C1497" s="593"/>
      <c r="E1497" s="591"/>
      <c r="J1497" s="597"/>
      <c r="L1497" s="598"/>
      <c r="M1497" s="455"/>
      <c r="P1497" s="593"/>
    </row>
    <row r="1498" spans="1:16" s="448" customFormat="1">
      <c r="A1498" s="596"/>
      <c r="C1498" s="593"/>
      <c r="E1498" s="591"/>
      <c r="J1498" s="597"/>
      <c r="L1498" s="598"/>
      <c r="M1498" s="455"/>
      <c r="P1498" s="593"/>
    </row>
    <row r="1499" spans="1:16" s="448" customFormat="1">
      <c r="A1499" s="596"/>
      <c r="C1499" s="593"/>
      <c r="E1499" s="591"/>
      <c r="J1499" s="597"/>
      <c r="L1499" s="598"/>
      <c r="M1499" s="455"/>
      <c r="P1499" s="593"/>
    </row>
    <row r="1500" spans="1:16" s="448" customFormat="1">
      <c r="A1500" s="596"/>
      <c r="C1500" s="593"/>
      <c r="E1500" s="591"/>
      <c r="J1500" s="597"/>
      <c r="L1500" s="598"/>
      <c r="M1500" s="455"/>
      <c r="P1500" s="593"/>
    </row>
    <row r="1501" spans="1:16" s="448" customFormat="1">
      <c r="A1501" s="596"/>
      <c r="C1501" s="593"/>
      <c r="E1501" s="591"/>
      <c r="J1501" s="597"/>
      <c r="L1501" s="598"/>
      <c r="M1501" s="455"/>
      <c r="P1501" s="593"/>
    </row>
    <row r="1502" spans="1:16" s="448" customFormat="1">
      <c r="A1502" s="596"/>
      <c r="C1502" s="593"/>
      <c r="E1502" s="591"/>
      <c r="J1502" s="597"/>
      <c r="L1502" s="598"/>
      <c r="M1502" s="455"/>
      <c r="P1502" s="593"/>
    </row>
    <row r="1503" spans="1:16" s="448" customFormat="1">
      <c r="A1503" s="596"/>
      <c r="C1503" s="593"/>
      <c r="E1503" s="591"/>
      <c r="J1503" s="597"/>
      <c r="L1503" s="598"/>
      <c r="M1503" s="455"/>
      <c r="P1503" s="593"/>
    </row>
    <row r="1504" spans="1:16" s="448" customFormat="1">
      <c r="A1504" s="596"/>
      <c r="C1504" s="593"/>
      <c r="E1504" s="591"/>
      <c r="J1504" s="597"/>
      <c r="L1504" s="598"/>
      <c r="M1504" s="455"/>
      <c r="P1504" s="593"/>
    </row>
    <row r="1505" spans="1:16" s="448" customFormat="1">
      <c r="A1505" s="596"/>
      <c r="C1505" s="593"/>
      <c r="E1505" s="591"/>
      <c r="J1505" s="597"/>
      <c r="L1505" s="598"/>
      <c r="M1505" s="455"/>
      <c r="P1505" s="593"/>
    </row>
    <row r="1506" spans="1:16" s="448" customFormat="1">
      <c r="A1506" s="596"/>
      <c r="C1506" s="593"/>
      <c r="E1506" s="591"/>
      <c r="J1506" s="597"/>
      <c r="L1506" s="598"/>
      <c r="M1506" s="455"/>
      <c r="P1506" s="593"/>
    </row>
    <row r="1507" spans="1:16" s="448" customFormat="1">
      <c r="A1507" s="596"/>
      <c r="C1507" s="593"/>
      <c r="E1507" s="591"/>
      <c r="J1507" s="597"/>
      <c r="L1507" s="598"/>
      <c r="M1507" s="455"/>
      <c r="P1507" s="593"/>
    </row>
    <row r="1508" spans="1:16" s="448" customFormat="1">
      <c r="A1508" s="596"/>
      <c r="C1508" s="593"/>
      <c r="E1508" s="591"/>
      <c r="J1508" s="597"/>
      <c r="L1508" s="598"/>
      <c r="M1508" s="455"/>
      <c r="P1508" s="593"/>
    </row>
    <row r="1509" spans="1:16" s="448" customFormat="1">
      <c r="A1509" s="596"/>
      <c r="C1509" s="593"/>
      <c r="E1509" s="591"/>
      <c r="J1509" s="597"/>
      <c r="L1509" s="598"/>
      <c r="M1509" s="455"/>
      <c r="P1509" s="593"/>
    </row>
    <row r="1510" spans="1:16" s="448" customFormat="1">
      <c r="A1510" s="596"/>
      <c r="C1510" s="593"/>
      <c r="E1510" s="591"/>
      <c r="J1510" s="597"/>
      <c r="L1510" s="598"/>
      <c r="M1510" s="455"/>
      <c r="P1510" s="593"/>
    </row>
    <row r="1511" spans="1:16" s="448" customFormat="1">
      <c r="A1511" s="596"/>
      <c r="C1511" s="593"/>
      <c r="E1511" s="591"/>
      <c r="J1511" s="597"/>
      <c r="L1511" s="598"/>
      <c r="M1511" s="455"/>
      <c r="P1511" s="593"/>
    </row>
    <row r="1512" spans="1:16" s="448" customFormat="1">
      <c r="A1512" s="596"/>
      <c r="C1512" s="593"/>
      <c r="E1512" s="591"/>
      <c r="J1512" s="597"/>
      <c r="L1512" s="598"/>
      <c r="M1512" s="455"/>
      <c r="P1512" s="593"/>
    </row>
    <row r="1513" spans="1:16" s="448" customFormat="1">
      <c r="A1513" s="596"/>
      <c r="C1513" s="593"/>
      <c r="E1513" s="591"/>
      <c r="J1513" s="597"/>
      <c r="L1513" s="598"/>
      <c r="M1513" s="455"/>
      <c r="P1513" s="593"/>
    </row>
    <row r="1514" spans="1:16" s="448" customFormat="1">
      <c r="A1514" s="596"/>
      <c r="C1514" s="593"/>
      <c r="E1514" s="591"/>
      <c r="J1514" s="597"/>
      <c r="L1514" s="598"/>
      <c r="M1514" s="455"/>
      <c r="P1514" s="593"/>
    </row>
    <row r="1515" spans="1:16" s="448" customFormat="1">
      <c r="A1515" s="596"/>
      <c r="C1515" s="593"/>
      <c r="E1515" s="591"/>
      <c r="J1515" s="597"/>
      <c r="L1515" s="598"/>
      <c r="M1515" s="455"/>
      <c r="P1515" s="593"/>
    </row>
    <row r="1516" spans="1:16" s="448" customFormat="1">
      <c r="A1516" s="596"/>
      <c r="C1516" s="593"/>
      <c r="E1516" s="591"/>
      <c r="J1516" s="597"/>
      <c r="L1516" s="598"/>
      <c r="M1516" s="455"/>
      <c r="P1516" s="593"/>
    </row>
    <row r="1517" spans="1:16" s="448" customFormat="1">
      <c r="A1517" s="596"/>
      <c r="C1517" s="593"/>
      <c r="E1517" s="591"/>
      <c r="J1517" s="597"/>
      <c r="L1517" s="598"/>
      <c r="M1517" s="455"/>
      <c r="P1517" s="593"/>
    </row>
    <row r="1518" spans="1:16" s="448" customFormat="1">
      <c r="A1518" s="596"/>
      <c r="C1518" s="593"/>
      <c r="E1518" s="591"/>
      <c r="J1518" s="597"/>
      <c r="L1518" s="598"/>
      <c r="M1518" s="455"/>
      <c r="P1518" s="593"/>
    </row>
    <row r="1519" spans="1:16" s="458" customFormat="1">
      <c r="A1519" s="599"/>
      <c r="C1519" s="600"/>
      <c r="E1519" s="601"/>
      <c r="J1519" s="602"/>
      <c r="L1519" s="603"/>
      <c r="M1519" s="461"/>
      <c r="P1519" s="600"/>
    </row>
  </sheetData>
  <mergeCells count="1003">
    <mergeCell ref="C560:C561"/>
    <mergeCell ref="B562:B568"/>
    <mergeCell ref="C562:C568"/>
    <mergeCell ref="A562:A568"/>
    <mergeCell ref="A661:A662"/>
    <mergeCell ref="A448:A449"/>
    <mergeCell ref="B432:B433"/>
    <mergeCell ref="C486:C498"/>
    <mergeCell ref="A512:A519"/>
    <mergeCell ref="B512:B519"/>
    <mergeCell ref="C512:C519"/>
    <mergeCell ref="A285:A286"/>
    <mergeCell ref="A414:A417"/>
    <mergeCell ref="B499:B511"/>
    <mergeCell ref="P499:P511"/>
    <mergeCell ref="P541:P544"/>
    <mergeCell ref="B478:B485"/>
    <mergeCell ref="C458:C464"/>
    <mergeCell ref="C474:C477"/>
    <mergeCell ref="P520:P540"/>
    <mergeCell ref="P466:P472"/>
    <mergeCell ref="B474:B476"/>
    <mergeCell ref="A452:A454"/>
    <mergeCell ref="A458:A464"/>
    <mergeCell ref="A313:A320"/>
    <mergeCell ref="B313:B320"/>
    <mergeCell ref="A1141:A1153"/>
    <mergeCell ref="B1141:B1153"/>
    <mergeCell ref="A917:A919"/>
    <mergeCell ref="A914:A916"/>
    <mergeCell ref="B914:B916"/>
    <mergeCell ref="A875:A879"/>
    <mergeCell ref="C1150:C1153"/>
    <mergeCell ref="A1116:A1119"/>
    <mergeCell ref="P123:P130"/>
    <mergeCell ref="P87:P122"/>
    <mergeCell ref="B361:B366"/>
    <mergeCell ref="P545:P551"/>
    <mergeCell ref="A545:A551"/>
    <mergeCell ref="C167:C185"/>
    <mergeCell ref="A167:A168"/>
    <mergeCell ref="A169:A170"/>
    <mergeCell ref="B169:B170"/>
    <mergeCell ref="B174:B175"/>
    <mergeCell ref="A174:A175"/>
    <mergeCell ref="A287:A288"/>
    <mergeCell ref="B450:B451"/>
    <mergeCell ref="B291:B292"/>
    <mergeCell ref="C291:C292"/>
    <mergeCell ref="A432:A433"/>
    <mergeCell ref="C408:C411"/>
    <mergeCell ref="A410:A411"/>
    <mergeCell ref="A438:A439"/>
    <mergeCell ref="B438:B439"/>
    <mergeCell ref="A440:A441"/>
    <mergeCell ref="B440:B441"/>
    <mergeCell ref="P186:P187"/>
    <mergeCell ref="C199:C201"/>
    <mergeCell ref="A769:A774"/>
    <mergeCell ref="A802:A803"/>
    <mergeCell ref="B802:B803"/>
    <mergeCell ref="B786:B787"/>
    <mergeCell ref="B862:B871"/>
    <mergeCell ref="C862:C871"/>
    <mergeCell ref="B806:B807"/>
    <mergeCell ref="A836:A837"/>
    <mergeCell ref="B836:B837"/>
    <mergeCell ref="B790:B793"/>
    <mergeCell ref="A790:A793"/>
    <mergeCell ref="A804:A805"/>
    <mergeCell ref="B799:B801"/>
    <mergeCell ref="C799:C801"/>
    <mergeCell ref="C802:C803"/>
    <mergeCell ref="B804:B805"/>
    <mergeCell ref="C804:C805"/>
    <mergeCell ref="B839:B850"/>
    <mergeCell ref="C846:C850"/>
    <mergeCell ref="A862:A871"/>
    <mergeCell ref="B775:B777"/>
    <mergeCell ref="C775:C777"/>
    <mergeCell ref="A839:A850"/>
    <mergeCell ref="P872:P874"/>
    <mergeCell ref="P875:P877"/>
    <mergeCell ref="B740:B741"/>
    <mergeCell ref="C740:C741"/>
    <mergeCell ref="C742:C743"/>
    <mergeCell ref="B742:B743"/>
    <mergeCell ref="B875:B879"/>
    <mergeCell ref="B872:B873"/>
    <mergeCell ref="C872:C881"/>
    <mergeCell ref="P880:P881"/>
    <mergeCell ref="B880:B883"/>
    <mergeCell ref="C839:C845"/>
    <mergeCell ref="B788:B789"/>
    <mergeCell ref="P794:P796"/>
    <mergeCell ref="P824:P835"/>
    <mergeCell ref="C825:C835"/>
    <mergeCell ref="P838:P850"/>
    <mergeCell ref="M872:M873"/>
    <mergeCell ref="N872:N873"/>
    <mergeCell ref="O872:O873"/>
    <mergeCell ref="P804:P805"/>
    <mergeCell ref="P802:P803"/>
    <mergeCell ref="P799:P801"/>
    <mergeCell ref="P808:P809"/>
    <mergeCell ref="C769:C774"/>
    <mergeCell ref="B769:B774"/>
    <mergeCell ref="P767:P768"/>
    <mergeCell ref="A767:A768"/>
    <mergeCell ref="B767:B768"/>
    <mergeCell ref="C767:C768"/>
    <mergeCell ref="A715:A716"/>
    <mergeCell ref="B715:B716"/>
    <mergeCell ref="C715:C716"/>
    <mergeCell ref="C732:C735"/>
    <mergeCell ref="B734:B735"/>
    <mergeCell ref="P725:P731"/>
    <mergeCell ref="B732:B733"/>
    <mergeCell ref="P732:P735"/>
    <mergeCell ref="P715:P716"/>
    <mergeCell ref="O692:O694"/>
    <mergeCell ref="P692:P714"/>
    <mergeCell ref="A695:A696"/>
    <mergeCell ref="B695:B696"/>
    <mergeCell ref="A699:A700"/>
    <mergeCell ref="A692:A694"/>
    <mergeCell ref="B692:B694"/>
    <mergeCell ref="B763:B764"/>
    <mergeCell ref="A759:A760"/>
    <mergeCell ref="A761:A762"/>
    <mergeCell ref="A755:A758"/>
    <mergeCell ref="C759:C760"/>
    <mergeCell ref="B761:B762"/>
    <mergeCell ref="B749:B752"/>
    <mergeCell ref="B755:B758"/>
    <mergeCell ref="C763:C766"/>
    <mergeCell ref="B765:B766"/>
    <mergeCell ref="C761:C762"/>
    <mergeCell ref="B759:B760"/>
    <mergeCell ref="B725:B731"/>
    <mergeCell ref="C725:C731"/>
    <mergeCell ref="P755:P758"/>
    <mergeCell ref="B753:B754"/>
    <mergeCell ref="A753:A754"/>
    <mergeCell ref="P753:P754"/>
    <mergeCell ref="C755:C758"/>
    <mergeCell ref="P736:P743"/>
    <mergeCell ref="B736:B737"/>
    <mergeCell ref="C736:C737"/>
    <mergeCell ref="C738:C739"/>
    <mergeCell ref="A736:A737"/>
    <mergeCell ref="A749:A752"/>
    <mergeCell ref="C753:C754"/>
    <mergeCell ref="P717:P722"/>
    <mergeCell ref="P649:P650"/>
    <mergeCell ref="P763:P766"/>
    <mergeCell ref="A763:A764"/>
    <mergeCell ref="A765:A766"/>
    <mergeCell ref="N659:N660"/>
    <mergeCell ref="N661:N662"/>
    <mergeCell ref="N663:N664"/>
    <mergeCell ref="N665:N666"/>
    <mergeCell ref="C1289:C1302"/>
    <mergeCell ref="A1249:A1261"/>
    <mergeCell ref="B1249:B1261"/>
    <mergeCell ref="C1249:C1261"/>
    <mergeCell ref="A1262:A1273"/>
    <mergeCell ref="A1203:A1210"/>
    <mergeCell ref="B1203:B1210"/>
    <mergeCell ref="B1241:B1248"/>
    <mergeCell ref="A1241:A1248"/>
    <mergeCell ref="A808:A809"/>
    <mergeCell ref="B808:B809"/>
    <mergeCell ref="A923:A935"/>
    <mergeCell ref="B923:B935"/>
    <mergeCell ref="A936:A948"/>
    <mergeCell ref="B936:B948"/>
    <mergeCell ref="C1117:C1122"/>
    <mergeCell ref="C1123:C1127"/>
    <mergeCell ref="C1130:C1135"/>
    <mergeCell ref="A1197:A1202"/>
    <mergeCell ref="A1038:A1050"/>
    <mergeCell ref="A960:A972"/>
    <mergeCell ref="A872:A874"/>
    <mergeCell ref="A1187:A1188"/>
    <mergeCell ref="B1197:B1202"/>
    <mergeCell ref="A920:A922"/>
    <mergeCell ref="B920:B922"/>
    <mergeCell ref="A880:A881"/>
    <mergeCell ref="B1038:B1050"/>
    <mergeCell ref="A1161:A1168"/>
    <mergeCell ref="A1174:A1178"/>
    <mergeCell ref="A1179:A1180"/>
    <mergeCell ref="A1181:A1182"/>
    <mergeCell ref="A1189:A1194"/>
    <mergeCell ref="B1116:B1127"/>
    <mergeCell ref="A1128:A1129"/>
    <mergeCell ref="B1128:B1129"/>
    <mergeCell ref="A1051:A1063"/>
    <mergeCell ref="B1051:B1063"/>
    <mergeCell ref="A949:A954"/>
    <mergeCell ref="A955:A956"/>
    <mergeCell ref="A894:A895"/>
    <mergeCell ref="B894:B895"/>
    <mergeCell ref="A703:A704"/>
    <mergeCell ref="B703:B704"/>
    <mergeCell ref="I1308:J1308"/>
    <mergeCell ref="P1274:P1276"/>
    <mergeCell ref="A1275:A1276"/>
    <mergeCell ref="B1275:B1276"/>
    <mergeCell ref="A1277:A1288"/>
    <mergeCell ref="B1277:B1288"/>
    <mergeCell ref="P1277:P1302"/>
    <mergeCell ref="A1289:A1290"/>
    <mergeCell ref="B1289:B1290"/>
    <mergeCell ref="A1291:A1302"/>
    <mergeCell ref="C1277:C1283"/>
    <mergeCell ref="C1303:C1307"/>
    <mergeCell ref="B1303:B1307"/>
    <mergeCell ref="A1303:A1307"/>
    <mergeCell ref="C1284:C1288"/>
    <mergeCell ref="B1291:B1302"/>
    <mergeCell ref="B810:B822"/>
    <mergeCell ref="A810:A822"/>
    <mergeCell ref="B794:B798"/>
    <mergeCell ref="A794:A798"/>
    <mergeCell ref="P1077:P1089"/>
    <mergeCell ref="A1090:A1102"/>
    <mergeCell ref="M1226:M1233"/>
    <mergeCell ref="C1154:C1160"/>
    <mergeCell ref="C1187:C1194"/>
    <mergeCell ref="B1262:B1273"/>
    <mergeCell ref="P1262:P1273"/>
    <mergeCell ref="C1263:C1268"/>
    <mergeCell ref="C1269:C1273"/>
    <mergeCell ref="C1203:C1210"/>
    <mergeCell ref="P1203:P1240"/>
    <mergeCell ref="B1183:B1184"/>
    <mergeCell ref="B1185:B1186"/>
    <mergeCell ref="B1154:B1157"/>
    <mergeCell ref="P1187:P1194"/>
    <mergeCell ref="B1189:B1194"/>
    <mergeCell ref="B1187:B1188"/>
    <mergeCell ref="P1154:P1186"/>
    <mergeCell ref="B1161:B1168"/>
    <mergeCell ref="C1161:C1168"/>
    <mergeCell ref="C1169:C1173"/>
    <mergeCell ref="B1174:B1178"/>
    <mergeCell ref="C1174:C1186"/>
    <mergeCell ref="B1179:B1180"/>
    <mergeCell ref="B1181:B1182"/>
    <mergeCell ref="A1211:A1218"/>
    <mergeCell ref="B1211:B1218"/>
    <mergeCell ref="A1226:A1233"/>
    <mergeCell ref="B1226:B1233"/>
    <mergeCell ref="A1183:A1184"/>
    <mergeCell ref="A1185:A1186"/>
    <mergeCell ref="A1154:A1157"/>
    <mergeCell ref="C1047:C1050"/>
    <mergeCell ref="A1012:A1024"/>
    <mergeCell ref="C1040:C1045"/>
    <mergeCell ref="A986:A998"/>
    <mergeCell ref="B986:B998"/>
    <mergeCell ref="C986:C998"/>
    <mergeCell ref="A999:A1011"/>
    <mergeCell ref="B999:B1011"/>
    <mergeCell ref="C1001:C1006"/>
    <mergeCell ref="C1007:C1011"/>
    <mergeCell ref="P1128:P1140"/>
    <mergeCell ref="B1130:B1140"/>
    <mergeCell ref="C1136:C1140"/>
    <mergeCell ref="B1090:B1102"/>
    <mergeCell ref="A1103:A1115"/>
    <mergeCell ref="B1103:B1115"/>
    <mergeCell ref="C1103:C1104"/>
    <mergeCell ref="C1105:C1110"/>
    <mergeCell ref="B1012:B1024"/>
    <mergeCell ref="C1012:C1024"/>
    <mergeCell ref="A1025:A1037"/>
    <mergeCell ref="B1025:B1037"/>
    <mergeCell ref="P1103:P1115"/>
    <mergeCell ref="C1111:C1115"/>
    <mergeCell ref="P1051:P1063"/>
    <mergeCell ref="C1053:C1058"/>
    <mergeCell ref="C1059:C1063"/>
    <mergeCell ref="A1064:A1076"/>
    <mergeCell ref="B1064:B1076"/>
    <mergeCell ref="A1077:A1089"/>
    <mergeCell ref="B1077:B1089"/>
    <mergeCell ref="C1077:C1089"/>
    <mergeCell ref="B906:B909"/>
    <mergeCell ref="A906:A909"/>
    <mergeCell ref="B910:B913"/>
    <mergeCell ref="A910:A913"/>
    <mergeCell ref="C894:C913"/>
    <mergeCell ref="P949:P953"/>
    <mergeCell ref="P920:P922"/>
    <mergeCell ref="P973:P985"/>
    <mergeCell ref="B960:B972"/>
    <mergeCell ref="C936:C948"/>
    <mergeCell ref="C920:C922"/>
    <mergeCell ref="P917:P919"/>
    <mergeCell ref="P1025:P1037"/>
    <mergeCell ref="C1027:C1032"/>
    <mergeCell ref="C1033:C1037"/>
    <mergeCell ref="P999:P1011"/>
    <mergeCell ref="C923:C935"/>
    <mergeCell ref="C917:C919"/>
    <mergeCell ref="B949:B954"/>
    <mergeCell ref="C949:C954"/>
    <mergeCell ref="M949:M953"/>
    <mergeCell ref="O949:O953"/>
    <mergeCell ref="B955:B956"/>
    <mergeCell ref="C955:C956"/>
    <mergeCell ref="P955:P956"/>
    <mergeCell ref="M955:M959"/>
    <mergeCell ref="O955:O959"/>
    <mergeCell ref="P960:P972"/>
    <mergeCell ref="C962:C967"/>
    <mergeCell ref="B917:B919"/>
    <mergeCell ref="P894:P895"/>
    <mergeCell ref="P906:P909"/>
    <mergeCell ref="P884:P886"/>
    <mergeCell ref="P889:P891"/>
    <mergeCell ref="A896:A897"/>
    <mergeCell ref="B896:B897"/>
    <mergeCell ref="P896:P897"/>
    <mergeCell ref="B884:B888"/>
    <mergeCell ref="C884:C888"/>
    <mergeCell ref="A884:A888"/>
    <mergeCell ref="B889:B893"/>
    <mergeCell ref="C889:C893"/>
    <mergeCell ref="A889:A893"/>
    <mergeCell ref="C968:C972"/>
    <mergeCell ref="A973:A985"/>
    <mergeCell ref="B973:B985"/>
    <mergeCell ref="C973:C985"/>
    <mergeCell ref="P914:P916"/>
    <mergeCell ref="C914:C916"/>
    <mergeCell ref="A898:A899"/>
    <mergeCell ref="B898:B899"/>
    <mergeCell ref="P898:P899"/>
    <mergeCell ref="A904:A905"/>
    <mergeCell ref="B904:B905"/>
    <mergeCell ref="P904:P905"/>
    <mergeCell ref="A900:A901"/>
    <mergeCell ref="B900:B901"/>
    <mergeCell ref="P900:P901"/>
    <mergeCell ref="A902:A903"/>
    <mergeCell ref="B902:B903"/>
    <mergeCell ref="P902:P903"/>
    <mergeCell ref="P910:P912"/>
    <mergeCell ref="P836:P837"/>
    <mergeCell ref="P806:P807"/>
    <mergeCell ref="A823:A835"/>
    <mergeCell ref="B823:B835"/>
    <mergeCell ref="C806:C807"/>
    <mergeCell ref="A806:A807"/>
    <mergeCell ref="C808:C809"/>
    <mergeCell ref="P775:P777"/>
    <mergeCell ref="A783:A785"/>
    <mergeCell ref="B783:B785"/>
    <mergeCell ref="A788:A789"/>
    <mergeCell ref="P786:P787"/>
    <mergeCell ref="B778:B782"/>
    <mergeCell ref="A778:A782"/>
    <mergeCell ref="P778:P782"/>
    <mergeCell ref="P783:P785"/>
    <mergeCell ref="P788:P793"/>
    <mergeCell ref="A775:A777"/>
    <mergeCell ref="A786:A787"/>
    <mergeCell ref="C778:C798"/>
    <mergeCell ref="A701:A702"/>
    <mergeCell ref="B699:B700"/>
    <mergeCell ref="A707:A708"/>
    <mergeCell ref="B707:B708"/>
    <mergeCell ref="B705:B706"/>
    <mergeCell ref="A705:A706"/>
    <mergeCell ref="P744:P748"/>
    <mergeCell ref="C663:C664"/>
    <mergeCell ref="O665:O666"/>
    <mergeCell ref="O663:O664"/>
    <mergeCell ref="A740:A741"/>
    <mergeCell ref="A723:A724"/>
    <mergeCell ref="C717:C724"/>
    <mergeCell ref="A717:A722"/>
    <mergeCell ref="B717:B722"/>
    <mergeCell ref="M665:M666"/>
    <mergeCell ref="B663:B664"/>
    <mergeCell ref="A663:A664"/>
    <mergeCell ref="P683:P691"/>
    <mergeCell ref="C667:C678"/>
    <mergeCell ref="C692:C694"/>
    <mergeCell ref="A742:A743"/>
    <mergeCell ref="B711:B712"/>
    <mergeCell ref="A711:A712"/>
    <mergeCell ref="P665:P666"/>
    <mergeCell ref="B667:B669"/>
    <mergeCell ref="A744:A748"/>
    <mergeCell ref="B744:B748"/>
    <mergeCell ref="B713:B714"/>
    <mergeCell ref="A713:A714"/>
    <mergeCell ref="C744:C748"/>
    <mergeCell ref="A725:A731"/>
    <mergeCell ref="A649:A650"/>
    <mergeCell ref="B649:B650"/>
    <mergeCell ref="C649:C650"/>
    <mergeCell ref="M649:M650"/>
    <mergeCell ref="O649:O650"/>
    <mergeCell ref="N649:N650"/>
    <mergeCell ref="A651:A652"/>
    <mergeCell ref="B651:B652"/>
    <mergeCell ref="C651:C652"/>
    <mergeCell ref="M651:M652"/>
    <mergeCell ref="B661:B662"/>
    <mergeCell ref="C661:C662"/>
    <mergeCell ref="M661:M662"/>
    <mergeCell ref="P661:P662"/>
    <mergeCell ref="A667:A668"/>
    <mergeCell ref="P759:P760"/>
    <mergeCell ref="M657:M658"/>
    <mergeCell ref="P657:P658"/>
    <mergeCell ref="A659:A660"/>
    <mergeCell ref="B659:B660"/>
    <mergeCell ref="C659:C660"/>
    <mergeCell ref="M659:M660"/>
    <mergeCell ref="P659:P660"/>
    <mergeCell ref="P667:P678"/>
    <mergeCell ref="A683:A691"/>
    <mergeCell ref="B683:B691"/>
    <mergeCell ref="C683:C691"/>
    <mergeCell ref="O683:O691"/>
    <mergeCell ref="A665:A666"/>
    <mergeCell ref="B665:B666"/>
    <mergeCell ref="C665:C666"/>
    <mergeCell ref="B701:B702"/>
    <mergeCell ref="P651:P652"/>
    <mergeCell ref="N651:N652"/>
    <mergeCell ref="A657:A658"/>
    <mergeCell ref="B657:B658"/>
    <mergeCell ref="C657:C658"/>
    <mergeCell ref="A653:A654"/>
    <mergeCell ref="B653:B654"/>
    <mergeCell ref="C653:C654"/>
    <mergeCell ref="M653:M654"/>
    <mergeCell ref="P653:P654"/>
    <mergeCell ref="A655:A656"/>
    <mergeCell ref="B655:B656"/>
    <mergeCell ref="C655:C656"/>
    <mergeCell ref="M655:M656"/>
    <mergeCell ref="P655:P656"/>
    <mergeCell ref="N653:N654"/>
    <mergeCell ref="N655:N656"/>
    <mergeCell ref="N657:N658"/>
    <mergeCell ref="A643:A644"/>
    <mergeCell ref="B643:B644"/>
    <mergeCell ref="C643:C644"/>
    <mergeCell ref="M643:M644"/>
    <mergeCell ref="N643:N644"/>
    <mergeCell ref="O643:O644"/>
    <mergeCell ref="A641:A642"/>
    <mergeCell ref="B641:B642"/>
    <mergeCell ref="C641:C642"/>
    <mergeCell ref="M641:M642"/>
    <mergeCell ref="N641:N642"/>
    <mergeCell ref="O641:O642"/>
    <mergeCell ref="P643:P644"/>
    <mergeCell ref="P645:P646"/>
    <mergeCell ref="A647:A648"/>
    <mergeCell ref="B647:B648"/>
    <mergeCell ref="C647:C648"/>
    <mergeCell ref="M647:M648"/>
    <mergeCell ref="N647:N648"/>
    <mergeCell ref="O647:O648"/>
    <mergeCell ref="P647:P648"/>
    <mergeCell ref="A645:A646"/>
    <mergeCell ref="B645:B646"/>
    <mergeCell ref="C645:C646"/>
    <mergeCell ref="M645:M646"/>
    <mergeCell ref="N645:N646"/>
    <mergeCell ref="O645:O646"/>
    <mergeCell ref="C576:C577"/>
    <mergeCell ref="B573:B575"/>
    <mergeCell ref="C573:C575"/>
    <mergeCell ref="A573:A575"/>
    <mergeCell ref="P573:P575"/>
    <mergeCell ref="A608:A613"/>
    <mergeCell ref="B608:B613"/>
    <mergeCell ref="C608:C613"/>
    <mergeCell ref="A615:A622"/>
    <mergeCell ref="C615:C622"/>
    <mergeCell ref="B615:B616"/>
    <mergeCell ref="B617:B622"/>
    <mergeCell ref="P616:P620"/>
    <mergeCell ref="A623:A635"/>
    <mergeCell ref="B623:B635"/>
    <mergeCell ref="C624:C635"/>
    <mergeCell ref="P641:P642"/>
    <mergeCell ref="B576:B577"/>
    <mergeCell ref="P576:P577"/>
    <mergeCell ref="A576:A577"/>
    <mergeCell ref="A555:A557"/>
    <mergeCell ref="B555:B557"/>
    <mergeCell ref="C555:C557"/>
    <mergeCell ref="P558:P559"/>
    <mergeCell ref="A558:A559"/>
    <mergeCell ref="B558:B559"/>
    <mergeCell ref="C558:C559"/>
    <mergeCell ref="M555:M557"/>
    <mergeCell ref="P555:P557"/>
    <mergeCell ref="C569:C572"/>
    <mergeCell ref="B569:B572"/>
    <mergeCell ref="A636:A640"/>
    <mergeCell ref="B636:B640"/>
    <mergeCell ref="C636:C640"/>
    <mergeCell ref="P636:P640"/>
    <mergeCell ref="P560:P568"/>
    <mergeCell ref="A560:A561"/>
    <mergeCell ref="B560:B561"/>
    <mergeCell ref="P595:P607"/>
    <mergeCell ref="C596:C602"/>
    <mergeCell ref="C603:C607"/>
    <mergeCell ref="A580:A581"/>
    <mergeCell ref="B580:B581"/>
    <mergeCell ref="C580:C581"/>
    <mergeCell ref="P580:P581"/>
    <mergeCell ref="A582:A594"/>
    <mergeCell ref="B582:B594"/>
    <mergeCell ref="C582:C594"/>
    <mergeCell ref="A595:A607"/>
    <mergeCell ref="B595:B607"/>
    <mergeCell ref="P446:P447"/>
    <mergeCell ref="A466:A472"/>
    <mergeCell ref="B466:B472"/>
    <mergeCell ref="A478:A485"/>
    <mergeCell ref="C552:C554"/>
    <mergeCell ref="B552:B554"/>
    <mergeCell ref="A552:A554"/>
    <mergeCell ref="C507:C511"/>
    <mergeCell ref="M545:M546"/>
    <mergeCell ref="N545:N546"/>
    <mergeCell ref="A499:A511"/>
    <mergeCell ref="C501:C506"/>
    <mergeCell ref="O545:O546"/>
    <mergeCell ref="B545:B551"/>
    <mergeCell ref="C545:C546"/>
    <mergeCell ref="A541:A544"/>
    <mergeCell ref="B541:B544"/>
    <mergeCell ref="A520:A526"/>
    <mergeCell ref="B520:B526"/>
    <mergeCell ref="A527:A533"/>
    <mergeCell ref="B527:B533"/>
    <mergeCell ref="M527:M533"/>
    <mergeCell ref="A534:A540"/>
    <mergeCell ref="B534:B540"/>
    <mergeCell ref="M534:M540"/>
    <mergeCell ref="C541:C544"/>
    <mergeCell ref="C520:C540"/>
    <mergeCell ref="B448:B449"/>
    <mergeCell ref="P478:P481"/>
    <mergeCell ref="B458:B464"/>
    <mergeCell ref="P474:P477"/>
    <mergeCell ref="A474:A477"/>
    <mergeCell ref="C466:C472"/>
    <mergeCell ref="A455:A457"/>
    <mergeCell ref="C480:C485"/>
    <mergeCell ref="A486:A498"/>
    <mergeCell ref="B486:B498"/>
    <mergeCell ref="P458:P464"/>
    <mergeCell ref="B455:B457"/>
    <mergeCell ref="A450:A451"/>
    <mergeCell ref="P438:P441"/>
    <mergeCell ref="C440:C441"/>
    <mergeCell ref="M440:M441"/>
    <mergeCell ref="P455:P457"/>
    <mergeCell ref="B446:B447"/>
    <mergeCell ref="C444:C445"/>
    <mergeCell ref="A444:A445"/>
    <mergeCell ref="B444:B445"/>
    <mergeCell ref="A442:A443"/>
    <mergeCell ref="B442:B443"/>
    <mergeCell ref="C455:C457"/>
    <mergeCell ref="A446:A447"/>
    <mergeCell ref="N444:N445"/>
    <mergeCell ref="C450:C451"/>
    <mergeCell ref="M450:M451"/>
    <mergeCell ref="P450:P451"/>
    <mergeCell ref="M444:M445"/>
    <mergeCell ref="O444:O445"/>
    <mergeCell ref="P444:P445"/>
    <mergeCell ref="C446:C447"/>
    <mergeCell ref="C402:C405"/>
    <mergeCell ref="B402:B405"/>
    <mergeCell ref="A402:A405"/>
    <mergeCell ref="M402:M404"/>
    <mergeCell ref="A406:A407"/>
    <mergeCell ref="B406:B407"/>
    <mergeCell ref="C406:C407"/>
    <mergeCell ref="M434:M437"/>
    <mergeCell ref="M455:M457"/>
    <mergeCell ref="A412:A413"/>
    <mergeCell ref="P434:P437"/>
    <mergeCell ref="P432:P433"/>
    <mergeCell ref="C434:C437"/>
    <mergeCell ref="A418:A427"/>
    <mergeCell ref="B418:B427"/>
    <mergeCell ref="C418:C427"/>
    <mergeCell ref="O432:O433"/>
    <mergeCell ref="A428:A429"/>
    <mergeCell ref="O430:O431"/>
    <mergeCell ref="C432:C433"/>
    <mergeCell ref="A430:A431"/>
    <mergeCell ref="B430:B431"/>
    <mergeCell ref="B434:B437"/>
    <mergeCell ref="A434:A437"/>
    <mergeCell ref="C448:C449"/>
    <mergeCell ref="P448:P449"/>
    <mergeCell ref="B452:B454"/>
    <mergeCell ref="C452:C454"/>
    <mergeCell ref="P452:P454"/>
    <mergeCell ref="C414:C417"/>
    <mergeCell ref="B414:B417"/>
    <mergeCell ref="M446:M447"/>
    <mergeCell ref="A393:A394"/>
    <mergeCell ref="B397:B399"/>
    <mergeCell ref="C397:C399"/>
    <mergeCell ref="A395:A396"/>
    <mergeCell ref="B395:B396"/>
    <mergeCell ref="P395:P396"/>
    <mergeCell ref="B393:B394"/>
    <mergeCell ref="A391:A392"/>
    <mergeCell ref="B391:B392"/>
    <mergeCell ref="C391:C392"/>
    <mergeCell ref="P391:P392"/>
    <mergeCell ref="C393:C394"/>
    <mergeCell ref="C395:C396"/>
    <mergeCell ref="A400:A401"/>
    <mergeCell ref="B400:B401"/>
    <mergeCell ref="C400:C401"/>
    <mergeCell ref="A397:A399"/>
    <mergeCell ref="B379:B380"/>
    <mergeCell ref="A381:A382"/>
    <mergeCell ref="P381:P390"/>
    <mergeCell ref="A383:A384"/>
    <mergeCell ref="B385:B386"/>
    <mergeCell ref="C385:C386"/>
    <mergeCell ref="A385:A386"/>
    <mergeCell ref="A379:A380"/>
    <mergeCell ref="A359:A360"/>
    <mergeCell ref="B359:B360"/>
    <mergeCell ref="C359:C360"/>
    <mergeCell ref="A367:A378"/>
    <mergeCell ref="B367:B378"/>
    <mergeCell ref="C363:C365"/>
    <mergeCell ref="C367:C373"/>
    <mergeCell ref="A361:A366"/>
    <mergeCell ref="P367:P378"/>
    <mergeCell ref="C374:C378"/>
    <mergeCell ref="B383:B384"/>
    <mergeCell ref="M383:M384"/>
    <mergeCell ref="O383:O384"/>
    <mergeCell ref="B387:B390"/>
    <mergeCell ref="A387:A390"/>
    <mergeCell ref="C387:C390"/>
    <mergeCell ref="O351:O357"/>
    <mergeCell ref="P351:P357"/>
    <mergeCell ref="A356:A358"/>
    <mergeCell ref="B356:B358"/>
    <mergeCell ref="A349:A350"/>
    <mergeCell ref="B349:B350"/>
    <mergeCell ref="C349:C350"/>
    <mergeCell ref="M349:M350"/>
    <mergeCell ref="O349:O350"/>
    <mergeCell ref="P349:P350"/>
    <mergeCell ref="C356:C358"/>
    <mergeCell ref="B351:B355"/>
    <mergeCell ref="A351:A355"/>
    <mergeCell ref="C353:C355"/>
    <mergeCell ref="B345:B346"/>
    <mergeCell ref="C345:C346"/>
    <mergeCell ref="M345:M346"/>
    <mergeCell ref="B334:B335"/>
    <mergeCell ref="C334:C335"/>
    <mergeCell ref="B336:B337"/>
    <mergeCell ref="C336:C337"/>
    <mergeCell ref="A336:A337"/>
    <mergeCell ref="B342:B344"/>
    <mergeCell ref="M342:M343"/>
    <mergeCell ref="O342:O343"/>
    <mergeCell ref="A340:A341"/>
    <mergeCell ref="B340:B341"/>
    <mergeCell ref="C340:C341"/>
    <mergeCell ref="M340:M341"/>
    <mergeCell ref="O340:O341"/>
    <mergeCell ref="A342:A344"/>
    <mergeCell ref="A347:A348"/>
    <mergeCell ref="B347:B348"/>
    <mergeCell ref="C347:C348"/>
    <mergeCell ref="M347:M348"/>
    <mergeCell ref="A345:A346"/>
    <mergeCell ref="C274:C276"/>
    <mergeCell ref="B277:B279"/>
    <mergeCell ref="C277:C279"/>
    <mergeCell ref="B285:B286"/>
    <mergeCell ref="C285:C286"/>
    <mergeCell ref="B287:B288"/>
    <mergeCell ref="C313:C320"/>
    <mergeCell ref="B293:B297"/>
    <mergeCell ref="B171:B173"/>
    <mergeCell ref="P291:P297"/>
    <mergeCell ref="P298:P306"/>
    <mergeCell ref="M192:M194"/>
    <mergeCell ref="M195:M198"/>
    <mergeCell ref="O195:O198"/>
    <mergeCell ref="O202:O203"/>
    <mergeCell ref="M199:M200"/>
    <mergeCell ref="A298:A306"/>
    <mergeCell ref="C280:C282"/>
    <mergeCell ref="B280:B282"/>
    <mergeCell ref="A280:A282"/>
    <mergeCell ref="A251:A252"/>
    <mergeCell ref="B283:B284"/>
    <mergeCell ref="A283:A284"/>
    <mergeCell ref="C283:C284"/>
    <mergeCell ref="M161:M163"/>
    <mergeCell ref="O161:O163"/>
    <mergeCell ref="A164:A166"/>
    <mergeCell ref="B164:B166"/>
    <mergeCell ref="C164:C165"/>
    <mergeCell ref="M164:M166"/>
    <mergeCell ref="A161:A163"/>
    <mergeCell ref="B161:B163"/>
    <mergeCell ref="C161:C163"/>
    <mergeCell ref="A171:A173"/>
    <mergeCell ref="M171:M173"/>
    <mergeCell ref="B176:B178"/>
    <mergeCell ref="A176:A178"/>
    <mergeCell ref="M177:M178"/>
    <mergeCell ref="A186:A187"/>
    <mergeCell ref="B186:B187"/>
    <mergeCell ref="C186:C187"/>
    <mergeCell ref="A179:A182"/>
    <mergeCell ref="A183:A185"/>
    <mergeCell ref="B183:B185"/>
    <mergeCell ref="B179:B182"/>
    <mergeCell ref="B167:B168"/>
    <mergeCell ref="M179:M182"/>
    <mergeCell ref="N1:P1"/>
    <mergeCell ref="N2:P2"/>
    <mergeCell ref="A3:J3"/>
    <mergeCell ref="H4:J4"/>
    <mergeCell ref="A5:A8"/>
    <mergeCell ref="B5:B8"/>
    <mergeCell ref="C5:C8"/>
    <mergeCell ref="D5:D8"/>
    <mergeCell ref="E5:E8"/>
    <mergeCell ref="M5:M8"/>
    <mergeCell ref="O5:O8"/>
    <mergeCell ref="P5:P8"/>
    <mergeCell ref="N5:N8"/>
    <mergeCell ref="F7:K7"/>
    <mergeCell ref="F5:K6"/>
    <mergeCell ref="M156:M160"/>
    <mergeCell ref="O156:O160"/>
    <mergeCell ref="A147:A150"/>
    <mergeCell ref="B147:B150"/>
    <mergeCell ref="C147:C150"/>
    <mergeCell ref="M147:M150"/>
    <mergeCell ref="A151:A155"/>
    <mergeCell ref="B151:B155"/>
    <mergeCell ref="M151:M155"/>
    <mergeCell ref="O151:O155"/>
    <mergeCell ref="C153:C155"/>
    <mergeCell ref="C156:C158"/>
    <mergeCell ref="B156:B158"/>
    <mergeCell ref="A156:A158"/>
    <mergeCell ref="B159:B160"/>
    <mergeCell ref="C159:C160"/>
    <mergeCell ref="A159:A160"/>
    <mergeCell ref="C9:C21"/>
    <mergeCell ref="C63:C68"/>
    <mergeCell ref="C69:C73"/>
    <mergeCell ref="C74:C86"/>
    <mergeCell ref="A9:A21"/>
    <mergeCell ref="B9:B21"/>
    <mergeCell ref="A61:A73"/>
    <mergeCell ref="A74:A86"/>
    <mergeCell ref="B74:B86"/>
    <mergeCell ref="A35:A47"/>
    <mergeCell ref="B35:B47"/>
    <mergeCell ref="A48:A60"/>
    <mergeCell ref="B48:B60"/>
    <mergeCell ref="B61:B73"/>
    <mergeCell ref="A105:A109"/>
    <mergeCell ref="C112:C113"/>
    <mergeCell ref="A102:A104"/>
    <mergeCell ref="B102:B104"/>
    <mergeCell ref="A99:A101"/>
    <mergeCell ref="P61:P73"/>
    <mergeCell ref="P36:P60"/>
    <mergeCell ref="A90:A98"/>
    <mergeCell ref="C92:C95"/>
    <mergeCell ref="C96:C98"/>
    <mergeCell ref="C37:C42"/>
    <mergeCell ref="C43:C47"/>
    <mergeCell ref="C50:C55"/>
    <mergeCell ref="C56:C60"/>
    <mergeCell ref="B90:B98"/>
    <mergeCell ref="B87:B89"/>
    <mergeCell ref="A87:A89"/>
    <mergeCell ref="A143:A146"/>
    <mergeCell ref="B143:B146"/>
    <mergeCell ref="C143:C146"/>
    <mergeCell ref="M143:M146"/>
    <mergeCell ref="O143:O146"/>
    <mergeCell ref="M139:M140"/>
    <mergeCell ref="O139:O140"/>
    <mergeCell ref="C139:C142"/>
    <mergeCell ref="A114:A118"/>
    <mergeCell ref="B114:B118"/>
    <mergeCell ref="A131:A136"/>
    <mergeCell ref="A139:A142"/>
    <mergeCell ref="B139:B142"/>
    <mergeCell ref="B131:B136"/>
    <mergeCell ref="C114:C116"/>
    <mergeCell ref="C117:C118"/>
    <mergeCell ref="C123:C126"/>
    <mergeCell ref="C127:C130"/>
    <mergeCell ref="A127:A130"/>
    <mergeCell ref="B123:B126"/>
    <mergeCell ref="B99:B101"/>
    <mergeCell ref="C100:C101"/>
    <mergeCell ref="C102:C104"/>
    <mergeCell ref="B105:B109"/>
    <mergeCell ref="C105:C107"/>
    <mergeCell ref="C108:C109"/>
    <mergeCell ref="C110:C111"/>
    <mergeCell ref="A216:A218"/>
    <mergeCell ref="A256:A258"/>
    <mergeCell ref="B256:B258"/>
    <mergeCell ref="C256:C258"/>
    <mergeCell ref="A243:A246"/>
    <mergeCell ref="B243:B246"/>
    <mergeCell ref="C202:C204"/>
    <mergeCell ref="C208:C209"/>
    <mergeCell ref="A192:A194"/>
    <mergeCell ref="B192:B194"/>
    <mergeCell ref="C192:C194"/>
    <mergeCell ref="A123:A126"/>
    <mergeCell ref="C133:C135"/>
    <mergeCell ref="C136:C138"/>
    <mergeCell ref="A277:A279"/>
    <mergeCell ref="A291:A292"/>
    <mergeCell ref="A293:A297"/>
    <mergeCell ref="B298:B306"/>
    <mergeCell ref="P276:P288"/>
    <mergeCell ref="C243:C246"/>
    <mergeCell ref="A259:A261"/>
    <mergeCell ref="B259:B261"/>
    <mergeCell ref="C259:C261"/>
    <mergeCell ref="A271:A273"/>
    <mergeCell ref="A253:A255"/>
    <mergeCell ref="B253:B255"/>
    <mergeCell ref="B251:B252"/>
    <mergeCell ref="C271:C273"/>
    <mergeCell ref="C293:C297"/>
    <mergeCell ref="C287:C288"/>
    <mergeCell ref="C253:C255"/>
    <mergeCell ref="C251:C252"/>
    <mergeCell ref="C265:C267"/>
    <mergeCell ref="C268:C270"/>
    <mergeCell ref="M251:M252"/>
    <mergeCell ref="A262:A264"/>
    <mergeCell ref="B262:B264"/>
    <mergeCell ref="C262:C264"/>
    <mergeCell ref="B265:B267"/>
    <mergeCell ref="A265:A267"/>
    <mergeCell ref="A268:A270"/>
    <mergeCell ref="B271:B273"/>
    <mergeCell ref="B268:B270"/>
    <mergeCell ref="A274:A276"/>
    <mergeCell ref="C298:C301"/>
    <mergeCell ref="B274:B276"/>
    <mergeCell ref="A239:A240"/>
    <mergeCell ref="B239:B240"/>
    <mergeCell ref="C205:C207"/>
    <mergeCell ref="B247:B250"/>
    <mergeCell ref="A247:A250"/>
    <mergeCell ref="C249:C250"/>
    <mergeCell ref="A225:A227"/>
    <mergeCell ref="B225:B227"/>
    <mergeCell ref="A205:A206"/>
    <mergeCell ref="B205:B206"/>
    <mergeCell ref="A208:A209"/>
    <mergeCell ref="B208:B209"/>
    <mergeCell ref="A213:A215"/>
    <mergeCell ref="B213:B214"/>
    <mergeCell ref="B216:B218"/>
    <mergeCell ref="A228:A230"/>
    <mergeCell ref="B228:B230"/>
    <mergeCell ref="A231:A233"/>
    <mergeCell ref="B231:B233"/>
    <mergeCell ref="A234:A236"/>
    <mergeCell ref="B234:B236"/>
    <mergeCell ref="A237:A238"/>
    <mergeCell ref="B237:B238"/>
    <mergeCell ref="C237:C238"/>
    <mergeCell ref="P131:P146"/>
    <mergeCell ref="P151:P164"/>
    <mergeCell ref="B1195:B1196"/>
    <mergeCell ref="A1195:A1196"/>
    <mergeCell ref="C383:C384"/>
    <mergeCell ref="C381:C382"/>
    <mergeCell ref="P402:P405"/>
    <mergeCell ref="C851:C856"/>
    <mergeCell ref="C857:C861"/>
    <mergeCell ref="B851:B861"/>
    <mergeCell ref="A851:A861"/>
    <mergeCell ref="A732:A733"/>
    <mergeCell ref="A734:A735"/>
    <mergeCell ref="A738:A739"/>
    <mergeCell ref="B723:B724"/>
    <mergeCell ref="B408:B409"/>
    <mergeCell ref="A569:A572"/>
    <mergeCell ref="P569:P572"/>
    <mergeCell ref="M183:M185"/>
    <mergeCell ref="M186:M187"/>
    <mergeCell ref="C195:C198"/>
    <mergeCell ref="A188:A189"/>
    <mergeCell ref="B188:B189"/>
    <mergeCell ref="C188:C189"/>
    <mergeCell ref="B190:B191"/>
    <mergeCell ref="C190:C191"/>
    <mergeCell ref="C216:C218"/>
    <mergeCell ref="B219:B221"/>
    <mergeCell ref="A222:A223"/>
    <mergeCell ref="B222:B223"/>
    <mergeCell ref="C213:C215"/>
    <mergeCell ref="A202:A204"/>
    <mergeCell ref="P189:P198"/>
    <mergeCell ref="M202:M203"/>
    <mergeCell ref="M205:M206"/>
    <mergeCell ref="M245:M246"/>
    <mergeCell ref="C247:C248"/>
    <mergeCell ref="M247:M249"/>
    <mergeCell ref="C239:C240"/>
    <mergeCell ref="P340:P341"/>
    <mergeCell ref="P342:P344"/>
    <mergeCell ref="C342:C344"/>
    <mergeCell ref="P345:P348"/>
    <mergeCell ref="C379:C380"/>
    <mergeCell ref="P398:P399"/>
    <mergeCell ref="P406:P407"/>
    <mergeCell ref="M430:M431"/>
    <mergeCell ref="C430:C431"/>
    <mergeCell ref="A408:A409"/>
    <mergeCell ref="B410:B411"/>
    <mergeCell ref="P408:P411"/>
    <mergeCell ref="B428:B429"/>
    <mergeCell ref="C428:C429"/>
    <mergeCell ref="O428:O429"/>
    <mergeCell ref="P428:P429"/>
    <mergeCell ref="P414:P417"/>
    <mergeCell ref="B412:B413"/>
    <mergeCell ref="P412:P413"/>
    <mergeCell ref="B202:B204"/>
    <mergeCell ref="A190:A191"/>
    <mergeCell ref="A195:A198"/>
    <mergeCell ref="B195:B198"/>
    <mergeCell ref="A199:A200"/>
    <mergeCell ref="B199:B200"/>
    <mergeCell ref="B289:B290"/>
    <mergeCell ref="A289:A290"/>
    <mergeCell ref="N446:N447"/>
    <mergeCell ref="O446:O447"/>
    <mergeCell ref="O661:O662"/>
    <mergeCell ref="O659:O660"/>
    <mergeCell ref="O657:O658"/>
    <mergeCell ref="O655:O656"/>
    <mergeCell ref="O653:O654"/>
    <mergeCell ref="O651:O652"/>
    <mergeCell ref="P430:P431"/>
    <mergeCell ref="O440:O441"/>
    <mergeCell ref="C442:C443"/>
    <mergeCell ref="O442:O443"/>
    <mergeCell ref="P442:P443"/>
    <mergeCell ref="C438:C439"/>
    <mergeCell ref="M438:M439"/>
    <mergeCell ref="O438:O439"/>
    <mergeCell ref="P314:P316"/>
    <mergeCell ref="P334:P335"/>
    <mergeCell ref="P307:P312"/>
    <mergeCell ref="C307:C310"/>
    <mergeCell ref="P336:P339"/>
    <mergeCell ref="A338:A339"/>
    <mergeCell ref="B338:B339"/>
    <mergeCell ref="C338:C339"/>
    <mergeCell ref="M338:M339"/>
    <mergeCell ref="O338:O339"/>
    <mergeCell ref="A321:A333"/>
    <mergeCell ref="B321:B333"/>
    <mergeCell ref="C321:C333"/>
    <mergeCell ref="A334:A335"/>
  </mergeCells>
  <pageMargins left="0.25" right="0.25" top="0.75" bottom="0.75" header="0.30000001192092901" footer="0.30000001192092901"/>
  <pageSetup paperSize="9" scale="64" fitToHeight="0" orientation="landscape" r:id="rId1"/>
  <headerFooter alignWithMargins="0"/>
  <rowBreaks count="35" manualBreakCount="35">
    <brk id="54" max="17" man="1"/>
    <brk id="98" max="17" man="1"/>
    <brk id="135" max="17" man="1"/>
    <brk id="179" max="17" man="1"/>
    <brk id="224" max="17" man="1"/>
    <brk id="266" max="17" man="1"/>
    <brk id="307" max="17" man="1"/>
    <brk id="347" max="17" man="1"/>
    <brk id="386" max="17" man="1"/>
    <brk id="421" max="17" man="1"/>
    <brk id="447" max="17" man="1"/>
    <brk id="485" max="17" man="1"/>
    <brk id="538" max="17" man="1"/>
    <brk id="572" max="17" man="1"/>
    <brk id="611" max="17" man="1"/>
    <brk id="648" max="17" man="1"/>
    <brk id="670" max="17" man="1"/>
    <brk id="676" max="17" man="1"/>
    <brk id="685" max="17" man="1"/>
    <brk id="721" max="17" man="1"/>
    <brk id="754" max="17" man="1"/>
    <brk id="788" max="17" man="1"/>
    <brk id="809" max="17" man="1"/>
    <brk id="838" max="17" man="1"/>
    <brk id="874" max="17" man="1"/>
    <brk id="913" max="17" man="1"/>
    <brk id="1011" max="17" man="1"/>
    <brk id="1059" max="17" man="1"/>
    <brk id="1106" max="17" man="1"/>
    <brk id="1152" max="17" man="1"/>
    <brk id="1197" max="17" man="1"/>
    <brk id="1222" max="17" man="1"/>
    <brk id="1247" max="17" man="1"/>
    <brk id="1295" max="17" man="1"/>
    <brk id="1367" max="17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E5"/>
  <sheetViews>
    <sheetView workbookViewId="0">
      <selection activeCell="J26" sqref="J26"/>
    </sheetView>
  </sheetViews>
  <sheetFormatPr defaultColWidth="9.140625" defaultRowHeight="12.75" customHeight="1"/>
  <cols>
    <col min="1" max="1" width="9.140625" style="448" customWidth="1"/>
    <col min="2" max="2" width="33.85546875" style="448" customWidth="1"/>
    <col min="3" max="3" width="30.140625" style="448" customWidth="1"/>
    <col min="4" max="4" width="9.140625" style="448" customWidth="1"/>
    <col min="5" max="5" width="11.28515625" style="448" customWidth="1"/>
    <col min="6" max="6" width="11.7109375" style="448" customWidth="1"/>
    <col min="7" max="7" width="9.140625" style="448" customWidth="1"/>
    <col min="8" max="8" width="11" style="448" customWidth="1"/>
    <col min="9" max="9" width="9.140625" style="448" customWidth="1"/>
    <col min="10" max="10" width="12" style="448" customWidth="1"/>
    <col min="11" max="57" width="9.140625" style="448" customWidth="1"/>
  </cols>
  <sheetData>
    <row r="4" spans="1:57" s="51" customFormat="1" ht="21.75" customHeight="1">
      <c r="A4" s="794" t="s">
        <v>597</v>
      </c>
      <c r="B4" s="867" t="s">
        <v>588</v>
      </c>
      <c r="C4" s="1077" t="s">
        <v>537</v>
      </c>
      <c r="D4" s="84" t="s">
        <v>16</v>
      </c>
      <c r="E4" s="85">
        <f t="shared" ref="E4:J4" si="0">E5</f>
        <v>120</v>
      </c>
      <c r="F4" s="85">
        <f t="shared" si="0"/>
        <v>0</v>
      </c>
      <c r="G4" s="85">
        <f t="shared" si="0"/>
        <v>0</v>
      </c>
      <c r="H4" s="85">
        <f t="shared" si="0"/>
        <v>114</v>
      </c>
      <c r="I4" s="85">
        <f t="shared" si="0"/>
        <v>0</v>
      </c>
      <c r="J4" s="85">
        <f t="shared" si="0"/>
        <v>6</v>
      </c>
      <c r="K4" s="99">
        <f>F4+G4+H4+I4+J4</f>
        <v>120</v>
      </c>
      <c r="L4" s="216"/>
      <c r="M4" s="88"/>
      <c r="N4" s="301"/>
      <c r="O4" s="985" t="s">
        <v>589</v>
      </c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68"/>
    </row>
    <row r="5" spans="1:57" s="51" customFormat="1" ht="31.5" customHeight="1">
      <c r="A5" s="952"/>
      <c r="B5" s="873"/>
      <c r="C5" s="1077"/>
      <c r="D5" s="84">
        <v>2025</v>
      </c>
      <c r="E5" s="63">
        <f>F5+G5+H5+I5+J5</f>
        <v>120</v>
      </c>
      <c r="F5" s="63">
        <v>0</v>
      </c>
      <c r="G5" s="63">
        <v>0</v>
      </c>
      <c r="H5" s="63">
        <v>114</v>
      </c>
      <c r="I5" s="63">
        <v>0</v>
      </c>
      <c r="J5" s="63">
        <v>6</v>
      </c>
      <c r="K5" s="99">
        <f>F5+G5+H5+I5+J5</f>
        <v>120</v>
      </c>
      <c r="L5" s="136" t="s">
        <v>538</v>
      </c>
      <c r="M5" s="88"/>
      <c r="N5" s="301"/>
      <c r="O5" s="870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68"/>
    </row>
  </sheetData>
  <mergeCells count="4">
    <mergeCell ref="A4:A5"/>
    <mergeCell ref="B4:B5"/>
    <mergeCell ref="C4:C5"/>
    <mergeCell ref="O4:O5"/>
  </mergeCells>
  <pageMargins left="0.69999998807907104" right="0.69999998807907104" top="0.75" bottom="0.75" header="0.30000001192092901" footer="0.30000001192092901"/>
  <pageSetup fitToWidth="0" fitToHeight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K1486"/>
  <sheetViews>
    <sheetView topLeftCell="A2" zoomScale="125" zoomScaleNormal="125" workbookViewId="0">
      <selection activeCell="A34" sqref="A34"/>
    </sheetView>
  </sheetViews>
  <sheetFormatPr defaultColWidth="9.140625" defaultRowHeight="12.75" customHeight="1"/>
  <cols>
    <col min="1" max="1" width="7.5703125" style="604" customWidth="1"/>
    <col min="2" max="2" width="40.140625" style="605" customWidth="1"/>
    <col min="3" max="3" width="33.42578125" style="606" customWidth="1"/>
    <col min="4" max="4" width="13.5703125" style="52" customWidth="1"/>
    <col min="5" max="5" width="14.85546875" style="607" customWidth="1"/>
    <col min="6" max="6" width="13.42578125" style="607" customWidth="1"/>
    <col min="7" max="7" width="11.85546875" style="607" customWidth="1"/>
    <col min="8" max="8" width="14.7109375" style="607" customWidth="1"/>
    <col min="9" max="9" width="15.28515625" style="608" customWidth="1"/>
    <col min="10" max="10" width="12" style="608" customWidth="1"/>
    <col min="11" max="11" width="17.42578125" style="608" customWidth="1"/>
    <col min="12" max="12" width="17.140625" style="609" hidden="1" customWidth="1"/>
    <col min="13" max="13" width="20.7109375" style="52" customWidth="1"/>
    <col min="14" max="14" width="14.85546875" style="91" customWidth="1"/>
    <col min="15" max="15" width="9.5703125" style="610" customWidth="1"/>
    <col min="16" max="16" width="26" style="611" customWidth="1"/>
    <col min="17" max="137" width="0" style="91" hidden="1" customWidth="1"/>
    <col min="138" max="138" width="5.85546875" style="91" hidden="1" customWidth="1"/>
    <col min="139" max="140" width="0" style="91" hidden="1" customWidth="1"/>
    <col min="141" max="141" width="10.85546875" style="91" hidden="1" customWidth="1"/>
    <col min="142" max="142" width="9.140625" style="91" customWidth="1"/>
    <col min="143" max="16384" width="9.140625" style="91"/>
  </cols>
  <sheetData>
    <row r="1" spans="1:58" ht="18.75" hidden="1" customHeight="1">
      <c r="N1" s="1220"/>
      <c r="O1" s="1220"/>
      <c r="P1" s="1220"/>
    </row>
    <row r="2" spans="1:58" ht="51" customHeight="1">
      <c r="N2" s="1221" t="s">
        <v>1096</v>
      </c>
      <c r="O2" s="1221"/>
      <c r="P2" s="1221"/>
    </row>
    <row r="3" spans="1:58" ht="12.75" customHeight="1">
      <c r="A3" s="919" t="s">
        <v>340</v>
      </c>
      <c r="B3" s="919"/>
      <c r="C3" s="919"/>
      <c r="D3" s="919"/>
      <c r="E3" s="919"/>
      <c r="F3" s="919"/>
      <c r="G3" s="919"/>
      <c r="H3" s="919"/>
      <c r="I3" s="919"/>
      <c r="J3" s="919"/>
      <c r="K3" s="52"/>
      <c r="L3" s="465"/>
      <c r="P3" s="612"/>
    </row>
    <row r="4" spans="1:58">
      <c r="A4" s="613"/>
      <c r="B4" s="614"/>
      <c r="C4" s="615"/>
      <c r="D4" s="616"/>
      <c r="E4" s="617"/>
      <c r="F4" s="617"/>
      <c r="G4" s="617"/>
      <c r="H4" s="1222" t="s">
        <v>3</v>
      </c>
      <c r="I4" s="1222"/>
      <c r="J4" s="1222"/>
      <c r="K4" s="617"/>
      <c r="L4" s="618"/>
      <c r="P4" s="612"/>
    </row>
    <row r="5" spans="1:58" s="82" customFormat="1">
      <c r="A5" s="1210" t="s">
        <v>4</v>
      </c>
      <c r="B5" s="1223" t="s">
        <v>341</v>
      </c>
      <c r="C5" s="1224" t="s">
        <v>342</v>
      </c>
      <c r="D5" s="1227" t="s">
        <v>6</v>
      </c>
      <c r="E5" s="1228" t="s">
        <v>343</v>
      </c>
      <c r="F5" s="1229" t="s">
        <v>8</v>
      </c>
      <c r="G5" s="1230"/>
      <c r="H5" s="1230"/>
      <c r="I5" s="1230"/>
      <c r="J5" s="1230"/>
      <c r="K5" s="1231"/>
      <c r="L5" s="619"/>
      <c r="M5" s="1012" t="s">
        <v>344</v>
      </c>
      <c r="N5" s="1235" t="s">
        <v>345</v>
      </c>
      <c r="O5" s="1006" t="s">
        <v>346</v>
      </c>
      <c r="P5" s="1239" t="s">
        <v>347</v>
      </c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2"/>
    </row>
    <row r="6" spans="1:58" s="82" customFormat="1" ht="12.75" customHeight="1">
      <c r="A6" s="1210"/>
      <c r="B6" s="1223"/>
      <c r="C6" s="1225"/>
      <c r="D6" s="1227"/>
      <c r="E6" s="1228"/>
      <c r="F6" s="1232"/>
      <c r="G6" s="1233"/>
      <c r="H6" s="1233"/>
      <c r="I6" s="1233"/>
      <c r="J6" s="1233"/>
      <c r="K6" s="1234"/>
      <c r="L6" s="622"/>
      <c r="M6" s="1013"/>
      <c r="N6" s="1236"/>
      <c r="O6" s="1238"/>
      <c r="P6" s="1240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2"/>
    </row>
    <row r="7" spans="1:58" s="82" customFormat="1" ht="12.75" customHeight="1">
      <c r="A7" s="1210"/>
      <c r="B7" s="1223"/>
      <c r="C7" s="1225"/>
      <c r="D7" s="1227"/>
      <c r="E7" s="1228"/>
      <c r="F7" s="1232" t="s">
        <v>10</v>
      </c>
      <c r="G7" s="1233"/>
      <c r="H7" s="1233"/>
      <c r="I7" s="1233"/>
      <c r="J7" s="1233"/>
      <c r="K7" s="1234"/>
      <c r="L7" s="622"/>
      <c r="M7" s="1013"/>
      <c r="N7" s="1236"/>
      <c r="O7" s="1238"/>
      <c r="P7" s="1240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2"/>
    </row>
    <row r="8" spans="1:58" s="82" customFormat="1" ht="38.25">
      <c r="A8" s="1210"/>
      <c r="B8" s="1223"/>
      <c r="C8" s="1226"/>
      <c r="D8" s="1227"/>
      <c r="E8" s="1228"/>
      <c r="F8" s="624" t="s">
        <v>9</v>
      </c>
      <c r="G8" s="85" t="s">
        <v>11</v>
      </c>
      <c r="H8" s="85" t="s">
        <v>12</v>
      </c>
      <c r="I8" s="85" t="s">
        <v>13</v>
      </c>
      <c r="J8" s="85" t="s">
        <v>14</v>
      </c>
      <c r="K8" s="85" t="s">
        <v>1097</v>
      </c>
      <c r="L8" s="625"/>
      <c r="M8" s="1014"/>
      <c r="N8" s="1237"/>
      <c r="O8" s="1007"/>
      <c r="P8" s="124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2"/>
    </row>
    <row r="9" spans="1:58" s="82" customFormat="1" ht="29.25" customHeight="1">
      <c r="A9" s="1128"/>
      <c r="B9" s="913" t="s">
        <v>348</v>
      </c>
      <c r="C9" s="1124"/>
      <c r="D9" s="84" t="s">
        <v>16</v>
      </c>
      <c r="E9" s="85">
        <f t="shared" ref="E9:K9" si="0">E10+E11+E12+E13+E14+E15+E16+E17+E18+E19+E20+E21</f>
        <v>150120.51711137997</v>
      </c>
      <c r="F9" s="473">
        <f t="shared" si="0"/>
        <v>2589.2508413799806</v>
      </c>
      <c r="G9" s="473">
        <f t="shared" si="0"/>
        <v>441.97980000000007</v>
      </c>
      <c r="H9" s="473">
        <f t="shared" si="0"/>
        <v>5047.2618699999994</v>
      </c>
      <c r="I9" s="473">
        <f t="shared" si="0"/>
        <v>141849.55889999997</v>
      </c>
      <c r="J9" s="473">
        <f t="shared" si="0"/>
        <v>190.09919999999994</v>
      </c>
      <c r="K9" s="148">
        <f t="shared" si="0"/>
        <v>2.3664999999999998</v>
      </c>
      <c r="L9" s="497">
        <f>SUM(F9:K9)</f>
        <v>150120.51711137994</v>
      </c>
      <c r="M9" s="627"/>
      <c r="N9" s="88"/>
      <c r="O9" s="89"/>
      <c r="P9" s="477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2"/>
    </row>
    <row r="10" spans="1:58" s="82" customFormat="1" ht="13.5" customHeight="1">
      <c r="A10" s="941"/>
      <c r="B10" s="960"/>
      <c r="C10" s="1218"/>
      <c r="D10" s="84">
        <v>2019</v>
      </c>
      <c r="E10" s="85">
        <f t="shared" ref="E10:J10" si="1">E23+E75+E277+E300+E391+E433+E461+E487+E556+E596+E737+E778+E830+E891+E1058+E1109+E1171+E1217</f>
        <v>30229.214669999994</v>
      </c>
      <c r="F10" s="473">
        <f t="shared" si="1"/>
        <v>253.12636999999998</v>
      </c>
      <c r="G10" s="473">
        <f t="shared" si="1"/>
        <v>106.88159999999999</v>
      </c>
      <c r="H10" s="473">
        <f t="shared" si="1"/>
        <v>965.55240000000003</v>
      </c>
      <c r="I10" s="473">
        <f t="shared" si="1"/>
        <v>28875.748500000002</v>
      </c>
      <c r="J10" s="473">
        <f t="shared" si="1"/>
        <v>27.905799999999999</v>
      </c>
      <c r="K10" s="628">
        <v>0</v>
      </c>
      <c r="L10" s="497">
        <f>F10+G10+H10+I10+J10</f>
        <v>30229.214670000001</v>
      </c>
      <c r="M10" s="87"/>
      <c r="N10" s="88"/>
      <c r="O10" s="89"/>
      <c r="P10" s="477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2"/>
    </row>
    <row r="11" spans="1:58" s="82" customFormat="1" ht="13.5" customHeight="1">
      <c r="A11" s="941"/>
      <c r="B11" s="960"/>
      <c r="C11" s="1218"/>
      <c r="D11" s="84">
        <v>2020</v>
      </c>
      <c r="E11" s="85">
        <f t="shared" ref="E11:J11" si="2">E24+E76+E278+E301+E434+E462+E488+E557+E582+E597+E738+E779+E831+E892+E1033+E1059+E1110+E1172+E1218+E1245+E392</f>
        <v>47550.542246000012</v>
      </c>
      <c r="F11" s="481">
        <f t="shared" si="2"/>
        <v>235.67344599999998</v>
      </c>
      <c r="G11" s="473">
        <f t="shared" si="2"/>
        <v>172.37690000000001</v>
      </c>
      <c r="H11" s="473">
        <f t="shared" si="2"/>
        <v>1404.4751999999996</v>
      </c>
      <c r="I11" s="473">
        <f t="shared" si="2"/>
        <v>45722.347399999999</v>
      </c>
      <c r="J11" s="473">
        <f t="shared" si="2"/>
        <v>15.669300000000002</v>
      </c>
      <c r="K11" s="628">
        <v>0</v>
      </c>
      <c r="L11" s="497">
        <f>F11+G11+H11+I11+J11</f>
        <v>47550.542245999997</v>
      </c>
      <c r="M11" s="87"/>
      <c r="N11" s="88"/>
      <c r="O11" s="89"/>
      <c r="P11" s="477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2"/>
    </row>
    <row r="12" spans="1:58" s="82" customFormat="1" ht="13.5" customHeight="1">
      <c r="A12" s="941"/>
      <c r="B12" s="960"/>
      <c r="C12" s="1218"/>
      <c r="D12" s="84">
        <v>2021</v>
      </c>
      <c r="E12" s="85">
        <f t="shared" ref="E12:K12" si="3">E25+E77+E279+E302+E393+E463+E489+E558+E583+E598+E717+E739+E780+E893+E956+E982+E1008+E1034+E1060+E1111+E1173+E1219+E1246</f>
        <v>36991.037900000003</v>
      </c>
      <c r="F12" s="473">
        <f t="shared" si="3"/>
        <v>218.73839999999996</v>
      </c>
      <c r="G12" s="473">
        <f t="shared" si="3"/>
        <v>153.91569999999999</v>
      </c>
      <c r="H12" s="473">
        <f t="shared" si="3"/>
        <v>561.39480000000003</v>
      </c>
      <c r="I12" s="473">
        <f t="shared" si="3"/>
        <v>36030.667000000001</v>
      </c>
      <c r="J12" s="473">
        <f t="shared" si="3"/>
        <v>23.955500000000001</v>
      </c>
      <c r="K12" s="148">
        <f t="shared" si="3"/>
        <v>2.3664999999999998</v>
      </c>
      <c r="L12" s="629">
        <f>SUM(F12:K12)</f>
        <v>36991.037899999996</v>
      </c>
      <c r="M12" s="87"/>
      <c r="N12" s="88"/>
      <c r="O12" s="89"/>
      <c r="P12" s="477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2"/>
    </row>
    <row r="13" spans="1:58" s="82" customFormat="1" ht="13.5" customHeight="1">
      <c r="A13" s="941"/>
      <c r="B13" s="960"/>
      <c r="C13" s="1218"/>
      <c r="D13" s="84">
        <v>2022</v>
      </c>
      <c r="E13" s="85">
        <f t="shared" ref="E13:J14" si="4">E26+E78+E280+E303+E394+E436+E464+E490+E599+E718+E740+E781+E832+E894+E957+E983+E1009+E1061+E1112+E1174+E1220+E1247</f>
        <v>19316.788099999998</v>
      </c>
      <c r="F13" s="473">
        <f t="shared" si="4"/>
        <v>200.17130000000006</v>
      </c>
      <c r="G13" s="473">
        <f t="shared" si="4"/>
        <v>6.8515999999999995</v>
      </c>
      <c r="H13" s="473">
        <f t="shared" si="4"/>
        <v>94.704399999999993</v>
      </c>
      <c r="I13" s="473">
        <f t="shared" si="4"/>
        <v>19001.893</v>
      </c>
      <c r="J13" s="473">
        <f t="shared" si="4"/>
        <v>13.1678</v>
      </c>
      <c r="K13" s="148">
        <v>0</v>
      </c>
      <c r="L13" s="629">
        <f t="shared" ref="L13:L44" si="5">F13+G13+H13+I13+J13</f>
        <v>19316.788099999998</v>
      </c>
      <c r="M13" s="87"/>
      <c r="N13" s="88"/>
      <c r="O13" s="89"/>
      <c r="P13" s="477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2"/>
    </row>
    <row r="14" spans="1:58" s="82" customFormat="1" ht="13.5" customHeight="1">
      <c r="A14" s="941"/>
      <c r="B14" s="960"/>
      <c r="C14" s="1218"/>
      <c r="D14" s="84">
        <v>2023</v>
      </c>
      <c r="E14" s="85">
        <f t="shared" si="4"/>
        <v>12958.529199999999</v>
      </c>
      <c r="F14" s="85">
        <f t="shared" si="4"/>
        <v>208.01380000000003</v>
      </c>
      <c r="G14" s="85">
        <f t="shared" si="4"/>
        <v>1.954</v>
      </c>
      <c r="H14" s="85">
        <f t="shared" si="4"/>
        <v>698.29809999999998</v>
      </c>
      <c r="I14" s="85">
        <f t="shared" si="4"/>
        <v>12025.569</v>
      </c>
      <c r="J14" s="85">
        <f t="shared" si="4"/>
        <v>24.694299999999998</v>
      </c>
      <c r="K14" s="148">
        <v>0</v>
      </c>
      <c r="L14" s="497">
        <f t="shared" si="5"/>
        <v>12958.529199999999</v>
      </c>
      <c r="M14" s="87"/>
      <c r="N14" s="88"/>
      <c r="O14" s="89"/>
      <c r="P14" s="477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2"/>
    </row>
    <row r="15" spans="1:58" s="82" customFormat="1" ht="13.5" customHeight="1">
      <c r="A15" s="941"/>
      <c r="B15" s="960"/>
      <c r="C15" s="1218"/>
      <c r="D15" s="84">
        <v>2024</v>
      </c>
      <c r="E15" s="85">
        <f t="shared" ref="E15:J15" si="6">E28+E80+E282+E305+E396+E438+E466+E492+E601+E783+E834+E896+E959+E985+E1011+E1063+E1114+E1176+E1222+E1249</f>
        <v>456.45858999999996</v>
      </c>
      <c r="F15" s="85">
        <f t="shared" si="6"/>
        <v>197.27629000000002</v>
      </c>
      <c r="G15" s="85">
        <f t="shared" si="6"/>
        <v>0</v>
      </c>
      <c r="H15" s="85">
        <f t="shared" si="6"/>
        <v>162.25400000000002</v>
      </c>
      <c r="I15" s="85">
        <f t="shared" si="6"/>
        <v>83.216000000000008</v>
      </c>
      <c r="J15" s="85">
        <f t="shared" si="6"/>
        <v>13.712299999999999</v>
      </c>
      <c r="K15" s="148">
        <v>0</v>
      </c>
      <c r="L15" s="497">
        <f t="shared" si="5"/>
        <v>456.45859000000007</v>
      </c>
      <c r="M15" s="87"/>
      <c r="N15" s="88"/>
      <c r="O15" s="89"/>
      <c r="P15" s="477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2"/>
    </row>
    <row r="16" spans="1:58" s="82" customFormat="1" ht="13.5" customHeight="1">
      <c r="A16" s="941"/>
      <c r="B16" s="960"/>
      <c r="C16" s="1218"/>
      <c r="D16" s="84">
        <v>2025</v>
      </c>
      <c r="E16" s="85">
        <f t="shared" ref="E16:J16" si="7">E29+E81+E283+E306+E397+E447+E467+E493+E602+E784+E835+E897+E960+E986+E1012+E1064+E1115+E1177+E1223+E1250</f>
        <v>567.44554999999991</v>
      </c>
      <c r="F16" s="85">
        <f t="shared" si="7"/>
        <v>200.38025000000002</v>
      </c>
      <c r="G16" s="85">
        <f t="shared" si="7"/>
        <v>0</v>
      </c>
      <c r="H16" s="85">
        <f t="shared" si="7"/>
        <v>302.04600000000005</v>
      </c>
      <c r="I16" s="85">
        <f t="shared" si="7"/>
        <v>46.427999999999997</v>
      </c>
      <c r="J16" s="85">
        <f t="shared" si="7"/>
        <v>18.5913</v>
      </c>
      <c r="K16" s="148">
        <v>0</v>
      </c>
      <c r="L16" s="497">
        <f t="shared" si="5"/>
        <v>567.44555000000014</v>
      </c>
      <c r="M16" s="87"/>
      <c r="N16" s="88"/>
      <c r="O16" s="89"/>
      <c r="P16" s="477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2"/>
    </row>
    <row r="17" spans="1:58" s="82" customFormat="1" ht="13.5" customHeight="1">
      <c r="A17" s="941"/>
      <c r="B17" s="960"/>
      <c r="C17" s="1218"/>
      <c r="D17" s="84">
        <v>2026</v>
      </c>
      <c r="E17" s="85">
        <f t="shared" ref="E17:J17" si="8">E30+E82+E307+E415+E468+E563+E603+E785+E836+E898+E1065+E1116+E1251</f>
        <v>574.75846079999997</v>
      </c>
      <c r="F17" s="85">
        <f t="shared" si="8"/>
        <v>271.14616080000002</v>
      </c>
      <c r="G17" s="85">
        <f t="shared" si="8"/>
        <v>0</v>
      </c>
      <c r="H17" s="85">
        <f t="shared" si="8"/>
        <v>240.52</v>
      </c>
      <c r="I17" s="85">
        <f t="shared" si="8"/>
        <v>45.4</v>
      </c>
      <c r="J17" s="85">
        <f t="shared" si="8"/>
        <v>17.692299999999999</v>
      </c>
      <c r="K17" s="148">
        <v>0</v>
      </c>
      <c r="L17" s="497">
        <f t="shared" si="5"/>
        <v>574.75846080000008</v>
      </c>
      <c r="M17" s="87"/>
      <c r="N17" s="88"/>
      <c r="O17" s="89"/>
      <c r="P17" s="477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2"/>
    </row>
    <row r="18" spans="1:58" s="82" customFormat="1" ht="13.5" customHeight="1">
      <c r="A18" s="941"/>
      <c r="B18" s="960"/>
      <c r="C18" s="1218"/>
      <c r="D18" s="84">
        <v>2027</v>
      </c>
      <c r="E18" s="85">
        <f t="shared" ref="E18:J18" si="9">E31+E83+E308+E399+E469+E786+E837+E899+E962+E1066+E1117+E1252</f>
        <v>646.85996723199992</v>
      </c>
      <c r="F18" s="85">
        <f t="shared" si="9"/>
        <v>192.18456723200001</v>
      </c>
      <c r="G18" s="85">
        <f t="shared" si="9"/>
        <v>0</v>
      </c>
      <c r="H18" s="85">
        <f t="shared" si="9"/>
        <v>439.8494</v>
      </c>
      <c r="I18" s="85">
        <f t="shared" si="9"/>
        <v>3.25</v>
      </c>
      <c r="J18" s="85">
        <f t="shared" si="9"/>
        <v>11.576000000000001</v>
      </c>
      <c r="K18" s="148">
        <v>0</v>
      </c>
      <c r="L18" s="497">
        <f t="shared" si="5"/>
        <v>646.85996723200003</v>
      </c>
      <c r="M18" s="87"/>
      <c r="N18" s="88"/>
      <c r="O18" s="89"/>
      <c r="P18" s="477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2"/>
    </row>
    <row r="19" spans="1:58" s="82" customFormat="1" ht="13.5" customHeight="1">
      <c r="A19" s="941"/>
      <c r="B19" s="960"/>
      <c r="C19" s="1218"/>
      <c r="D19" s="84">
        <v>2028</v>
      </c>
      <c r="E19" s="85">
        <f t="shared" ref="E19:J19" si="10">E32+E84+E309+E470+E565+E605+E787+E900+E1067+E1118+E1253</f>
        <v>376.12014592127997</v>
      </c>
      <c r="F19" s="85">
        <f t="shared" si="10"/>
        <v>205.66027592128003</v>
      </c>
      <c r="G19" s="85">
        <f t="shared" si="10"/>
        <v>0</v>
      </c>
      <c r="H19" s="85">
        <f t="shared" si="10"/>
        <v>158.95756999999998</v>
      </c>
      <c r="I19" s="85">
        <f t="shared" si="10"/>
        <v>0</v>
      </c>
      <c r="J19" s="85">
        <f t="shared" si="10"/>
        <v>11.5023</v>
      </c>
      <c r="K19" s="148">
        <v>0</v>
      </c>
      <c r="L19" s="497">
        <f t="shared" si="5"/>
        <v>376.12014592128003</v>
      </c>
      <c r="M19" s="87"/>
      <c r="N19" s="88"/>
      <c r="O19" s="89"/>
      <c r="P19" s="477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2"/>
    </row>
    <row r="20" spans="1:58" s="82" customFormat="1" ht="13.5" customHeight="1">
      <c r="A20" s="941"/>
      <c r="B20" s="960"/>
      <c r="C20" s="1218"/>
      <c r="D20" s="84">
        <v>2029</v>
      </c>
      <c r="E20" s="85">
        <f t="shared" ref="E20:J20" si="11">E33+E85+E310+E471+E606+E788+E838+E901+E1068+E1119+E1227+E1254</f>
        <v>312.65708295813118</v>
      </c>
      <c r="F20" s="85">
        <f t="shared" si="11"/>
        <v>281.81478295813116</v>
      </c>
      <c r="G20" s="85">
        <f t="shared" si="11"/>
        <v>0</v>
      </c>
      <c r="H20" s="85">
        <f t="shared" si="11"/>
        <v>11.69</v>
      </c>
      <c r="I20" s="85">
        <f t="shared" si="11"/>
        <v>7.52</v>
      </c>
      <c r="J20" s="85">
        <f t="shared" si="11"/>
        <v>11.632300000000001</v>
      </c>
      <c r="K20" s="148">
        <v>0</v>
      </c>
      <c r="L20" s="497">
        <f t="shared" si="5"/>
        <v>312.65708295813113</v>
      </c>
      <c r="M20" s="87"/>
      <c r="N20" s="88"/>
      <c r="O20" s="89"/>
      <c r="P20" s="477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2"/>
    </row>
    <row r="21" spans="1:58" s="82" customFormat="1" ht="13.5" customHeight="1">
      <c r="A21" s="942"/>
      <c r="B21" s="961"/>
      <c r="C21" s="1219"/>
      <c r="D21" s="84">
        <v>2030</v>
      </c>
      <c r="E21" s="85">
        <f t="shared" ref="E21:K21" si="12">E34+E86+E311+E472+E838+E902+E789</f>
        <v>140.10519846856909</v>
      </c>
      <c r="F21" s="85">
        <f t="shared" si="12"/>
        <v>125.06519846856911</v>
      </c>
      <c r="G21" s="85">
        <f t="shared" si="12"/>
        <v>0</v>
      </c>
      <c r="H21" s="85">
        <f t="shared" si="12"/>
        <v>7.52</v>
      </c>
      <c r="I21" s="85">
        <f t="shared" si="12"/>
        <v>7.52</v>
      </c>
      <c r="J21" s="85">
        <f t="shared" si="12"/>
        <v>0</v>
      </c>
      <c r="K21" s="85">
        <f t="shared" si="12"/>
        <v>0</v>
      </c>
      <c r="L21" s="497">
        <f t="shared" si="5"/>
        <v>140.10519846856911</v>
      </c>
      <c r="M21" s="87"/>
      <c r="N21" s="88"/>
      <c r="O21" s="89"/>
      <c r="P21" s="477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2"/>
    </row>
    <row r="22" spans="1:58" s="82" customFormat="1" ht="15.75">
      <c r="A22" s="97">
        <v>1</v>
      </c>
      <c r="B22" s="98" t="s">
        <v>349</v>
      </c>
      <c r="C22" s="571"/>
      <c r="D22" s="84" t="s">
        <v>16</v>
      </c>
      <c r="E22" s="85">
        <f t="shared" ref="E22:J22" si="13">E23+E24+E25+E26+E27+E28+E29+E30+E31+E32+E33+E34</f>
        <v>55.788799999999995</v>
      </c>
      <c r="F22" s="85">
        <f t="shared" si="13"/>
        <v>55.788799999999995</v>
      </c>
      <c r="G22" s="85">
        <f t="shared" si="13"/>
        <v>0</v>
      </c>
      <c r="H22" s="85">
        <f t="shared" si="13"/>
        <v>0</v>
      </c>
      <c r="I22" s="85">
        <f t="shared" si="13"/>
        <v>0</v>
      </c>
      <c r="J22" s="85">
        <f t="shared" si="13"/>
        <v>0</v>
      </c>
      <c r="K22" s="148">
        <v>0</v>
      </c>
      <c r="L22" s="497">
        <f t="shared" si="5"/>
        <v>55.788799999999995</v>
      </c>
      <c r="M22" s="99"/>
      <c r="N22" s="88"/>
      <c r="O22" s="89"/>
      <c r="P22" s="63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2"/>
    </row>
    <row r="23" spans="1:58" s="82" customFormat="1" ht="13.5" customHeight="1">
      <c r="A23" s="97"/>
      <c r="B23" s="98"/>
      <c r="C23" s="571"/>
      <c r="D23" s="84">
        <v>2019</v>
      </c>
      <c r="E23" s="85">
        <f t="shared" ref="E23:J34" si="14">E36+E49+E62</f>
        <v>2.4135999999999997</v>
      </c>
      <c r="F23" s="85">
        <f t="shared" si="14"/>
        <v>2.4135999999999997</v>
      </c>
      <c r="G23" s="85">
        <f t="shared" si="14"/>
        <v>0</v>
      </c>
      <c r="H23" s="85">
        <f t="shared" si="14"/>
        <v>0</v>
      </c>
      <c r="I23" s="85">
        <f t="shared" si="14"/>
        <v>0</v>
      </c>
      <c r="J23" s="85">
        <f t="shared" si="14"/>
        <v>0</v>
      </c>
      <c r="K23" s="148">
        <v>0</v>
      </c>
      <c r="L23" s="497">
        <f t="shared" si="5"/>
        <v>2.4135999999999997</v>
      </c>
      <c r="M23" s="99"/>
      <c r="N23" s="88"/>
      <c r="O23" s="89"/>
      <c r="P23" s="63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2"/>
    </row>
    <row r="24" spans="1:58" s="82" customFormat="1" ht="13.5" customHeight="1">
      <c r="A24" s="97"/>
      <c r="B24" s="98"/>
      <c r="C24" s="571"/>
      <c r="D24" s="84">
        <v>2020</v>
      </c>
      <c r="E24" s="85">
        <f t="shared" si="14"/>
        <v>1.4824000000000002</v>
      </c>
      <c r="F24" s="85">
        <f t="shared" si="14"/>
        <v>1.4824000000000002</v>
      </c>
      <c r="G24" s="85">
        <f t="shared" si="14"/>
        <v>0</v>
      </c>
      <c r="H24" s="85">
        <f t="shared" si="14"/>
        <v>0</v>
      </c>
      <c r="I24" s="85">
        <f t="shared" si="14"/>
        <v>0</v>
      </c>
      <c r="J24" s="85">
        <f t="shared" si="14"/>
        <v>0</v>
      </c>
      <c r="K24" s="148">
        <v>0</v>
      </c>
      <c r="L24" s="497">
        <f t="shared" si="5"/>
        <v>1.4824000000000002</v>
      </c>
      <c r="M24" s="99"/>
      <c r="N24" s="88"/>
      <c r="O24" s="89"/>
      <c r="P24" s="63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2"/>
    </row>
    <row r="25" spans="1:58" s="82" customFormat="1" ht="13.5" customHeight="1">
      <c r="A25" s="97"/>
      <c r="B25" s="98"/>
      <c r="C25" s="571"/>
      <c r="D25" s="84">
        <v>2021</v>
      </c>
      <c r="E25" s="85">
        <f t="shared" si="14"/>
        <v>2.6791999999999998</v>
      </c>
      <c r="F25" s="85">
        <f t="shared" si="14"/>
        <v>2.6791999999999998</v>
      </c>
      <c r="G25" s="85">
        <f t="shared" si="14"/>
        <v>0</v>
      </c>
      <c r="H25" s="85">
        <f t="shared" si="14"/>
        <v>0</v>
      </c>
      <c r="I25" s="85">
        <f t="shared" si="14"/>
        <v>0</v>
      </c>
      <c r="J25" s="85">
        <f t="shared" si="14"/>
        <v>0</v>
      </c>
      <c r="K25" s="148">
        <v>0</v>
      </c>
      <c r="L25" s="497">
        <f t="shared" si="5"/>
        <v>2.6791999999999998</v>
      </c>
      <c r="M25" s="99"/>
      <c r="N25" s="88"/>
      <c r="O25" s="89"/>
      <c r="P25" s="63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2"/>
    </row>
    <row r="26" spans="1:58" s="82" customFormat="1" ht="13.5" customHeight="1">
      <c r="A26" s="97"/>
      <c r="B26" s="98"/>
      <c r="C26" s="571"/>
      <c r="D26" s="84">
        <v>2022</v>
      </c>
      <c r="E26" s="85">
        <f t="shared" si="14"/>
        <v>2.7810000000000001</v>
      </c>
      <c r="F26" s="85">
        <f t="shared" si="14"/>
        <v>2.7810000000000001</v>
      </c>
      <c r="G26" s="85">
        <f t="shared" si="14"/>
        <v>0</v>
      </c>
      <c r="H26" s="85">
        <f t="shared" si="14"/>
        <v>0</v>
      </c>
      <c r="I26" s="85">
        <f t="shared" si="14"/>
        <v>0</v>
      </c>
      <c r="J26" s="85">
        <f t="shared" si="14"/>
        <v>0</v>
      </c>
      <c r="K26" s="148">
        <v>0</v>
      </c>
      <c r="L26" s="497">
        <f t="shared" si="5"/>
        <v>2.7810000000000001</v>
      </c>
      <c r="M26" s="99"/>
      <c r="N26" s="88"/>
      <c r="O26" s="89"/>
      <c r="P26" s="63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2"/>
    </row>
    <row r="27" spans="1:58" s="82" customFormat="1" ht="13.5" customHeight="1">
      <c r="A27" s="97"/>
      <c r="B27" s="98"/>
      <c r="C27" s="571"/>
      <c r="D27" s="84">
        <v>2023</v>
      </c>
      <c r="E27" s="85">
        <f t="shared" si="14"/>
        <v>3.2321</v>
      </c>
      <c r="F27" s="85">
        <f t="shared" si="14"/>
        <v>3.2321</v>
      </c>
      <c r="G27" s="85">
        <f t="shared" si="14"/>
        <v>0</v>
      </c>
      <c r="H27" s="85">
        <f t="shared" si="14"/>
        <v>0</v>
      </c>
      <c r="I27" s="85">
        <f t="shared" si="14"/>
        <v>0</v>
      </c>
      <c r="J27" s="85">
        <f t="shared" si="14"/>
        <v>0</v>
      </c>
      <c r="K27" s="148">
        <v>0</v>
      </c>
      <c r="L27" s="497">
        <f t="shared" si="5"/>
        <v>3.2321</v>
      </c>
      <c r="M27" s="99"/>
      <c r="N27" s="88"/>
      <c r="O27" s="89"/>
      <c r="P27" s="63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2"/>
    </row>
    <row r="28" spans="1:58" s="82" customFormat="1" ht="13.5" customHeight="1">
      <c r="A28" s="97"/>
      <c r="B28" s="98"/>
      <c r="C28" s="571"/>
      <c r="D28" s="84">
        <v>2024</v>
      </c>
      <c r="E28" s="85">
        <f t="shared" si="14"/>
        <v>5.6774999999999993</v>
      </c>
      <c r="F28" s="85">
        <f t="shared" si="14"/>
        <v>5.6774999999999993</v>
      </c>
      <c r="G28" s="85">
        <f t="shared" si="14"/>
        <v>0</v>
      </c>
      <c r="H28" s="85">
        <f t="shared" si="14"/>
        <v>0</v>
      </c>
      <c r="I28" s="85">
        <f t="shared" si="14"/>
        <v>0</v>
      </c>
      <c r="J28" s="85">
        <f t="shared" si="14"/>
        <v>0</v>
      </c>
      <c r="K28" s="148">
        <v>0</v>
      </c>
      <c r="L28" s="497">
        <f t="shared" si="5"/>
        <v>5.6774999999999993</v>
      </c>
      <c r="M28" s="99"/>
      <c r="N28" s="88"/>
      <c r="O28" s="89"/>
      <c r="P28" s="63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2"/>
    </row>
    <row r="29" spans="1:58" s="82" customFormat="1" ht="13.5" customHeight="1">
      <c r="A29" s="97"/>
      <c r="B29" s="98"/>
      <c r="C29" s="571"/>
      <c r="D29" s="84">
        <v>2025</v>
      </c>
      <c r="E29" s="85">
        <f t="shared" si="14"/>
        <v>5.7424999999999997</v>
      </c>
      <c r="F29" s="85">
        <f t="shared" si="14"/>
        <v>5.7424999999999997</v>
      </c>
      <c r="G29" s="85">
        <f t="shared" si="14"/>
        <v>0</v>
      </c>
      <c r="H29" s="85">
        <f t="shared" si="14"/>
        <v>0</v>
      </c>
      <c r="I29" s="85">
        <f t="shared" si="14"/>
        <v>0</v>
      </c>
      <c r="J29" s="85">
        <f t="shared" si="14"/>
        <v>0</v>
      </c>
      <c r="K29" s="148">
        <v>0</v>
      </c>
      <c r="L29" s="497">
        <f t="shared" si="5"/>
        <v>5.7424999999999997</v>
      </c>
      <c r="M29" s="99"/>
      <c r="N29" s="88"/>
      <c r="O29" s="89"/>
      <c r="P29" s="63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2"/>
    </row>
    <row r="30" spans="1:58" s="82" customFormat="1" ht="13.5" customHeight="1">
      <c r="A30" s="97"/>
      <c r="B30" s="98"/>
      <c r="C30" s="571"/>
      <c r="D30" s="84">
        <v>2026</v>
      </c>
      <c r="E30" s="85">
        <f t="shared" si="14"/>
        <v>6.8720999999999997</v>
      </c>
      <c r="F30" s="85">
        <f t="shared" si="14"/>
        <v>6.8720999999999997</v>
      </c>
      <c r="G30" s="85">
        <f t="shared" si="14"/>
        <v>0</v>
      </c>
      <c r="H30" s="85">
        <f t="shared" si="14"/>
        <v>0</v>
      </c>
      <c r="I30" s="85">
        <f t="shared" si="14"/>
        <v>0</v>
      </c>
      <c r="J30" s="85">
        <f t="shared" si="14"/>
        <v>0</v>
      </c>
      <c r="K30" s="148">
        <v>0</v>
      </c>
      <c r="L30" s="497">
        <f t="shared" si="5"/>
        <v>6.8720999999999997</v>
      </c>
      <c r="M30" s="99"/>
      <c r="N30" s="88"/>
      <c r="O30" s="89"/>
      <c r="P30" s="63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2"/>
    </row>
    <row r="31" spans="1:58" s="82" customFormat="1" ht="13.5" customHeight="1">
      <c r="A31" s="97"/>
      <c r="B31" s="98"/>
      <c r="C31" s="571"/>
      <c r="D31" s="84">
        <v>2027</v>
      </c>
      <c r="E31" s="85">
        <f t="shared" si="14"/>
        <v>5.4920999999999998</v>
      </c>
      <c r="F31" s="85">
        <f t="shared" si="14"/>
        <v>5.4920999999999998</v>
      </c>
      <c r="G31" s="85">
        <f t="shared" si="14"/>
        <v>0</v>
      </c>
      <c r="H31" s="85">
        <f t="shared" si="14"/>
        <v>0</v>
      </c>
      <c r="I31" s="85">
        <f t="shared" si="14"/>
        <v>0</v>
      </c>
      <c r="J31" s="85">
        <f t="shared" si="14"/>
        <v>0</v>
      </c>
      <c r="K31" s="148">
        <v>0</v>
      </c>
      <c r="L31" s="497">
        <f t="shared" si="5"/>
        <v>5.4920999999999998</v>
      </c>
      <c r="M31" s="99"/>
      <c r="N31" s="88"/>
      <c r="O31" s="89"/>
      <c r="P31" s="63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2"/>
    </row>
    <row r="32" spans="1:58" s="82" customFormat="1" ht="13.5" customHeight="1">
      <c r="A32" s="97"/>
      <c r="B32" s="98"/>
      <c r="C32" s="571"/>
      <c r="D32" s="84">
        <v>2028</v>
      </c>
      <c r="E32" s="85">
        <f t="shared" si="14"/>
        <v>7.3921000000000001</v>
      </c>
      <c r="F32" s="85">
        <f t="shared" si="14"/>
        <v>7.3921000000000001</v>
      </c>
      <c r="G32" s="85">
        <f t="shared" si="14"/>
        <v>0</v>
      </c>
      <c r="H32" s="85">
        <f t="shared" si="14"/>
        <v>0</v>
      </c>
      <c r="I32" s="85">
        <f t="shared" si="14"/>
        <v>0</v>
      </c>
      <c r="J32" s="85">
        <f t="shared" si="14"/>
        <v>0</v>
      </c>
      <c r="K32" s="148">
        <v>0</v>
      </c>
      <c r="L32" s="497">
        <f t="shared" si="5"/>
        <v>7.3921000000000001</v>
      </c>
      <c r="M32" s="99"/>
      <c r="N32" s="88"/>
      <c r="O32" s="89"/>
      <c r="P32" s="63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2"/>
    </row>
    <row r="33" spans="1:58" s="82" customFormat="1" ht="13.5" customHeight="1">
      <c r="A33" s="97"/>
      <c r="B33" s="98"/>
      <c r="C33" s="571"/>
      <c r="D33" s="84">
        <v>2029</v>
      </c>
      <c r="E33" s="85">
        <f t="shared" si="14"/>
        <v>5.8921000000000001</v>
      </c>
      <c r="F33" s="85">
        <f t="shared" si="14"/>
        <v>5.8921000000000001</v>
      </c>
      <c r="G33" s="85">
        <f t="shared" si="14"/>
        <v>0</v>
      </c>
      <c r="H33" s="85">
        <f t="shared" si="14"/>
        <v>0</v>
      </c>
      <c r="I33" s="85">
        <f t="shared" si="14"/>
        <v>0</v>
      </c>
      <c r="J33" s="85">
        <f t="shared" si="14"/>
        <v>0</v>
      </c>
      <c r="K33" s="148">
        <v>0</v>
      </c>
      <c r="L33" s="497">
        <f t="shared" si="5"/>
        <v>5.8921000000000001</v>
      </c>
      <c r="M33" s="99"/>
      <c r="N33" s="88"/>
      <c r="O33" s="89"/>
      <c r="P33" s="63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2"/>
    </row>
    <row r="34" spans="1:58" s="82" customFormat="1" ht="13.5" customHeight="1">
      <c r="A34" s="97"/>
      <c r="B34" s="98"/>
      <c r="C34" s="571"/>
      <c r="D34" s="84">
        <v>2030</v>
      </c>
      <c r="E34" s="85">
        <f t="shared" si="14"/>
        <v>6.1321000000000003</v>
      </c>
      <c r="F34" s="85">
        <f t="shared" si="14"/>
        <v>6.1321000000000003</v>
      </c>
      <c r="G34" s="85">
        <f t="shared" si="14"/>
        <v>0</v>
      </c>
      <c r="H34" s="85">
        <f t="shared" si="14"/>
        <v>0</v>
      </c>
      <c r="I34" s="85">
        <f t="shared" si="14"/>
        <v>0</v>
      </c>
      <c r="J34" s="85">
        <f t="shared" si="14"/>
        <v>0</v>
      </c>
      <c r="K34" s="148">
        <v>0</v>
      </c>
      <c r="L34" s="497">
        <f t="shared" si="5"/>
        <v>6.1321000000000003</v>
      </c>
      <c r="M34" s="99"/>
      <c r="N34" s="88"/>
      <c r="O34" s="89"/>
      <c r="P34" s="63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2"/>
    </row>
    <row r="35" spans="1:58" s="82" customFormat="1" ht="13.5" customHeight="1">
      <c r="A35" s="1022" t="s">
        <v>19</v>
      </c>
      <c r="B35" s="1080" t="s">
        <v>350</v>
      </c>
      <c r="C35" s="632"/>
      <c r="D35" s="84" t="s">
        <v>16</v>
      </c>
      <c r="E35" s="85">
        <f t="shared" ref="E35:J35" si="15">E36+E37+E38+E39+E40+E41+E42+E43+E44+E45+E46+E47</f>
        <v>1.7550999999999994</v>
      </c>
      <c r="F35" s="85">
        <f t="shared" si="15"/>
        <v>1.7550999999999994</v>
      </c>
      <c r="G35" s="85">
        <f t="shared" si="15"/>
        <v>0</v>
      </c>
      <c r="H35" s="85">
        <f t="shared" si="15"/>
        <v>0</v>
      </c>
      <c r="I35" s="85">
        <f t="shared" si="15"/>
        <v>0</v>
      </c>
      <c r="J35" s="85">
        <f t="shared" si="15"/>
        <v>0</v>
      </c>
      <c r="K35" s="148">
        <v>0</v>
      </c>
      <c r="L35" s="497">
        <f t="shared" si="5"/>
        <v>1.7550999999999994</v>
      </c>
      <c r="M35" s="99"/>
      <c r="N35" s="88"/>
      <c r="O35" s="89"/>
      <c r="P35" s="633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2"/>
    </row>
    <row r="36" spans="1:58" s="82" customFormat="1">
      <c r="A36" s="941"/>
      <c r="B36" s="960"/>
      <c r="C36" s="634" t="s">
        <v>351</v>
      </c>
      <c r="D36" s="84">
        <v>2019</v>
      </c>
      <c r="E36" s="85">
        <f t="shared" ref="E36:E47" si="16">F36</f>
        <v>0.22639999999999999</v>
      </c>
      <c r="F36" s="635">
        <v>0.22639999999999999</v>
      </c>
      <c r="G36" s="635">
        <v>0</v>
      </c>
      <c r="H36" s="635">
        <v>0</v>
      </c>
      <c r="I36" s="635">
        <v>0</v>
      </c>
      <c r="J36" s="635">
        <v>0</v>
      </c>
      <c r="K36" s="148">
        <v>0</v>
      </c>
      <c r="L36" s="497">
        <f t="shared" si="5"/>
        <v>0.22639999999999999</v>
      </c>
      <c r="M36" s="99"/>
      <c r="N36" s="88"/>
      <c r="O36" s="89"/>
      <c r="P36" s="1242" t="s">
        <v>352</v>
      </c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2"/>
    </row>
    <row r="37" spans="1:58" s="82" customFormat="1">
      <c r="A37" s="941"/>
      <c r="B37" s="960"/>
      <c r="C37" s="1224" t="s">
        <v>1098</v>
      </c>
      <c r="D37" s="84">
        <v>2020</v>
      </c>
      <c r="E37" s="85">
        <f t="shared" si="16"/>
        <v>0.1467</v>
      </c>
      <c r="F37" s="635">
        <v>0.1467</v>
      </c>
      <c r="G37" s="635">
        <v>0</v>
      </c>
      <c r="H37" s="635">
        <v>0</v>
      </c>
      <c r="I37" s="635">
        <v>0</v>
      </c>
      <c r="J37" s="635">
        <v>0</v>
      </c>
      <c r="K37" s="148">
        <v>0</v>
      </c>
      <c r="L37" s="497">
        <f t="shared" si="5"/>
        <v>0.1467</v>
      </c>
      <c r="M37" s="99"/>
      <c r="N37" s="88"/>
      <c r="O37" s="89"/>
      <c r="P37" s="1243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2"/>
    </row>
    <row r="38" spans="1:58" s="82" customFormat="1">
      <c r="A38" s="941"/>
      <c r="B38" s="960"/>
      <c r="C38" s="1225"/>
      <c r="D38" s="84">
        <v>2021</v>
      </c>
      <c r="E38" s="85">
        <f t="shared" si="16"/>
        <v>0.2</v>
      </c>
      <c r="F38" s="635">
        <v>0.2</v>
      </c>
      <c r="G38" s="635">
        <v>0</v>
      </c>
      <c r="H38" s="635">
        <v>0</v>
      </c>
      <c r="I38" s="635">
        <v>0</v>
      </c>
      <c r="J38" s="635">
        <v>0</v>
      </c>
      <c r="K38" s="148">
        <v>0</v>
      </c>
      <c r="L38" s="497">
        <f t="shared" si="5"/>
        <v>0.2</v>
      </c>
      <c r="M38" s="99"/>
      <c r="N38" s="88"/>
      <c r="O38" s="89"/>
      <c r="P38" s="1243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2"/>
    </row>
    <row r="39" spans="1:58" s="82" customFormat="1">
      <c r="A39" s="941"/>
      <c r="B39" s="960"/>
      <c r="C39" s="1225"/>
      <c r="D39" s="84">
        <v>2022</v>
      </c>
      <c r="E39" s="85">
        <f t="shared" si="16"/>
        <v>0.2</v>
      </c>
      <c r="F39" s="635">
        <v>0.2</v>
      </c>
      <c r="G39" s="635">
        <v>0</v>
      </c>
      <c r="H39" s="635">
        <v>0</v>
      </c>
      <c r="I39" s="635">
        <v>0</v>
      </c>
      <c r="J39" s="635">
        <v>0</v>
      </c>
      <c r="K39" s="148">
        <v>0</v>
      </c>
      <c r="L39" s="497">
        <f t="shared" si="5"/>
        <v>0.2</v>
      </c>
      <c r="M39" s="99"/>
      <c r="N39" s="88"/>
      <c r="O39" s="89"/>
      <c r="P39" s="1243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2"/>
    </row>
    <row r="40" spans="1:58" s="82" customFormat="1">
      <c r="A40" s="941"/>
      <c r="B40" s="960"/>
      <c r="C40" s="1225"/>
      <c r="D40" s="84">
        <v>2023</v>
      </c>
      <c r="E40" s="85">
        <f t="shared" si="16"/>
        <v>0.2</v>
      </c>
      <c r="F40" s="635">
        <v>0.2</v>
      </c>
      <c r="G40" s="635">
        <v>0</v>
      </c>
      <c r="H40" s="635">
        <v>0</v>
      </c>
      <c r="I40" s="635">
        <v>0</v>
      </c>
      <c r="J40" s="635">
        <v>0</v>
      </c>
      <c r="K40" s="148">
        <v>0</v>
      </c>
      <c r="L40" s="497">
        <f t="shared" si="5"/>
        <v>0.2</v>
      </c>
      <c r="M40" s="99"/>
      <c r="N40" s="88"/>
      <c r="O40" s="89"/>
      <c r="P40" s="1243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2"/>
    </row>
    <row r="41" spans="1:58" s="82" customFormat="1">
      <c r="A41" s="941"/>
      <c r="B41" s="960"/>
      <c r="C41" s="1225"/>
      <c r="D41" s="84">
        <v>2024</v>
      </c>
      <c r="E41" s="85">
        <f t="shared" si="16"/>
        <v>5.5999999999999999E-3</v>
      </c>
      <c r="F41" s="635">
        <v>5.5999999999999999E-3</v>
      </c>
      <c r="G41" s="635">
        <v>0</v>
      </c>
      <c r="H41" s="635">
        <v>0</v>
      </c>
      <c r="I41" s="635">
        <v>0</v>
      </c>
      <c r="J41" s="635">
        <v>0</v>
      </c>
      <c r="K41" s="148">
        <v>0</v>
      </c>
      <c r="L41" s="497">
        <f t="shared" si="5"/>
        <v>5.5999999999999999E-3</v>
      </c>
      <c r="M41" s="99"/>
      <c r="N41" s="88"/>
      <c r="O41" s="89"/>
      <c r="P41" s="1243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2"/>
    </row>
    <row r="42" spans="1:58" s="82" customFormat="1">
      <c r="A42" s="941"/>
      <c r="B42" s="960"/>
      <c r="C42" s="1226"/>
      <c r="D42" s="84">
        <v>2025</v>
      </c>
      <c r="E42" s="85">
        <f t="shared" si="16"/>
        <v>5.8999999999999999E-3</v>
      </c>
      <c r="F42" s="635">
        <v>5.8999999999999999E-3</v>
      </c>
      <c r="G42" s="635">
        <v>0</v>
      </c>
      <c r="H42" s="635">
        <v>0</v>
      </c>
      <c r="I42" s="635">
        <v>0</v>
      </c>
      <c r="J42" s="635">
        <v>0</v>
      </c>
      <c r="K42" s="148">
        <v>0</v>
      </c>
      <c r="L42" s="497">
        <f t="shared" si="5"/>
        <v>5.8999999999999999E-3</v>
      </c>
      <c r="M42" s="99"/>
      <c r="N42" s="88"/>
      <c r="O42" s="89"/>
      <c r="P42" s="1243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2"/>
    </row>
    <row r="43" spans="1:58" s="82" customFormat="1">
      <c r="A43" s="941"/>
      <c r="B43" s="960"/>
      <c r="C43" s="1224" t="s">
        <v>354</v>
      </c>
      <c r="D43" s="84">
        <v>2026</v>
      </c>
      <c r="E43" s="85">
        <f t="shared" si="16"/>
        <v>0.15409999999999999</v>
      </c>
      <c r="F43" s="635">
        <v>0.15409999999999999</v>
      </c>
      <c r="G43" s="635">
        <v>0</v>
      </c>
      <c r="H43" s="635">
        <v>0</v>
      </c>
      <c r="I43" s="635">
        <v>0</v>
      </c>
      <c r="J43" s="635">
        <v>0</v>
      </c>
      <c r="K43" s="148">
        <v>0</v>
      </c>
      <c r="L43" s="497">
        <f t="shared" si="5"/>
        <v>0.15409999999999999</v>
      </c>
      <c r="M43" s="99"/>
      <c r="N43" s="88"/>
      <c r="O43" s="89"/>
      <c r="P43" s="1243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2"/>
    </row>
    <row r="44" spans="1:58" s="82" customFormat="1">
      <c r="A44" s="941"/>
      <c r="B44" s="960"/>
      <c r="C44" s="1225"/>
      <c r="D44" s="84">
        <v>2027</v>
      </c>
      <c r="E44" s="85">
        <f t="shared" si="16"/>
        <v>0.15409999999999999</v>
      </c>
      <c r="F44" s="635">
        <v>0.15409999999999999</v>
      </c>
      <c r="G44" s="635">
        <v>0</v>
      </c>
      <c r="H44" s="635">
        <v>0</v>
      </c>
      <c r="I44" s="635">
        <v>0</v>
      </c>
      <c r="J44" s="635">
        <v>0</v>
      </c>
      <c r="K44" s="148">
        <v>0</v>
      </c>
      <c r="L44" s="497">
        <f t="shared" si="5"/>
        <v>0.15409999999999999</v>
      </c>
      <c r="M44" s="99"/>
      <c r="N44" s="88"/>
      <c r="O44" s="89"/>
      <c r="P44" s="1243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2"/>
    </row>
    <row r="45" spans="1:58" s="82" customFormat="1">
      <c r="A45" s="941"/>
      <c r="B45" s="960"/>
      <c r="C45" s="1225"/>
      <c r="D45" s="84">
        <v>2028</v>
      </c>
      <c r="E45" s="85">
        <f t="shared" si="16"/>
        <v>0.15409999999999999</v>
      </c>
      <c r="F45" s="635">
        <v>0.15409999999999999</v>
      </c>
      <c r="G45" s="635">
        <v>0</v>
      </c>
      <c r="H45" s="635">
        <v>0</v>
      </c>
      <c r="I45" s="635">
        <v>0</v>
      </c>
      <c r="J45" s="635">
        <v>0</v>
      </c>
      <c r="K45" s="148">
        <v>0</v>
      </c>
      <c r="L45" s="497">
        <f t="shared" ref="L45:L75" si="17">F45+G45+H45+I45+J45</f>
        <v>0.15409999999999999</v>
      </c>
      <c r="M45" s="99"/>
      <c r="N45" s="88"/>
      <c r="O45" s="89"/>
      <c r="P45" s="1243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2"/>
    </row>
    <row r="46" spans="1:58" s="82" customFormat="1">
      <c r="A46" s="941"/>
      <c r="B46" s="960"/>
      <c r="C46" s="1225"/>
      <c r="D46" s="84">
        <v>2029</v>
      </c>
      <c r="E46" s="85">
        <f t="shared" si="16"/>
        <v>0.15409999999999999</v>
      </c>
      <c r="F46" s="635">
        <v>0.15409999999999999</v>
      </c>
      <c r="G46" s="635">
        <v>0</v>
      </c>
      <c r="H46" s="635">
        <v>0</v>
      </c>
      <c r="I46" s="635">
        <v>0</v>
      </c>
      <c r="J46" s="635">
        <v>0</v>
      </c>
      <c r="K46" s="148">
        <v>0</v>
      </c>
      <c r="L46" s="497">
        <f t="shared" si="17"/>
        <v>0.15409999999999999</v>
      </c>
      <c r="M46" s="99"/>
      <c r="N46" s="88"/>
      <c r="O46" s="89"/>
      <c r="P46" s="1243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2"/>
    </row>
    <row r="47" spans="1:58" s="82" customFormat="1">
      <c r="A47" s="942"/>
      <c r="B47" s="961"/>
      <c r="C47" s="1226"/>
      <c r="D47" s="84">
        <v>2030</v>
      </c>
      <c r="E47" s="85">
        <f t="shared" si="16"/>
        <v>0.15409999999999999</v>
      </c>
      <c r="F47" s="635">
        <v>0.15409999999999999</v>
      </c>
      <c r="G47" s="635">
        <v>0</v>
      </c>
      <c r="H47" s="635">
        <v>0</v>
      </c>
      <c r="I47" s="635">
        <v>0</v>
      </c>
      <c r="J47" s="635">
        <v>0</v>
      </c>
      <c r="K47" s="148">
        <v>0</v>
      </c>
      <c r="L47" s="497">
        <f t="shared" si="17"/>
        <v>0.15409999999999999</v>
      </c>
      <c r="M47" s="99"/>
      <c r="N47" s="88"/>
      <c r="O47" s="89"/>
      <c r="P47" s="1243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2"/>
    </row>
    <row r="48" spans="1:58" s="82" customFormat="1">
      <c r="A48" s="1069" t="s">
        <v>355</v>
      </c>
      <c r="B48" s="1080" t="s">
        <v>356</v>
      </c>
      <c r="C48" s="571"/>
      <c r="D48" s="84" t="s">
        <v>16</v>
      </c>
      <c r="E48" s="85">
        <f t="shared" ref="E48:J48" si="18">E49+E50+E51+E52+E53+E54+E55+E56+E57+E58+E59+E60</f>
        <v>0.4519999999999999</v>
      </c>
      <c r="F48" s="85">
        <f t="shared" si="18"/>
        <v>0.4519999999999999</v>
      </c>
      <c r="G48" s="85">
        <f t="shared" si="18"/>
        <v>0</v>
      </c>
      <c r="H48" s="85">
        <f t="shared" si="18"/>
        <v>0</v>
      </c>
      <c r="I48" s="85">
        <f t="shared" si="18"/>
        <v>0</v>
      </c>
      <c r="J48" s="85">
        <f t="shared" si="18"/>
        <v>0</v>
      </c>
      <c r="K48" s="148">
        <v>0</v>
      </c>
      <c r="L48" s="497">
        <f t="shared" si="17"/>
        <v>0.4519999999999999</v>
      </c>
      <c r="M48" s="99"/>
      <c r="N48" s="88"/>
      <c r="O48" s="89"/>
      <c r="P48" s="1243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2"/>
    </row>
    <row r="49" spans="1:58" s="82" customFormat="1">
      <c r="A49" s="941"/>
      <c r="B49" s="960"/>
      <c r="C49" s="583" t="s">
        <v>351</v>
      </c>
      <c r="D49" s="84">
        <v>2019</v>
      </c>
      <c r="E49" s="85">
        <f t="shared" ref="E49:E60" si="19">F49</f>
        <v>3.7999999999999999E-2</v>
      </c>
      <c r="F49" s="529">
        <v>3.7999999999999999E-2</v>
      </c>
      <c r="G49" s="529">
        <v>0</v>
      </c>
      <c r="H49" s="529">
        <v>0</v>
      </c>
      <c r="I49" s="529">
        <v>0</v>
      </c>
      <c r="J49" s="529">
        <v>0</v>
      </c>
      <c r="K49" s="148">
        <v>0</v>
      </c>
      <c r="L49" s="497">
        <f t="shared" si="17"/>
        <v>3.7999999999999999E-2</v>
      </c>
      <c r="M49" s="99"/>
      <c r="N49" s="88"/>
      <c r="O49" s="89"/>
      <c r="P49" s="1243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2"/>
    </row>
    <row r="50" spans="1:58" s="82" customFormat="1">
      <c r="A50" s="941"/>
      <c r="B50" s="960"/>
      <c r="C50" s="1245" t="s">
        <v>357</v>
      </c>
      <c r="D50" s="84">
        <v>2020</v>
      </c>
      <c r="E50" s="85">
        <f t="shared" si="19"/>
        <v>3.7999999999999999E-2</v>
      </c>
      <c r="F50" s="529">
        <v>3.7999999999999999E-2</v>
      </c>
      <c r="G50" s="529">
        <v>0</v>
      </c>
      <c r="H50" s="529">
        <v>0</v>
      </c>
      <c r="I50" s="529">
        <v>0</v>
      </c>
      <c r="J50" s="529">
        <v>0</v>
      </c>
      <c r="K50" s="148">
        <v>0</v>
      </c>
      <c r="L50" s="497">
        <f t="shared" si="17"/>
        <v>3.7999999999999999E-2</v>
      </c>
      <c r="M50" s="99"/>
      <c r="N50" s="88"/>
      <c r="O50" s="89"/>
      <c r="P50" s="1243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2"/>
    </row>
    <row r="51" spans="1:58" s="82" customFormat="1">
      <c r="A51" s="941"/>
      <c r="B51" s="960"/>
      <c r="C51" s="1245"/>
      <c r="D51" s="84">
        <v>2021</v>
      </c>
      <c r="E51" s="85">
        <f t="shared" si="19"/>
        <v>3.4000000000000002E-2</v>
      </c>
      <c r="F51" s="529">
        <v>3.4000000000000002E-2</v>
      </c>
      <c r="G51" s="529">
        <v>0</v>
      </c>
      <c r="H51" s="529">
        <v>0</v>
      </c>
      <c r="I51" s="529">
        <v>0</v>
      </c>
      <c r="J51" s="529">
        <v>0</v>
      </c>
      <c r="K51" s="148">
        <v>0</v>
      </c>
      <c r="L51" s="497">
        <f t="shared" si="17"/>
        <v>3.4000000000000002E-2</v>
      </c>
      <c r="M51" s="99"/>
      <c r="N51" s="88"/>
      <c r="O51" s="89"/>
      <c r="P51" s="1243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2"/>
    </row>
    <row r="52" spans="1:58" s="82" customFormat="1" ht="14.25" customHeight="1">
      <c r="A52" s="941"/>
      <c r="B52" s="960"/>
      <c r="C52" s="1245"/>
      <c r="D52" s="84">
        <v>2022</v>
      </c>
      <c r="E52" s="85">
        <f t="shared" si="19"/>
        <v>3.7999999999999999E-2</v>
      </c>
      <c r="F52" s="529">
        <v>3.7999999999999999E-2</v>
      </c>
      <c r="G52" s="529">
        <v>0</v>
      </c>
      <c r="H52" s="529">
        <v>0</v>
      </c>
      <c r="I52" s="529">
        <v>0</v>
      </c>
      <c r="J52" s="529">
        <v>0</v>
      </c>
      <c r="K52" s="148">
        <v>0</v>
      </c>
      <c r="L52" s="497">
        <f t="shared" si="17"/>
        <v>3.7999999999999999E-2</v>
      </c>
      <c r="M52" s="99"/>
      <c r="N52" s="88"/>
      <c r="O52" s="89"/>
      <c r="P52" s="1243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2"/>
    </row>
    <row r="53" spans="1:58" s="82" customFormat="1" ht="14.25" customHeight="1">
      <c r="A53" s="941"/>
      <c r="B53" s="960"/>
      <c r="C53" s="1245"/>
      <c r="D53" s="84">
        <v>2023</v>
      </c>
      <c r="E53" s="85">
        <f t="shared" si="19"/>
        <v>3.7999999999999999E-2</v>
      </c>
      <c r="F53" s="529">
        <v>3.7999999999999999E-2</v>
      </c>
      <c r="G53" s="529">
        <v>0</v>
      </c>
      <c r="H53" s="529">
        <v>0</v>
      </c>
      <c r="I53" s="529">
        <v>0</v>
      </c>
      <c r="J53" s="529">
        <v>0</v>
      </c>
      <c r="K53" s="148">
        <v>0</v>
      </c>
      <c r="L53" s="497">
        <f t="shared" si="17"/>
        <v>3.7999999999999999E-2</v>
      </c>
      <c r="M53" s="99"/>
      <c r="N53" s="88"/>
      <c r="O53" s="89"/>
      <c r="P53" s="1243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2"/>
    </row>
    <row r="54" spans="1:58" s="82" customFormat="1" ht="14.25" customHeight="1">
      <c r="A54" s="941"/>
      <c r="B54" s="960"/>
      <c r="C54" s="1245"/>
      <c r="D54" s="84">
        <v>2024</v>
      </c>
      <c r="E54" s="85">
        <f t="shared" si="19"/>
        <v>3.7999999999999999E-2</v>
      </c>
      <c r="F54" s="529">
        <v>3.7999999999999999E-2</v>
      </c>
      <c r="G54" s="529">
        <v>0</v>
      </c>
      <c r="H54" s="529">
        <v>0</v>
      </c>
      <c r="I54" s="529">
        <v>0</v>
      </c>
      <c r="J54" s="529">
        <v>0</v>
      </c>
      <c r="K54" s="148">
        <v>0</v>
      </c>
      <c r="L54" s="497">
        <f t="shared" si="17"/>
        <v>3.7999999999999999E-2</v>
      </c>
      <c r="M54" s="99"/>
      <c r="N54" s="88"/>
      <c r="O54" s="89"/>
      <c r="P54" s="1243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2"/>
    </row>
    <row r="55" spans="1:58" s="82" customFormat="1" ht="14.25" customHeight="1">
      <c r="A55" s="941"/>
      <c r="B55" s="960"/>
      <c r="C55" s="1245"/>
      <c r="D55" s="84">
        <v>2025</v>
      </c>
      <c r="E55" s="85">
        <f t="shared" si="19"/>
        <v>3.7999999999999999E-2</v>
      </c>
      <c r="F55" s="529">
        <v>3.7999999999999999E-2</v>
      </c>
      <c r="G55" s="529">
        <v>0</v>
      </c>
      <c r="H55" s="529">
        <v>0</v>
      </c>
      <c r="I55" s="529">
        <v>0</v>
      </c>
      <c r="J55" s="529">
        <v>0</v>
      </c>
      <c r="K55" s="148">
        <v>0</v>
      </c>
      <c r="L55" s="497">
        <f t="shared" si="17"/>
        <v>3.7999999999999999E-2</v>
      </c>
      <c r="M55" s="99"/>
      <c r="N55" s="88"/>
      <c r="O55" s="89"/>
      <c r="P55" s="1243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2"/>
    </row>
    <row r="56" spans="1:58" s="82" customFormat="1" ht="16.5" customHeight="1">
      <c r="A56" s="941"/>
      <c r="B56" s="960"/>
      <c r="C56" s="1245" t="s">
        <v>358</v>
      </c>
      <c r="D56" s="84">
        <v>2026</v>
      </c>
      <c r="E56" s="85">
        <f t="shared" si="19"/>
        <v>3.7999999999999999E-2</v>
      </c>
      <c r="F56" s="529">
        <v>3.7999999999999999E-2</v>
      </c>
      <c r="G56" s="529">
        <v>0</v>
      </c>
      <c r="H56" s="529">
        <v>0</v>
      </c>
      <c r="I56" s="529">
        <v>0</v>
      </c>
      <c r="J56" s="529">
        <v>0</v>
      </c>
      <c r="K56" s="148">
        <v>0</v>
      </c>
      <c r="L56" s="497">
        <f t="shared" si="17"/>
        <v>3.7999999999999999E-2</v>
      </c>
      <c r="M56" s="99"/>
      <c r="N56" s="88"/>
      <c r="O56" s="89"/>
      <c r="P56" s="1243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2"/>
    </row>
    <row r="57" spans="1:58" s="82" customFormat="1">
      <c r="A57" s="941"/>
      <c r="B57" s="960"/>
      <c r="C57" s="1245"/>
      <c r="D57" s="84">
        <v>2027</v>
      </c>
      <c r="E57" s="85">
        <f t="shared" si="19"/>
        <v>3.7999999999999999E-2</v>
      </c>
      <c r="F57" s="529">
        <v>3.7999999999999999E-2</v>
      </c>
      <c r="G57" s="529">
        <v>0</v>
      </c>
      <c r="H57" s="529">
        <v>0</v>
      </c>
      <c r="I57" s="529">
        <v>0</v>
      </c>
      <c r="J57" s="529">
        <v>0</v>
      </c>
      <c r="K57" s="148">
        <v>0</v>
      </c>
      <c r="L57" s="497">
        <f t="shared" si="17"/>
        <v>3.7999999999999999E-2</v>
      </c>
      <c r="M57" s="99"/>
      <c r="N57" s="88"/>
      <c r="O57" s="89"/>
      <c r="P57" s="1243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2"/>
    </row>
    <row r="58" spans="1:58" s="82" customFormat="1" ht="16.5" customHeight="1">
      <c r="A58" s="941"/>
      <c r="B58" s="960"/>
      <c r="C58" s="1245"/>
      <c r="D58" s="84">
        <v>2028</v>
      </c>
      <c r="E58" s="85">
        <f t="shared" si="19"/>
        <v>3.7999999999999999E-2</v>
      </c>
      <c r="F58" s="529">
        <v>3.7999999999999999E-2</v>
      </c>
      <c r="G58" s="529">
        <v>0</v>
      </c>
      <c r="H58" s="529">
        <v>0</v>
      </c>
      <c r="I58" s="529">
        <v>0</v>
      </c>
      <c r="J58" s="529">
        <v>0</v>
      </c>
      <c r="K58" s="148">
        <v>0</v>
      </c>
      <c r="L58" s="497">
        <f t="shared" si="17"/>
        <v>3.7999999999999999E-2</v>
      </c>
      <c r="M58" s="99"/>
      <c r="N58" s="88"/>
      <c r="O58" s="89"/>
      <c r="P58" s="1243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2"/>
    </row>
    <row r="59" spans="1:58" s="82" customFormat="1" ht="16.5" customHeight="1">
      <c r="A59" s="941"/>
      <c r="B59" s="960"/>
      <c r="C59" s="1245"/>
      <c r="D59" s="84">
        <v>2029</v>
      </c>
      <c r="E59" s="85">
        <f t="shared" si="19"/>
        <v>3.7999999999999999E-2</v>
      </c>
      <c r="F59" s="529">
        <v>3.7999999999999999E-2</v>
      </c>
      <c r="G59" s="529">
        <v>0</v>
      </c>
      <c r="H59" s="529">
        <v>0</v>
      </c>
      <c r="I59" s="529">
        <v>0</v>
      </c>
      <c r="J59" s="529">
        <v>0</v>
      </c>
      <c r="K59" s="148">
        <v>0</v>
      </c>
      <c r="L59" s="497">
        <f t="shared" si="17"/>
        <v>3.7999999999999999E-2</v>
      </c>
      <c r="M59" s="99"/>
      <c r="N59" s="88"/>
      <c r="O59" s="89"/>
      <c r="P59" s="1243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2"/>
    </row>
    <row r="60" spans="1:58" s="107" customFormat="1" ht="16.5" customHeight="1">
      <c r="A60" s="941"/>
      <c r="B60" s="960"/>
      <c r="C60" s="1245"/>
      <c r="D60" s="114">
        <v>2030</v>
      </c>
      <c r="E60" s="115">
        <f t="shared" si="19"/>
        <v>3.7999999999999999E-2</v>
      </c>
      <c r="F60" s="638">
        <v>3.7999999999999999E-2</v>
      </c>
      <c r="G60" s="638">
        <v>0</v>
      </c>
      <c r="H60" s="638">
        <v>0</v>
      </c>
      <c r="I60" s="638">
        <v>0</v>
      </c>
      <c r="J60" s="638">
        <v>0</v>
      </c>
      <c r="K60" s="148">
        <v>0</v>
      </c>
      <c r="L60" s="497">
        <f t="shared" si="17"/>
        <v>3.7999999999999999E-2</v>
      </c>
      <c r="M60" s="109"/>
      <c r="N60" s="110"/>
      <c r="O60" s="111"/>
      <c r="P60" s="1244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113"/>
    </row>
    <row r="61" spans="1:58" s="107" customFormat="1" ht="16.5" customHeight="1">
      <c r="A61" s="1069" t="s">
        <v>359</v>
      </c>
      <c r="C61" s="630"/>
      <c r="D61" s="114" t="s">
        <v>16</v>
      </c>
      <c r="E61" s="115">
        <f t="shared" ref="E61:J61" si="20">SUM(E62:E73)</f>
        <v>53.581699999999998</v>
      </c>
      <c r="F61" s="115">
        <f t="shared" si="20"/>
        <v>53.581699999999998</v>
      </c>
      <c r="G61" s="115">
        <f t="shared" si="20"/>
        <v>0</v>
      </c>
      <c r="H61" s="115">
        <f t="shared" si="20"/>
        <v>0</v>
      </c>
      <c r="I61" s="115">
        <f t="shared" si="20"/>
        <v>0</v>
      </c>
      <c r="J61" s="115">
        <f t="shared" si="20"/>
        <v>0</v>
      </c>
      <c r="K61" s="148">
        <v>0</v>
      </c>
      <c r="L61" s="497">
        <f t="shared" si="17"/>
        <v>53.581699999999998</v>
      </c>
      <c r="M61" s="109"/>
      <c r="N61" s="110"/>
      <c r="O61" s="111"/>
      <c r="P61" s="1224" t="s">
        <v>360</v>
      </c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113"/>
    </row>
    <row r="62" spans="1:58" s="107" customFormat="1" ht="51">
      <c r="A62" s="941"/>
      <c r="B62" s="1224" t="s">
        <v>1099</v>
      </c>
      <c r="C62" s="583" t="s">
        <v>362</v>
      </c>
      <c r="D62" s="114">
        <v>2019</v>
      </c>
      <c r="E62" s="115">
        <f t="shared" ref="E62:E73" si="21">F62+G62+H62+I62+J62</f>
        <v>2.1492</v>
      </c>
      <c r="F62" s="115">
        <v>2.1492</v>
      </c>
      <c r="G62" s="638">
        <v>0</v>
      </c>
      <c r="H62" s="638">
        <v>0</v>
      </c>
      <c r="I62" s="638">
        <v>0</v>
      </c>
      <c r="J62" s="638">
        <v>0</v>
      </c>
      <c r="K62" s="148">
        <v>0</v>
      </c>
      <c r="L62" s="497">
        <f t="shared" si="17"/>
        <v>2.1492</v>
      </c>
      <c r="M62" s="109"/>
      <c r="N62" s="110"/>
      <c r="O62" s="111"/>
      <c r="P62" s="1225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113"/>
    </row>
    <row r="63" spans="1:58" s="107" customFormat="1" ht="16.5" customHeight="1">
      <c r="A63" s="941"/>
      <c r="B63" s="1225"/>
      <c r="C63" s="1245" t="s">
        <v>1100</v>
      </c>
      <c r="D63" s="114">
        <v>2020</v>
      </c>
      <c r="E63" s="115">
        <f t="shared" si="21"/>
        <v>1.2977000000000001</v>
      </c>
      <c r="F63" s="115">
        <v>1.2977000000000001</v>
      </c>
      <c r="G63" s="638">
        <v>0</v>
      </c>
      <c r="H63" s="638">
        <v>0</v>
      </c>
      <c r="I63" s="638">
        <v>0</v>
      </c>
      <c r="J63" s="638">
        <v>0</v>
      </c>
      <c r="K63" s="148">
        <v>0</v>
      </c>
      <c r="L63" s="497">
        <f t="shared" si="17"/>
        <v>1.2977000000000001</v>
      </c>
      <c r="M63" s="109"/>
      <c r="N63" s="110"/>
      <c r="O63" s="111"/>
      <c r="P63" s="1225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113"/>
    </row>
    <row r="64" spans="1:58" s="107" customFormat="1" ht="16.5" customHeight="1">
      <c r="A64" s="941"/>
      <c r="B64" s="1225"/>
      <c r="C64" s="1245"/>
      <c r="D64" s="114">
        <v>2021</v>
      </c>
      <c r="E64" s="115">
        <f t="shared" si="21"/>
        <v>2.4451999999999998</v>
      </c>
      <c r="F64" s="115">
        <v>2.4451999999999998</v>
      </c>
      <c r="G64" s="638">
        <v>0</v>
      </c>
      <c r="H64" s="638">
        <v>0</v>
      </c>
      <c r="I64" s="638">
        <v>0</v>
      </c>
      <c r="J64" s="638">
        <v>0</v>
      </c>
      <c r="K64" s="148">
        <v>0</v>
      </c>
      <c r="L64" s="497">
        <f t="shared" si="17"/>
        <v>2.4451999999999998</v>
      </c>
      <c r="M64" s="109"/>
      <c r="N64" s="110"/>
      <c r="O64" s="111"/>
      <c r="P64" s="1225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113"/>
    </row>
    <row r="65" spans="1:58" s="107" customFormat="1" ht="16.5" customHeight="1">
      <c r="A65" s="941"/>
      <c r="B65" s="1225"/>
      <c r="C65" s="1245"/>
      <c r="D65" s="114">
        <v>2022</v>
      </c>
      <c r="E65" s="115">
        <f t="shared" si="21"/>
        <v>2.5430000000000001</v>
      </c>
      <c r="F65" s="115">
        <v>2.5430000000000001</v>
      </c>
      <c r="G65" s="638">
        <v>0</v>
      </c>
      <c r="H65" s="638">
        <v>0</v>
      </c>
      <c r="I65" s="638">
        <v>0</v>
      </c>
      <c r="J65" s="638">
        <v>0</v>
      </c>
      <c r="K65" s="148">
        <v>0</v>
      </c>
      <c r="L65" s="497">
        <f t="shared" si="17"/>
        <v>2.5430000000000001</v>
      </c>
      <c r="M65" s="109"/>
      <c r="N65" s="110"/>
      <c r="O65" s="111"/>
      <c r="P65" s="1225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113"/>
    </row>
    <row r="66" spans="1:58" s="107" customFormat="1" ht="16.5" customHeight="1">
      <c r="A66" s="941"/>
      <c r="B66" s="1225"/>
      <c r="C66" s="1245"/>
      <c r="D66" s="114">
        <v>2023</v>
      </c>
      <c r="E66" s="115">
        <f t="shared" si="21"/>
        <v>2.9941</v>
      </c>
      <c r="F66" s="115">
        <v>2.9941</v>
      </c>
      <c r="G66" s="638">
        <v>0</v>
      </c>
      <c r="H66" s="638">
        <v>0</v>
      </c>
      <c r="I66" s="638">
        <v>0</v>
      </c>
      <c r="J66" s="638">
        <v>0</v>
      </c>
      <c r="K66" s="148">
        <v>0</v>
      </c>
      <c r="L66" s="497">
        <f t="shared" si="17"/>
        <v>2.9941</v>
      </c>
      <c r="M66" s="109"/>
      <c r="N66" s="110"/>
      <c r="O66" s="111"/>
      <c r="P66" s="1225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113"/>
    </row>
    <row r="67" spans="1:58" s="107" customFormat="1" ht="16.5" customHeight="1">
      <c r="A67" s="941"/>
      <c r="B67" s="1225"/>
      <c r="C67" s="1245"/>
      <c r="D67" s="114">
        <v>2024</v>
      </c>
      <c r="E67" s="115">
        <f t="shared" si="21"/>
        <v>5.6338999999999997</v>
      </c>
      <c r="F67" s="115">
        <v>5.6338999999999997</v>
      </c>
      <c r="G67" s="638">
        <v>0</v>
      </c>
      <c r="H67" s="638">
        <v>0</v>
      </c>
      <c r="I67" s="638">
        <v>0</v>
      </c>
      <c r="J67" s="638">
        <v>0</v>
      </c>
      <c r="K67" s="148">
        <v>0</v>
      </c>
      <c r="L67" s="497">
        <f t="shared" si="17"/>
        <v>5.6338999999999997</v>
      </c>
      <c r="M67" s="109"/>
      <c r="N67" s="110"/>
      <c r="O67" s="111"/>
      <c r="P67" s="1225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113"/>
    </row>
    <row r="68" spans="1:58" s="107" customFormat="1" ht="16.5" customHeight="1">
      <c r="A68" s="941"/>
      <c r="B68" s="1225"/>
      <c r="C68" s="1245"/>
      <c r="D68" s="114">
        <v>2025</v>
      </c>
      <c r="E68" s="115">
        <f t="shared" si="21"/>
        <v>5.6985999999999999</v>
      </c>
      <c r="F68" s="115">
        <v>5.6985999999999999</v>
      </c>
      <c r="G68" s="638">
        <v>0</v>
      </c>
      <c r="H68" s="638">
        <v>0</v>
      </c>
      <c r="I68" s="638">
        <v>0</v>
      </c>
      <c r="J68" s="638">
        <v>0</v>
      </c>
      <c r="K68" s="148">
        <v>0</v>
      </c>
      <c r="L68" s="497">
        <f t="shared" si="17"/>
        <v>5.6985999999999999</v>
      </c>
      <c r="M68" s="109"/>
      <c r="N68" s="110"/>
      <c r="O68" s="111"/>
      <c r="P68" s="1225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113"/>
    </row>
    <row r="69" spans="1:58" s="107" customFormat="1" ht="16.5" customHeight="1">
      <c r="A69" s="941"/>
      <c r="B69" s="1225"/>
      <c r="C69" s="1225" t="s">
        <v>364</v>
      </c>
      <c r="D69" s="114">
        <v>2026</v>
      </c>
      <c r="E69" s="115">
        <f t="shared" si="21"/>
        <v>6.68</v>
      </c>
      <c r="F69" s="115">
        <v>6.68</v>
      </c>
      <c r="G69" s="638">
        <v>0</v>
      </c>
      <c r="H69" s="638">
        <v>0</v>
      </c>
      <c r="I69" s="638">
        <v>0</v>
      </c>
      <c r="J69" s="638">
        <v>0</v>
      </c>
      <c r="K69" s="148">
        <v>0</v>
      </c>
      <c r="L69" s="497">
        <f t="shared" si="17"/>
        <v>6.68</v>
      </c>
      <c r="M69" s="109"/>
      <c r="N69" s="110"/>
      <c r="O69" s="111"/>
      <c r="P69" s="1225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113"/>
    </row>
    <row r="70" spans="1:58" s="107" customFormat="1" ht="16.5" customHeight="1">
      <c r="A70" s="941"/>
      <c r="B70" s="1225"/>
      <c r="C70" s="1225"/>
      <c r="D70" s="114">
        <v>2027</v>
      </c>
      <c r="E70" s="115">
        <f t="shared" si="21"/>
        <v>5.3</v>
      </c>
      <c r="F70" s="115">
        <v>5.3</v>
      </c>
      <c r="G70" s="638">
        <v>0</v>
      </c>
      <c r="H70" s="638">
        <v>0</v>
      </c>
      <c r="I70" s="638">
        <v>0</v>
      </c>
      <c r="J70" s="638">
        <v>0</v>
      </c>
      <c r="K70" s="148">
        <v>0</v>
      </c>
      <c r="L70" s="497">
        <f t="shared" si="17"/>
        <v>5.3</v>
      </c>
      <c r="M70" s="109"/>
      <c r="N70" s="110"/>
      <c r="O70" s="111"/>
      <c r="P70" s="1225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113"/>
    </row>
    <row r="71" spans="1:58" s="107" customFormat="1" ht="16.5" customHeight="1">
      <c r="A71" s="941"/>
      <c r="B71" s="1225"/>
      <c r="C71" s="1225"/>
      <c r="D71" s="114">
        <v>2028</v>
      </c>
      <c r="E71" s="115">
        <f t="shared" si="21"/>
        <v>7.2</v>
      </c>
      <c r="F71" s="115">
        <v>7.2</v>
      </c>
      <c r="G71" s="638">
        <v>0</v>
      </c>
      <c r="H71" s="638">
        <v>0</v>
      </c>
      <c r="I71" s="638">
        <v>0</v>
      </c>
      <c r="J71" s="638">
        <v>0</v>
      </c>
      <c r="K71" s="148">
        <v>0</v>
      </c>
      <c r="L71" s="497">
        <f t="shared" si="17"/>
        <v>7.2</v>
      </c>
      <c r="M71" s="109"/>
      <c r="N71" s="110"/>
      <c r="O71" s="111"/>
      <c r="P71" s="1225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113"/>
    </row>
    <row r="72" spans="1:58" s="107" customFormat="1" ht="16.5" customHeight="1">
      <c r="A72" s="941"/>
      <c r="B72" s="1225"/>
      <c r="C72" s="1225"/>
      <c r="D72" s="114">
        <v>2029</v>
      </c>
      <c r="E72" s="115">
        <f t="shared" si="21"/>
        <v>5.7</v>
      </c>
      <c r="F72" s="115">
        <v>5.7</v>
      </c>
      <c r="G72" s="638">
        <v>0</v>
      </c>
      <c r="H72" s="638">
        <v>0</v>
      </c>
      <c r="I72" s="638">
        <v>0</v>
      </c>
      <c r="J72" s="638">
        <v>0</v>
      </c>
      <c r="K72" s="148">
        <v>0</v>
      </c>
      <c r="L72" s="497">
        <f t="shared" si="17"/>
        <v>5.7</v>
      </c>
      <c r="M72" s="109"/>
      <c r="N72" s="110"/>
      <c r="O72" s="111"/>
      <c r="P72" s="1225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113"/>
    </row>
    <row r="73" spans="1:58" s="82" customFormat="1" ht="16.5" customHeight="1">
      <c r="A73" s="941"/>
      <c r="B73" s="1226"/>
      <c r="C73" s="1226"/>
      <c r="D73" s="84">
        <v>2030</v>
      </c>
      <c r="E73" s="115">
        <f t="shared" si="21"/>
        <v>5.94</v>
      </c>
      <c r="F73" s="85">
        <v>5.94</v>
      </c>
      <c r="G73" s="529">
        <v>0</v>
      </c>
      <c r="H73" s="529">
        <v>0</v>
      </c>
      <c r="I73" s="529">
        <v>0</v>
      </c>
      <c r="J73" s="529">
        <v>0</v>
      </c>
      <c r="K73" s="148">
        <v>0</v>
      </c>
      <c r="L73" s="497">
        <f t="shared" si="17"/>
        <v>5.94</v>
      </c>
      <c r="M73" s="136"/>
      <c r="N73" s="90"/>
      <c r="O73" s="137"/>
      <c r="P73" s="1226"/>
    </row>
    <row r="74" spans="1:58" s="138" customFormat="1">
      <c r="A74" s="926" t="s">
        <v>365</v>
      </c>
      <c r="B74" s="929" t="s">
        <v>18</v>
      </c>
      <c r="C74" s="1000"/>
      <c r="D74" s="140" t="s">
        <v>16</v>
      </c>
      <c r="E74" s="85">
        <f t="shared" ref="E74:J74" si="22">SUM(E75:E86)</f>
        <v>2919.9649700000004</v>
      </c>
      <c r="F74" s="141">
        <f t="shared" si="22"/>
        <v>295.67519999999996</v>
      </c>
      <c r="G74" s="141">
        <f t="shared" si="22"/>
        <v>187.52909999999997</v>
      </c>
      <c r="H74" s="141">
        <f t="shared" si="22"/>
        <v>2201.8106699999998</v>
      </c>
      <c r="I74" s="141">
        <f t="shared" si="22"/>
        <v>234.95</v>
      </c>
      <c r="J74" s="141">
        <f t="shared" si="22"/>
        <v>0</v>
      </c>
      <c r="K74" s="148">
        <v>0</v>
      </c>
      <c r="L74" s="497">
        <f t="shared" si="17"/>
        <v>2919.9649699999995</v>
      </c>
      <c r="M74" s="142"/>
      <c r="N74" s="143"/>
      <c r="O74" s="144"/>
      <c r="P74" s="495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146"/>
    </row>
    <row r="75" spans="1:58" s="82" customFormat="1" ht="13.5" customHeight="1">
      <c r="A75" s="927"/>
      <c r="B75" s="960"/>
      <c r="C75" s="1218"/>
      <c r="D75" s="84">
        <v>2019</v>
      </c>
      <c r="E75" s="85">
        <f t="shared" ref="E75:J75" si="23">E91+E132+E201+E203+E230+E239+E243+E245+E247+E251+E253+E257+E259+E261+E157+E232+E249+E255</f>
        <v>231.41260000000003</v>
      </c>
      <c r="F75" s="85">
        <f t="shared" si="23"/>
        <v>52.571899999999985</v>
      </c>
      <c r="G75" s="85">
        <f t="shared" si="23"/>
        <v>0</v>
      </c>
      <c r="H75" s="85">
        <f t="shared" si="23"/>
        <v>178.84070000000003</v>
      </c>
      <c r="I75" s="85">
        <f t="shared" si="23"/>
        <v>0</v>
      </c>
      <c r="J75" s="85">
        <f t="shared" si="23"/>
        <v>0</v>
      </c>
      <c r="K75" s="148">
        <v>0</v>
      </c>
      <c r="L75" s="497">
        <f t="shared" si="17"/>
        <v>231.4126</v>
      </c>
      <c r="M75" s="142"/>
      <c r="N75" s="88"/>
      <c r="O75" s="89"/>
      <c r="P75" s="477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2"/>
    </row>
    <row r="76" spans="1:58" s="82" customFormat="1" ht="13.5" customHeight="1">
      <c r="A76" s="927"/>
      <c r="B76" s="960"/>
      <c r="C76" s="1218"/>
      <c r="D76" s="84">
        <v>2020</v>
      </c>
      <c r="E76" s="85">
        <f t="shared" ref="E76:J76" si="24">E92+E133+E158+E167+E171+E175+E179+E198+E233+E240+E267+E272</f>
        <v>477.02160000000003</v>
      </c>
      <c r="F76" s="85">
        <f t="shared" si="24"/>
        <v>31.328599999999998</v>
      </c>
      <c r="G76" s="85">
        <f t="shared" si="24"/>
        <v>54.491300000000003</v>
      </c>
      <c r="H76" s="85">
        <f t="shared" si="24"/>
        <v>391.20170000000002</v>
      </c>
      <c r="I76" s="85">
        <f t="shared" si="24"/>
        <v>0</v>
      </c>
      <c r="J76" s="85">
        <f t="shared" si="24"/>
        <v>0</v>
      </c>
      <c r="K76" s="148">
        <v>0</v>
      </c>
      <c r="L76" s="473">
        <f>L92+L133+L158+L167+L171+L175+L179+L198+L233+L240+L267+L272</f>
        <v>477.02160000000003</v>
      </c>
      <c r="M76" s="142"/>
      <c r="N76" s="88"/>
      <c r="O76" s="89"/>
      <c r="P76" s="477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2"/>
    </row>
    <row r="77" spans="1:58" s="82" customFormat="1" ht="13.5" customHeight="1">
      <c r="A77" s="927"/>
      <c r="B77" s="960"/>
      <c r="C77" s="1218"/>
      <c r="D77" s="84">
        <v>2021</v>
      </c>
      <c r="E77" s="85">
        <f t="shared" ref="E77:J77" si="25">E93+E115+E134+E159+E199+E273+E269+E124+E168+E172+E176+E180+E182+E204+E241+E128</f>
        <v>758.3451</v>
      </c>
      <c r="F77" s="85">
        <f t="shared" si="25"/>
        <v>28.9434</v>
      </c>
      <c r="G77" s="85">
        <f t="shared" si="25"/>
        <v>132.74589999999998</v>
      </c>
      <c r="H77" s="85">
        <f t="shared" si="25"/>
        <v>361.70580000000001</v>
      </c>
      <c r="I77" s="85">
        <f t="shared" si="25"/>
        <v>234.95</v>
      </c>
      <c r="J77" s="85">
        <f t="shared" si="25"/>
        <v>0</v>
      </c>
      <c r="K77" s="148">
        <v>0</v>
      </c>
      <c r="L77" s="473">
        <f>F77+G77+H77+I77</f>
        <v>758.3451</v>
      </c>
      <c r="M77" s="142">
        <f>L77-E77</f>
        <v>0</v>
      </c>
      <c r="N77" s="88"/>
      <c r="O77" s="89"/>
      <c r="P77" s="477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2"/>
    </row>
    <row r="78" spans="1:58" s="82" customFormat="1" ht="13.5" customHeight="1">
      <c r="A78" s="927"/>
      <c r="B78" s="960"/>
      <c r="C78" s="1218"/>
      <c r="D78" s="84">
        <v>2022</v>
      </c>
      <c r="E78" s="85">
        <f t="shared" ref="E78:J78" si="26">E94+E110+E135+E270+E274+E125+E129+E155+E243+E245+E247+E255+E259</f>
        <v>29.999600000000001</v>
      </c>
      <c r="F78" s="85">
        <f t="shared" si="26"/>
        <v>14.637900000000002</v>
      </c>
      <c r="G78" s="85">
        <f t="shared" si="26"/>
        <v>0.29189999999999999</v>
      </c>
      <c r="H78" s="85">
        <f t="shared" si="26"/>
        <v>15.069799999999999</v>
      </c>
      <c r="I78" s="85">
        <f t="shared" si="26"/>
        <v>0</v>
      </c>
      <c r="J78" s="85">
        <f t="shared" si="26"/>
        <v>0</v>
      </c>
      <c r="K78" s="148">
        <v>0</v>
      </c>
      <c r="L78" s="497">
        <f>F78+G78+H78+I78+J78</f>
        <v>29.999600000000001</v>
      </c>
      <c r="M78" s="142"/>
      <c r="N78" s="88"/>
      <c r="O78" s="89"/>
      <c r="P78" s="477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2"/>
    </row>
    <row r="79" spans="1:58" s="82" customFormat="1" ht="13.5" customHeight="1">
      <c r="A79" s="927"/>
      <c r="B79" s="960"/>
      <c r="C79" s="1218"/>
      <c r="D79" s="84">
        <v>2023</v>
      </c>
      <c r="E79" s="85">
        <f t="shared" ref="E79:J79" si="27">E126+E130+E169+E173+E177+E249+E251+E253+E275+E261</f>
        <v>340.6755</v>
      </c>
      <c r="F79" s="85">
        <f t="shared" si="27"/>
        <v>21.775500000000005</v>
      </c>
      <c r="G79" s="85">
        <f t="shared" si="27"/>
        <v>0</v>
      </c>
      <c r="H79" s="85">
        <f t="shared" si="27"/>
        <v>318.89999999999998</v>
      </c>
      <c r="I79" s="85">
        <f t="shared" si="27"/>
        <v>0</v>
      </c>
      <c r="J79" s="85">
        <f t="shared" si="27"/>
        <v>0</v>
      </c>
      <c r="K79" s="148">
        <v>0</v>
      </c>
      <c r="L79" s="497">
        <f>F79+G79+H79+I79+J79</f>
        <v>340.6755</v>
      </c>
      <c r="M79" s="142"/>
      <c r="N79" s="88"/>
      <c r="O79" s="89"/>
      <c r="P79" s="477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2"/>
    </row>
    <row r="80" spans="1:58" s="82" customFormat="1" ht="13.5" customHeight="1">
      <c r="A80" s="927"/>
      <c r="B80" s="960"/>
      <c r="C80" s="1218"/>
      <c r="D80" s="84">
        <v>2024</v>
      </c>
      <c r="E80" s="85">
        <f t="shared" ref="E80:J80" si="28">E95+E107+E116+E191</f>
        <v>104.7225</v>
      </c>
      <c r="F80" s="85">
        <f t="shared" si="28"/>
        <v>6.9205000000000005</v>
      </c>
      <c r="G80" s="85">
        <f t="shared" si="28"/>
        <v>0</v>
      </c>
      <c r="H80" s="85">
        <f t="shared" si="28"/>
        <v>97.802000000000007</v>
      </c>
      <c r="I80" s="85">
        <f t="shared" si="28"/>
        <v>0</v>
      </c>
      <c r="J80" s="85">
        <f t="shared" si="28"/>
        <v>0</v>
      </c>
      <c r="K80" s="148">
        <v>0</v>
      </c>
      <c r="L80" s="473">
        <f>L95+L107+L116+L190</f>
        <v>282.72250000000008</v>
      </c>
      <c r="M80" s="142"/>
      <c r="N80" s="88"/>
      <c r="O80" s="89"/>
      <c r="P80" s="477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2"/>
    </row>
    <row r="81" spans="1:58" s="82" customFormat="1" ht="13.5" customHeight="1">
      <c r="A81" s="927"/>
      <c r="B81" s="960"/>
      <c r="C81" s="1218"/>
      <c r="D81" s="84">
        <v>2025</v>
      </c>
      <c r="E81" s="85">
        <f t="shared" ref="E81:J81" si="29">E192+E257</f>
        <v>153.11969999999999</v>
      </c>
      <c r="F81" s="85">
        <f t="shared" si="29"/>
        <v>10.6197</v>
      </c>
      <c r="G81" s="85">
        <f t="shared" si="29"/>
        <v>0</v>
      </c>
      <c r="H81" s="85">
        <f t="shared" si="29"/>
        <v>142.5</v>
      </c>
      <c r="I81" s="85">
        <f t="shared" si="29"/>
        <v>0</v>
      </c>
      <c r="J81" s="85">
        <f t="shared" si="29"/>
        <v>0</v>
      </c>
      <c r="K81" s="148">
        <v>0</v>
      </c>
      <c r="L81" s="497">
        <f t="shared" ref="L81:L112" si="30">F81+G81+H81+I81+J81</f>
        <v>153.11969999999999</v>
      </c>
      <c r="M81" s="142"/>
      <c r="N81" s="88"/>
      <c r="O81" s="89"/>
      <c r="P81" s="477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2"/>
    </row>
    <row r="82" spans="1:58" s="82" customFormat="1" ht="13.5" customHeight="1">
      <c r="A82" s="927"/>
      <c r="B82" s="960"/>
      <c r="C82" s="1218"/>
      <c r="D82" s="84">
        <v>2026</v>
      </c>
      <c r="E82" s="85">
        <f t="shared" ref="E82:J82" si="31">E88+E96+E100+E103+E117+E136+E161+E164+E188+E195+E206+E209+E212+E215+E218+E221+E224+E227+E235+E265+E263+E193</f>
        <v>213.0292</v>
      </c>
      <c r="F82" s="85">
        <f t="shared" si="31"/>
        <v>98.369200000000006</v>
      </c>
      <c r="G82" s="85">
        <f t="shared" si="31"/>
        <v>0</v>
      </c>
      <c r="H82" s="85">
        <f t="shared" si="31"/>
        <v>114.66</v>
      </c>
      <c r="I82" s="85">
        <f t="shared" si="31"/>
        <v>0</v>
      </c>
      <c r="J82" s="85">
        <f t="shared" si="31"/>
        <v>0</v>
      </c>
      <c r="K82" s="148">
        <v>0</v>
      </c>
      <c r="L82" s="497">
        <f t="shared" si="30"/>
        <v>213.0292</v>
      </c>
      <c r="M82" s="142"/>
      <c r="N82" s="88"/>
      <c r="O82" s="89"/>
      <c r="P82" s="477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2"/>
    </row>
    <row r="83" spans="1:58" s="82" customFormat="1" ht="13.5" customHeight="1">
      <c r="A83" s="927"/>
      <c r="B83" s="960"/>
      <c r="C83" s="1218"/>
      <c r="D83" s="84">
        <v>2027</v>
      </c>
      <c r="E83" s="85">
        <f t="shared" ref="E83:J83" si="32">E118+E145+E149+E162+E165+E189+E196+E207+E210+E213+E216+E219+E222+E225+E228+E236+E141</f>
        <v>452.2407</v>
      </c>
      <c r="F83" s="85">
        <f t="shared" si="32"/>
        <v>20.567599999999999</v>
      </c>
      <c r="G83" s="85">
        <f t="shared" si="32"/>
        <v>0</v>
      </c>
      <c r="H83" s="85">
        <f t="shared" si="32"/>
        <v>431.67309999999998</v>
      </c>
      <c r="I83" s="85">
        <f t="shared" si="32"/>
        <v>0</v>
      </c>
      <c r="J83" s="85">
        <f t="shared" si="32"/>
        <v>0</v>
      </c>
      <c r="K83" s="148">
        <v>0</v>
      </c>
      <c r="L83" s="497">
        <f t="shared" si="30"/>
        <v>452.24069999999995</v>
      </c>
      <c r="M83" s="142"/>
      <c r="N83" s="88"/>
      <c r="O83" s="89"/>
      <c r="P83" s="477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2"/>
    </row>
    <row r="84" spans="1:58" s="82" customFormat="1" ht="13.5" customHeight="1">
      <c r="A84" s="927"/>
      <c r="B84" s="960"/>
      <c r="C84" s="1218"/>
      <c r="D84" s="84">
        <v>2028</v>
      </c>
      <c r="E84" s="85">
        <f t="shared" ref="E84:J84" si="33">E97+E108+E138+E237</f>
        <v>156.98246999999998</v>
      </c>
      <c r="F84" s="85">
        <f t="shared" si="33"/>
        <v>7.5248999999999988</v>
      </c>
      <c r="G84" s="85">
        <f t="shared" si="33"/>
        <v>0</v>
      </c>
      <c r="H84" s="85">
        <f t="shared" si="33"/>
        <v>149.45756999999998</v>
      </c>
      <c r="I84" s="85">
        <f t="shared" si="33"/>
        <v>0</v>
      </c>
      <c r="J84" s="85">
        <f t="shared" si="33"/>
        <v>0</v>
      </c>
      <c r="K84" s="148">
        <v>0</v>
      </c>
      <c r="L84" s="497">
        <f t="shared" si="30"/>
        <v>156.98246999999998</v>
      </c>
      <c r="M84" s="142"/>
      <c r="N84" s="88"/>
      <c r="O84" s="89"/>
      <c r="P84" s="477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2"/>
    </row>
    <row r="85" spans="1:58" s="82" customFormat="1" ht="13.5" customHeight="1">
      <c r="A85" s="927"/>
      <c r="B85" s="960"/>
      <c r="C85" s="1218"/>
      <c r="D85" s="84">
        <v>2029</v>
      </c>
      <c r="E85" s="85">
        <f t="shared" ref="E85:J85" si="34">E186</f>
        <v>0</v>
      </c>
      <c r="F85" s="85">
        <f t="shared" si="34"/>
        <v>0</v>
      </c>
      <c r="G85" s="85">
        <f t="shared" si="34"/>
        <v>0</v>
      </c>
      <c r="H85" s="85">
        <f t="shared" si="34"/>
        <v>0</v>
      </c>
      <c r="I85" s="85">
        <f t="shared" si="34"/>
        <v>0</v>
      </c>
      <c r="J85" s="85">
        <f t="shared" si="34"/>
        <v>0</v>
      </c>
      <c r="K85" s="148">
        <v>0</v>
      </c>
      <c r="L85" s="497">
        <f t="shared" si="30"/>
        <v>0</v>
      </c>
      <c r="M85" s="142"/>
      <c r="N85" s="88"/>
      <c r="O85" s="89"/>
      <c r="P85" s="477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92"/>
    </row>
    <row r="86" spans="1:58" s="82" customFormat="1" ht="13.5" customHeight="1">
      <c r="A86" s="928"/>
      <c r="B86" s="961"/>
      <c r="C86" s="1219"/>
      <c r="D86" s="84">
        <v>2030</v>
      </c>
      <c r="E86" s="85">
        <f t="shared" ref="E86:J86" si="35">E89+E98+E101+E104+E109</f>
        <v>2.4159999999999999</v>
      </c>
      <c r="F86" s="85">
        <f t="shared" si="35"/>
        <v>2.4159999999999999</v>
      </c>
      <c r="G86" s="85">
        <f t="shared" si="35"/>
        <v>0</v>
      </c>
      <c r="H86" s="85">
        <f t="shared" si="35"/>
        <v>0</v>
      </c>
      <c r="I86" s="85">
        <f t="shared" si="35"/>
        <v>0</v>
      </c>
      <c r="J86" s="85">
        <f t="shared" si="35"/>
        <v>0</v>
      </c>
      <c r="K86" s="148">
        <v>0</v>
      </c>
      <c r="L86" s="497">
        <f t="shared" si="30"/>
        <v>2.4159999999999999</v>
      </c>
      <c r="M86" s="142"/>
      <c r="N86" s="88"/>
      <c r="O86" s="89"/>
      <c r="P86" s="477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2"/>
    </row>
    <row r="87" spans="1:58" s="82" customFormat="1" ht="12.75" customHeight="1">
      <c r="A87" s="1128" t="s">
        <v>366</v>
      </c>
      <c r="B87" s="1256" t="s">
        <v>367</v>
      </c>
      <c r="C87" s="640" t="s">
        <v>368</v>
      </c>
      <c r="D87" s="84" t="s">
        <v>16</v>
      </c>
      <c r="E87" s="85">
        <f t="shared" ref="E87:J87" si="36">E88+E89</f>
        <v>0.2</v>
      </c>
      <c r="F87" s="85">
        <f t="shared" si="36"/>
        <v>0.2</v>
      </c>
      <c r="G87" s="85">
        <f t="shared" si="36"/>
        <v>0</v>
      </c>
      <c r="H87" s="85">
        <f t="shared" si="36"/>
        <v>0</v>
      </c>
      <c r="I87" s="85">
        <f t="shared" si="36"/>
        <v>0</v>
      </c>
      <c r="J87" s="85">
        <f t="shared" si="36"/>
        <v>0</v>
      </c>
      <c r="K87" s="148">
        <v>0</v>
      </c>
      <c r="L87" s="497">
        <f t="shared" si="30"/>
        <v>0.2</v>
      </c>
      <c r="M87" s="150">
        <v>1</v>
      </c>
      <c r="N87" s="88"/>
      <c r="O87" s="89"/>
      <c r="P87" s="1242" t="s">
        <v>369</v>
      </c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2"/>
    </row>
    <row r="88" spans="1:58" s="82" customFormat="1" ht="15" customHeight="1">
      <c r="A88" s="1183"/>
      <c r="B88" s="1257"/>
      <c r="C88" s="641"/>
      <c r="D88" s="84">
        <v>2026</v>
      </c>
      <c r="E88" s="85">
        <f>F88+G88+H88+I88+J88</f>
        <v>0.1</v>
      </c>
      <c r="F88" s="85">
        <v>0.1</v>
      </c>
      <c r="G88" s="85">
        <v>0</v>
      </c>
      <c r="H88" s="85">
        <v>0</v>
      </c>
      <c r="I88" s="85">
        <v>0</v>
      </c>
      <c r="J88" s="85">
        <v>0</v>
      </c>
      <c r="K88" s="148">
        <v>0</v>
      </c>
      <c r="L88" s="497">
        <f t="shared" si="30"/>
        <v>0.1</v>
      </c>
      <c r="M88" s="150">
        <v>0.5</v>
      </c>
      <c r="N88" s="88"/>
      <c r="O88" s="89"/>
      <c r="P88" s="1264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2"/>
    </row>
    <row r="89" spans="1:58" s="82" customFormat="1">
      <c r="A89" s="1184"/>
      <c r="B89" s="1258"/>
      <c r="C89" s="643"/>
      <c r="D89" s="84">
        <v>2030</v>
      </c>
      <c r="E89" s="85">
        <f>F89+G89+H89+I89+J89</f>
        <v>0.1</v>
      </c>
      <c r="F89" s="85">
        <v>0.1</v>
      </c>
      <c r="G89" s="85">
        <v>0</v>
      </c>
      <c r="H89" s="85">
        <v>0</v>
      </c>
      <c r="I89" s="85">
        <v>0</v>
      </c>
      <c r="J89" s="85">
        <v>0</v>
      </c>
      <c r="K89" s="148">
        <v>0</v>
      </c>
      <c r="L89" s="497">
        <f t="shared" si="30"/>
        <v>0.1</v>
      </c>
      <c r="M89" s="150">
        <v>1</v>
      </c>
      <c r="N89" s="88"/>
      <c r="O89" s="89"/>
      <c r="P89" s="1264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2"/>
    </row>
    <row r="90" spans="1:58" s="82" customFormat="1" ht="23.25" customHeight="1">
      <c r="A90" s="1128" t="s">
        <v>370</v>
      </c>
      <c r="B90" s="1256" t="s">
        <v>371</v>
      </c>
      <c r="C90" s="611"/>
      <c r="D90" s="84" t="s">
        <v>16</v>
      </c>
      <c r="E90" s="85">
        <f t="shared" ref="E90:J90" si="37">E91+E92+E93+E94+E95+E96+E97+E98</f>
        <v>5.876199999999999</v>
      </c>
      <c r="F90" s="85">
        <f t="shared" si="37"/>
        <v>1.1124000000000001</v>
      </c>
      <c r="G90" s="85">
        <f t="shared" si="37"/>
        <v>0</v>
      </c>
      <c r="H90" s="85">
        <f t="shared" si="37"/>
        <v>4.7638000000000007</v>
      </c>
      <c r="I90" s="85">
        <f t="shared" si="37"/>
        <v>0</v>
      </c>
      <c r="J90" s="85">
        <f t="shared" si="37"/>
        <v>0</v>
      </c>
      <c r="K90" s="148">
        <v>0</v>
      </c>
      <c r="L90" s="497">
        <f t="shared" si="30"/>
        <v>5.8762000000000008</v>
      </c>
      <c r="M90" s="150">
        <v>1</v>
      </c>
      <c r="N90" s="88"/>
      <c r="O90" s="89"/>
      <c r="P90" s="1264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2"/>
    </row>
    <row r="91" spans="1:58" s="82" customFormat="1" ht="31.5" customHeight="1">
      <c r="A91" s="1183"/>
      <c r="B91" s="1259"/>
      <c r="C91" s="620" t="s">
        <v>372</v>
      </c>
      <c r="D91" s="84">
        <v>2019</v>
      </c>
      <c r="E91" s="85">
        <f>F91+G91+H91</f>
        <v>2.7176</v>
      </c>
      <c r="F91" s="85">
        <v>0.3533</v>
      </c>
      <c r="G91" s="85">
        <v>0</v>
      </c>
      <c r="H91" s="85">
        <v>2.3643000000000001</v>
      </c>
      <c r="I91" s="85">
        <v>0</v>
      </c>
      <c r="J91" s="85">
        <v>0</v>
      </c>
      <c r="K91" s="148">
        <v>0</v>
      </c>
      <c r="L91" s="497">
        <f t="shared" si="30"/>
        <v>2.7176</v>
      </c>
      <c r="M91" s="150"/>
      <c r="N91" s="88"/>
      <c r="O91" s="89"/>
      <c r="P91" s="1264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2"/>
    </row>
    <row r="92" spans="1:58" s="82" customFormat="1" ht="11.25" customHeight="1">
      <c r="A92" s="1183"/>
      <c r="B92" s="1259"/>
      <c r="C92" s="1224" t="s">
        <v>1101</v>
      </c>
      <c r="D92" s="84">
        <v>2020</v>
      </c>
      <c r="E92" s="85">
        <f>F92+G92+H92</f>
        <v>1.8151999999999999</v>
      </c>
      <c r="F92" s="85">
        <v>0.23630000000000001</v>
      </c>
      <c r="G92" s="85">
        <v>0</v>
      </c>
      <c r="H92" s="85">
        <v>1.5789</v>
      </c>
      <c r="I92" s="85">
        <v>0</v>
      </c>
      <c r="J92" s="85">
        <v>0</v>
      </c>
      <c r="K92" s="148">
        <v>0</v>
      </c>
      <c r="L92" s="497">
        <f t="shared" si="30"/>
        <v>1.8151999999999999</v>
      </c>
      <c r="M92" s="150"/>
      <c r="N92" s="88"/>
      <c r="O92" s="89"/>
      <c r="P92" s="1264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2"/>
    </row>
    <row r="93" spans="1:58" s="82" customFormat="1" ht="12.75" customHeight="1">
      <c r="A93" s="1183"/>
      <c r="B93" s="1259"/>
      <c r="C93" s="1225"/>
      <c r="D93" s="84">
        <v>2021</v>
      </c>
      <c r="E93" s="85">
        <f t="shared" ref="E93:E98" si="38">F93+G93+H93+I93+J93</f>
        <v>0.47170000000000001</v>
      </c>
      <c r="F93" s="85">
        <v>6.1400000000000003E-2</v>
      </c>
      <c r="G93" s="85">
        <v>0</v>
      </c>
      <c r="H93" s="85">
        <v>0.4103</v>
      </c>
      <c r="I93" s="85">
        <v>0</v>
      </c>
      <c r="J93" s="85">
        <v>0</v>
      </c>
      <c r="K93" s="148">
        <v>0</v>
      </c>
      <c r="L93" s="497">
        <f t="shared" si="30"/>
        <v>0.47170000000000001</v>
      </c>
      <c r="M93" s="150">
        <v>0.25</v>
      </c>
      <c r="N93" s="88"/>
      <c r="O93" s="89"/>
      <c r="P93" s="1264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2"/>
    </row>
    <row r="94" spans="1:58" s="82" customFormat="1">
      <c r="A94" s="1183"/>
      <c r="B94" s="1259"/>
      <c r="C94" s="1225"/>
      <c r="D94" s="84">
        <v>2022</v>
      </c>
      <c r="E94" s="85">
        <f t="shared" si="38"/>
        <v>0.47170000000000001</v>
      </c>
      <c r="F94" s="85">
        <v>6.1400000000000003E-2</v>
      </c>
      <c r="G94" s="85">
        <v>0</v>
      </c>
      <c r="H94" s="85">
        <v>0.4103</v>
      </c>
      <c r="I94" s="85">
        <v>0</v>
      </c>
      <c r="J94" s="85">
        <v>0</v>
      </c>
      <c r="K94" s="148">
        <v>0</v>
      </c>
      <c r="L94" s="497">
        <f t="shared" si="30"/>
        <v>0.47170000000000001</v>
      </c>
      <c r="M94" s="150">
        <v>0.4</v>
      </c>
      <c r="N94" s="88"/>
      <c r="O94" s="89"/>
      <c r="P94" s="1264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  <c r="BE94" s="91"/>
      <c r="BF94" s="92"/>
    </row>
    <row r="95" spans="1:58" s="82" customFormat="1">
      <c r="A95" s="1183"/>
      <c r="B95" s="1259"/>
      <c r="C95" s="1226"/>
      <c r="D95" s="84">
        <v>2024</v>
      </c>
      <c r="E95" s="85">
        <f t="shared" si="38"/>
        <v>0.1</v>
      </c>
      <c r="F95" s="85">
        <v>0.1</v>
      </c>
      <c r="G95" s="85">
        <v>0</v>
      </c>
      <c r="H95" s="85">
        <v>0</v>
      </c>
      <c r="I95" s="85">
        <v>0</v>
      </c>
      <c r="J95" s="85">
        <v>0</v>
      </c>
      <c r="K95" s="148">
        <v>0</v>
      </c>
      <c r="L95" s="497">
        <f t="shared" si="30"/>
        <v>0.1</v>
      </c>
      <c r="M95" s="150">
        <v>0.5</v>
      </c>
      <c r="N95" s="88"/>
      <c r="O95" s="89"/>
      <c r="P95" s="1264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  <c r="BF95" s="92"/>
    </row>
    <row r="96" spans="1:58" s="82" customFormat="1" ht="16.5" customHeight="1">
      <c r="A96" s="1183"/>
      <c r="B96" s="1259"/>
      <c r="C96" s="1224" t="s">
        <v>374</v>
      </c>
      <c r="D96" s="84">
        <v>2026</v>
      </c>
      <c r="E96" s="85">
        <f t="shared" si="38"/>
        <v>0.1</v>
      </c>
      <c r="F96" s="85">
        <v>0.1</v>
      </c>
      <c r="G96" s="85">
        <v>0</v>
      </c>
      <c r="H96" s="85">
        <v>0</v>
      </c>
      <c r="I96" s="85">
        <v>0</v>
      </c>
      <c r="J96" s="85">
        <v>0</v>
      </c>
      <c r="K96" s="148">
        <v>0</v>
      </c>
      <c r="L96" s="497">
        <f t="shared" si="30"/>
        <v>0.1</v>
      </c>
      <c r="M96" s="150">
        <v>0.6</v>
      </c>
      <c r="N96" s="88"/>
      <c r="O96" s="89"/>
      <c r="P96" s="1264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2"/>
    </row>
    <row r="97" spans="1:58" s="82" customFormat="1">
      <c r="A97" s="1183"/>
      <c r="B97" s="1259"/>
      <c r="C97" s="1225"/>
      <c r="D97" s="84">
        <v>2028</v>
      </c>
      <c r="E97" s="85">
        <f t="shared" si="38"/>
        <v>0.1</v>
      </c>
      <c r="F97" s="85">
        <v>0.1</v>
      </c>
      <c r="G97" s="85">
        <v>0</v>
      </c>
      <c r="H97" s="85">
        <v>0</v>
      </c>
      <c r="I97" s="85">
        <v>0</v>
      </c>
      <c r="J97" s="85">
        <v>0</v>
      </c>
      <c r="K97" s="148">
        <v>0</v>
      </c>
      <c r="L97" s="497">
        <f t="shared" si="30"/>
        <v>0.1</v>
      </c>
      <c r="M97" s="150">
        <v>0.8</v>
      </c>
      <c r="N97" s="88"/>
      <c r="O97" s="89"/>
      <c r="P97" s="1264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2"/>
    </row>
    <row r="98" spans="1:58" s="82" customFormat="1">
      <c r="A98" s="1184"/>
      <c r="B98" s="1260"/>
      <c r="C98" s="1226"/>
      <c r="D98" s="84">
        <v>2030</v>
      </c>
      <c r="E98" s="85">
        <f t="shared" si="38"/>
        <v>0.1</v>
      </c>
      <c r="F98" s="85">
        <v>0.1</v>
      </c>
      <c r="G98" s="85">
        <v>0</v>
      </c>
      <c r="H98" s="85">
        <v>0</v>
      </c>
      <c r="I98" s="85">
        <v>0</v>
      </c>
      <c r="J98" s="85">
        <v>0</v>
      </c>
      <c r="K98" s="148">
        <v>0</v>
      </c>
      <c r="L98" s="497">
        <f t="shared" si="30"/>
        <v>0.1</v>
      </c>
      <c r="M98" s="150">
        <v>1</v>
      </c>
      <c r="N98" s="88"/>
      <c r="O98" s="89"/>
      <c r="P98" s="1264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2"/>
    </row>
    <row r="99" spans="1:58" s="82" customFormat="1" ht="12.75" customHeight="1">
      <c r="A99" s="1128" t="s">
        <v>375</v>
      </c>
      <c r="B99" s="1246" t="s">
        <v>376</v>
      </c>
      <c r="C99" s="611"/>
      <c r="D99" s="84" t="s">
        <v>16</v>
      </c>
      <c r="E99" s="85">
        <f t="shared" ref="E99:J99" si="39">E100+E101</f>
        <v>0.216</v>
      </c>
      <c r="F99" s="85">
        <f t="shared" si="39"/>
        <v>0.216</v>
      </c>
      <c r="G99" s="85">
        <f t="shared" si="39"/>
        <v>0</v>
      </c>
      <c r="H99" s="85">
        <f t="shared" si="39"/>
        <v>0</v>
      </c>
      <c r="I99" s="85">
        <f t="shared" si="39"/>
        <v>0</v>
      </c>
      <c r="J99" s="85">
        <f t="shared" si="39"/>
        <v>0</v>
      </c>
      <c r="K99" s="148">
        <v>0</v>
      </c>
      <c r="L99" s="497">
        <f t="shared" si="30"/>
        <v>0.216</v>
      </c>
      <c r="M99" s="150">
        <v>1</v>
      </c>
      <c r="N99" s="88"/>
      <c r="O99" s="89"/>
      <c r="P99" s="1264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2"/>
    </row>
    <row r="100" spans="1:58" s="82" customFormat="1">
      <c r="A100" s="1183"/>
      <c r="B100" s="1247"/>
      <c r="C100" s="1224" t="s">
        <v>368</v>
      </c>
      <c r="D100" s="84">
        <v>2026</v>
      </c>
      <c r="E100" s="85">
        <f>F100+G100+H100+I100+J100</f>
        <v>0.108</v>
      </c>
      <c r="F100" s="85">
        <v>0.108</v>
      </c>
      <c r="G100" s="85">
        <v>0</v>
      </c>
      <c r="H100" s="85">
        <v>0</v>
      </c>
      <c r="I100" s="85">
        <v>0</v>
      </c>
      <c r="J100" s="85">
        <v>0</v>
      </c>
      <c r="K100" s="148">
        <v>0</v>
      </c>
      <c r="L100" s="497">
        <f t="shared" si="30"/>
        <v>0.108</v>
      </c>
      <c r="M100" s="150">
        <v>0.5</v>
      </c>
      <c r="N100" s="88"/>
      <c r="O100" s="89"/>
      <c r="P100" s="1264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2"/>
    </row>
    <row r="101" spans="1:58" s="82" customFormat="1" ht="30" customHeight="1">
      <c r="A101" s="1184"/>
      <c r="B101" s="1248"/>
      <c r="C101" s="1226"/>
      <c r="D101" s="84">
        <v>2030</v>
      </c>
      <c r="E101" s="85">
        <f>F101+G101+H101+I101+J101</f>
        <v>0.108</v>
      </c>
      <c r="F101" s="85">
        <v>0.108</v>
      </c>
      <c r="G101" s="85">
        <v>0</v>
      </c>
      <c r="H101" s="85">
        <v>0</v>
      </c>
      <c r="I101" s="85">
        <v>0</v>
      </c>
      <c r="J101" s="85">
        <v>0</v>
      </c>
      <c r="K101" s="148">
        <v>0</v>
      </c>
      <c r="L101" s="497">
        <f t="shared" si="30"/>
        <v>0.108</v>
      </c>
      <c r="M101" s="150">
        <v>1</v>
      </c>
      <c r="N101" s="88"/>
      <c r="O101" s="89"/>
      <c r="P101" s="1264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  <c r="BE101" s="91"/>
      <c r="BF101" s="92"/>
    </row>
    <row r="102" spans="1:58" s="82" customFormat="1">
      <c r="A102" s="1128" t="s">
        <v>377</v>
      </c>
      <c r="B102" s="1266" t="s">
        <v>378</v>
      </c>
      <c r="C102" s="1224" t="s">
        <v>379</v>
      </c>
      <c r="D102" s="84" t="s">
        <v>16</v>
      </c>
      <c r="E102" s="85">
        <f t="shared" ref="E102:J102" si="40">E103+E104</f>
        <v>0.216</v>
      </c>
      <c r="F102" s="85">
        <f t="shared" si="40"/>
        <v>0.216</v>
      </c>
      <c r="G102" s="85">
        <f t="shared" si="40"/>
        <v>0</v>
      </c>
      <c r="H102" s="85">
        <f t="shared" si="40"/>
        <v>0</v>
      </c>
      <c r="I102" s="85">
        <f t="shared" si="40"/>
        <v>0</v>
      </c>
      <c r="J102" s="85">
        <f t="shared" si="40"/>
        <v>0</v>
      </c>
      <c r="K102" s="148">
        <v>0</v>
      </c>
      <c r="L102" s="497">
        <f t="shared" si="30"/>
        <v>0.216</v>
      </c>
      <c r="M102" s="150">
        <v>1</v>
      </c>
      <c r="N102" s="88"/>
      <c r="O102" s="89"/>
      <c r="P102" s="1264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  <c r="BE102" s="91"/>
      <c r="BF102" s="92"/>
    </row>
    <row r="103" spans="1:58" s="82" customFormat="1">
      <c r="A103" s="1183"/>
      <c r="B103" s="1267"/>
      <c r="C103" s="1225"/>
      <c r="D103" s="84">
        <v>2026</v>
      </c>
      <c r="E103" s="85">
        <f>F103+G103+H103+I103+J103</f>
        <v>0.108</v>
      </c>
      <c r="F103" s="85">
        <v>0.108</v>
      </c>
      <c r="G103" s="85">
        <v>0</v>
      </c>
      <c r="H103" s="85">
        <v>0</v>
      </c>
      <c r="I103" s="85">
        <v>0</v>
      </c>
      <c r="J103" s="85">
        <v>0</v>
      </c>
      <c r="K103" s="148">
        <v>0</v>
      </c>
      <c r="L103" s="497">
        <f t="shared" si="30"/>
        <v>0.108</v>
      </c>
      <c r="M103" s="150">
        <v>0.5</v>
      </c>
      <c r="N103" s="88"/>
      <c r="O103" s="89"/>
      <c r="P103" s="1264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  <c r="BE103" s="91"/>
      <c r="BF103" s="92"/>
    </row>
    <row r="104" spans="1:58" s="82" customFormat="1" ht="54.75" customHeight="1">
      <c r="A104" s="1184"/>
      <c r="B104" s="1268"/>
      <c r="C104" s="1226"/>
      <c r="D104" s="84">
        <v>2030</v>
      </c>
      <c r="E104" s="85">
        <f>F104+G104+H104+I104+J104</f>
        <v>0.108</v>
      </c>
      <c r="F104" s="85">
        <v>0.108</v>
      </c>
      <c r="G104" s="85">
        <v>0</v>
      </c>
      <c r="H104" s="85">
        <v>0</v>
      </c>
      <c r="I104" s="85">
        <v>0</v>
      </c>
      <c r="J104" s="85">
        <v>0</v>
      </c>
      <c r="K104" s="148">
        <v>0</v>
      </c>
      <c r="L104" s="497">
        <f t="shared" si="30"/>
        <v>0.108</v>
      </c>
      <c r="M104" s="150">
        <v>1</v>
      </c>
      <c r="N104" s="88"/>
      <c r="O104" s="89"/>
      <c r="P104" s="1264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92"/>
    </row>
    <row r="105" spans="1:58" s="82" customFormat="1" ht="12.75" customHeight="1">
      <c r="A105" s="1210" t="s">
        <v>380</v>
      </c>
      <c r="B105" s="1269" t="s">
        <v>381</v>
      </c>
      <c r="C105" s="1262" t="s">
        <v>1101</v>
      </c>
      <c r="D105" s="84" t="s">
        <v>16</v>
      </c>
      <c r="E105" s="85">
        <f t="shared" ref="E105:J105" si="41">E106+E107+E108+E109</f>
        <v>5.5</v>
      </c>
      <c r="F105" s="85">
        <f t="shared" si="41"/>
        <v>5.5</v>
      </c>
      <c r="G105" s="85">
        <f t="shared" si="41"/>
        <v>0</v>
      </c>
      <c r="H105" s="85">
        <f t="shared" si="41"/>
        <v>0</v>
      </c>
      <c r="I105" s="85">
        <f t="shared" si="41"/>
        <v>0</v>
      </c>
      <c r="J105" s="85">
        <f t="shared" si="41"/>
        <v>0</v>
      </c>
      <c r="K105" s="148">
        <v>0</v>
      </c>
      <c r="L105" s="497">
        <f t="shared" si="30"/>
        <v>5.5</v>
      </c>
      <c r="M105" s="99"/>
      <c r="N105" s="88"/>
      <c r="O105" s="89"/>
      <c r="P105" s="1264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92"/>
    </row>
    <row r="106" spans="1:58" s="82" customFormat="1" ht="12.75" customHeight="1">
      <c r="A106" s="1227"/>
      <c r="B106" s="1270"/>
      <c r="C106" s="1263"/>
      <c r="D106" s="84">
        <v>2022</v>
      </c>
      <c r="E106" s="85">
        <f t="shared" ref="E106:E113" si="42">F106+G106+H106+I106+J106</f>
        <v>0</v>
      </c>
      <c r="F106" s="85">
        <f>F110</f>
        <v>0</v>
      </c>
      <c r="G106" s="85">
        <v>0</v>
      </c>
      <c r="H106" s="85">
        <v>0</v>
      </c>
      <c r="I106" s="85">
        <v>0</v>
      </c>
      <c r="J106" s="85">
        <v>0</v>
      </c>
      <c r="K106" s="148">
        <v>0</v>
      </c>
      <c r="L106" s="497">
        <f t="shared" si="30"/>
        <v>0</v>
      </c>
      <c r="M106" s="99"/>
      <c r="N106" s="88"/>
      <c r="O106" s="89"/>
      <c r="P106" s="1264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  <c r="BF106" s="92"/>
    </row>
    <row r="107" spans="1:58" s="82" customFormat="1" ht="18.75" customHeight="1">
      <c r="A107" s="1227"/>
      <c r="B107" s="1270"/>
      <c r="C107" s="1263"/>
      <c r="D107" s="84">
        <v>2024</v>
      </c>
      <c r="E107" s="85">
        <f t="shared" si="42"/>
        <v>1.5</v>
      </c>
      <c r="F107" s="85">
        <v>1.5</v>
      </c>
      <c r="G107" s="85">
        <v>0</v>
      </c>
      <c r="H107" s="85">
        <v>0</v>
      </c>
      <c r="I107" s="85">
        <v>0</v>
      </c>
      <c r="J107" s="85">
        <v>0</v>
      </c>
      <c r="K107" s="148">
        <v>0</v>
      </c>
      <c r="L107" s="497">
        <f t="shared" si="30"/>
        <v>1.5</v>
      </c>
      <c r="M107" s="99"/>
      <c r="N107" s="88"/>
      <c r="O107" s="89"/>
      <c r="P107" s="1264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1"/>
      <c r="BF107" s="92"/>
    </row>
    <row r="108" spans="1:58" s="82" customFormat="1" ht="15" customHeight="1">
      <c r="A108" s="1227"/>
      <c r="B108" s="1270"/>
      <c r="C108" s="1255" t="s">
        <v>368</v>
      </c>
      <c r="D108" s="84">
        <v>2028</v>
      </c>
      <c r="E108" s="85">
        <f t="shared" si="42"/>
        <v>2</v>
      </c>
      <c r="F108" s="85">
        <v>2</v>
      </c>
      <c r="G108" s="85">
        <v>0</v>
      </c>
      <c r="H108" s="85">
        <v>0</v>
      </c>
      <c r="I108" s="85">
        <v>0</v>
      </c>
      <c r="J108" s="85">
        <v>0</v>
      </c>
      <c r="K108" s="148">
        <v>0</v>
      </c>
      <c r="L108" s="497">
        <f t="shared" si="30"/>
        <v>2</v>
      </c>
      <c r="M108" s="99"/>
      <c r="N108" s="88"/>
      <c r="O108" s="89"/>
      <c r="P108" s="1264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  <c r="BE108" s="91"/>
      <c r="BF108" s="92"/>
    </row>
    <row r="109" spans="1:58" s="82" customFormat="1">
      <c r="A109" s="1227"/>
      <c r="B109" s="1270"/>
      <c r="C109" s="1255"/>
      <c r="D109" s="84">
        <v>2030</v>
      </c>
      <c r="E109" s="85">
        <f t="shared" si="42"/>
        <v>2</v>
      </c>
      <c r="F109" s="85">
        <v>2</v>
      </c>
      <c r="G109" s="85">
        <v>0</v>
      </c>
      <c r="H109" s="85">
        <v>0</v>
      </c>
      <c r="I109" s="85">
        <v>0</v>
      </c>
      <c r="J109" s="85">
        <v>0</v>
      </c>
      <c r="K109" s="148">
        <v>0</v>
      </c>
      <c r="L109" s="497">
        <f t="shared" si="30"/>
        <v>2</v>
      </c>
      <c r="M109" s="99"/>
      <c r="N109" s="88"/>
      <c r="O109" s="89"/>
      <c r="P109" s="1264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2"/>
    </row>
    <row r="110" spans="1:58" s="82" customFormat="1" ht="27" customHeight="1">
      <c r="A110" s="567" t="s">
        <v>383</v>
      </c>
      <c r="B110" s="649" t="s">
        <v>384</v>
      </c>
      <c r="C110" s="1255" t="s">
        <v>1101</v>
      </c>
      <c r="D110" s="84">
        <v>2022</v>
      </c>
      <c r="E110" s="85">
        <f t="shared" si="42"/>
        <v>0</v>
      </c>
      <c r="F110" s="85">
        <v>0</v>
      </c>
      <c r="G110" s="85">
        <v>0</v>
      </c>
      <c r="H110" s="85">
        <v>0</v>
      </c>
      <c r="I110" s="85">
        <v>0</v>
      </c>
      <c r="J110" s="85">
        <v>0</v>
      </c>
      <c r="K110" s="148">
        <v>0</v>
      </c>
      <c r="L110" s="497">
        <f t="shared" si="30"/>
        <v>0</v>
      </c>
      <c r="M110" s="99" t="s">
        <v>385</v>
      </c>
      <c r="N110" s="88"/>
      <c r="O110" s="89"/>
      <c r="P110" s="1264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  <c r="BE110" s="91"/>
      <c r="BF110" s="92"/>
    </row>
    <row r="111" spans="1:58" s="82" customFormat="1" ht="27.75" customHeight="1">
      <c r="A111" s="558" t="s">
        <v>386</v>
      </c>
      <c r="B111" s="645" t="s">
        <v>387</v>
      </c>
      <c r="C111" s="1255"/>
      <c r="D111" s="84">
        <v>2024</v>
      </c>
      <c r="E111" s="85">
        <f t="shared" si="42"/>
        <v>1.5</v>
      </c>
      <c r="F111" s="85">
        <v>1.5</v>
      </c>
      <c r="G111" s="85">
        <v>0</v>
      </c>
      <c r="H111" s="85">
        <v>0</v>
      </c>
      <c r="I111" s="85">
        <v>0</v>
      </c>
      <c r="J111" s="85">
        <v>0</v>
      </c>
      <c r="K111" s="148">
        <v>0</v>
      </c>
      <c r="L111" s="497">
        <f t="shared" si="30"/>
        <v>1.5</v>
      </c>
      <c r="M111" s="99" t="s">
        <v>385</v>
      </c>
      <c r="N111" s="88"/>
      <c r="O111" s="89"/>
      <c r="P111" s="1264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  <c r="BE111" s="91"/>
      <c r="BF111" s="92"/>
    </row>
    <row r="112" spans="1:58" s="82" customFormat="1" ht="25.5">
      <c r="A112" s="558" t="s">
        <v>388</v>
      </c>
      <c r="B112" s="645" t="s">
        <v>389</v>
      </c>
      <c r="C112" s="1255" t="s">
        <v>368</v>
      </c>
      <c r="D112" s="84">
        <v>2028</v>
      </c>
      <c r="E112" s="85">
        <f t="shared" si="42"/>
        <v>2</v>
      </c>
      <c r="F112" s="85">
        <v>2</v>
      </c>
      <c r="G112" s="85">
        <v>0</v>
      </c>
      <c r="H112" s="85">
        <v>0</v>
      </c>
      <c r="I112" s="85">
        <v>0</v>
      </c>
      <c r="J112" s="85">
        <v>0</v>
      </c>
      <c r="K112" s="148">
        <v>0</v>
      </c>
      <c r="L112" s="497">
        <f t="shared" si="30"/>
        <v>2</v>
      </c>
      <c r="M112" s="99" t="s">
        <v>385</v>
      </c>
      <c r="N112" s="88"/>
      <c r="O112" s="89"/>
      <c r="P112" s="1264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2"/>
    </row>
    <row r="113" spans="1:58" s="82" customFormat="1" ht="27" customHeight="1">
      <c r="A113" s="558" t="s">
        <v>390</v>
      </c>
      <c r="B113" s="645" t="s">
        <v>391</v>
      </c>
      <c r="C113" s="1255"/>
      <c r="D113" s="84">
        <v>2030</v>
      </c>
      <c r="E113" s="85">
        <f t="shared" si="42"/>
        <v>2</v>
      </c>
      <c r="F113" s="85">
        <v>2</v>
      </c>
      <c r="G113" s="85">
        <v>0</v>
      </c>
      <c r="H113" s="85">
        <v>0</v>
      </c>
      <c r="I113" s="85">
        <v>0</v>
      </c>
      <c r="J113" s="85">
        <v>0</v>
      </c>
      <c r="K113" s="148">
        <v>0</v>
      </c>
      <c r="L113" s="497">
        <f t="shared" ref="L113:L144" si="43">F113+G113+H113+I113+J113</f>
        <v>2</v>
      </c>
      <c r="M113" s="99" t="s">
        <v>385</v>
      </c>
      <c r="N113" s="88"/>
      <c r="O113" s="89"/>
      <c r="P113" s="1264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  <c r="BE113" s="91"/>
      <c r="BF113" s="92"/>
    </row>
    <row r="114" spans="1:58" s="82" customFormat="1" ht="12.75" customHeight="1">
      <c r="A114" s="1183" t="s">
        <v>392</v>
      </c>
      <c r="B114" s="1261" t="s">
        <v>393</v>
      </c>
      <c r="C114" s="1262" t="s">
        <v>1102</v>
      </c>
      <c r="D114" s="84" t="s">
        <v>16</v>
      </c>
      <c r="E114" s="85">
        <f t="shared" ref="E114:J114" si="44">E115+E116+E117+E118</f>
        <v>1.2239</v>
      </c>
      <c r="F114" s="85">
        <f t="shared" si="44"/>
        <v>1.2239</v>
      </c>
      <c r="G114" s="85">
        <f t="shared" si="44"/>
        <v>0</v>
      </c>
      <c r="H114" s="85">
        <f t="shared" si="44"/>
        <v>0</v>
      </c>
      <c r="I114" s="85">
        <f t="shared" si="44"/>
        <v>0</v>
      </c>
      <c r="J114" s="85">
        <f t="shared" si="44"/>
        <v>0</v>
      </c>
      <c r="K114" s="148">
        <v>0</v>
      </c>
      <c r="L114" s="497">
        <f t="shared" si="43"/>
        <v>1.2239</v>
      </c>
      <c r="M114" s="99"/>
      <c r="N114" s="88"/>
      <c r="O114" s="89"/>
      <c r="P114" s="1264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  <c r="BE114" s="91"/>
      <c r="BF114" s="92"/>
    </row>
    <row r="115" spans="1:58" s="82" customFormat="1">
      <c r="A115" s="1183"/>
      <c r="B115" s="1261"/>
      <c r="C115" s="1263"/>
      <c r="D115" s="84">
        <v>2021</v>
      </c>
      <c r="E115" s="85">
        <f t="shared" ref="E115:E126" si="45">F115+G115+H115+I115+J115</f>
        <v>8.09E-2</v>
      </c>
      <c r="F115" s="85">
        <f>F119</f>
        <v>8.09E-2</v>
      </c>
      <c r="G115" s="85">
        <v>0</v>
      </c>
      <c r="H115" s="85">
        <v>0</v>
      </c>
      <c r="I115" s="85">
        <v>0</v>
      </c>
      <c r="J115" s="85">
        <v>0</v>
      </c>
      <c r="K115" s="148">
        <v>0</v>
      </c>
      <c r="L115" s="497">
        <f t="shared" si="43"/>
        <v>8.09E-2</v>
      </c>
      <c r="M115" s="99"/>
      <c r="N115" s="88"/>
      <c r="O115" s="89"/>
      <c r="P115" s="1264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2"/>
    </row>
    <row r="116" spans="1:58" s="82" customFormat="1" ht="32.25" customHeight="1">
      <c r="A116" s="1183"/>
      <c r="B116" s="1261"/>
      <c r="C116" s="1263"/>
      <c r="D116" s="84">
        <v>2024</v>
      </c>
      <c r="E116" s="85">
        <f t="shared" si="45"/>
        <v>0.17299999999999999</v>
      </c>
      <c r="F116" s="85">
        <f>F120</f>
        <v>0.17299999999999999</v>
      </c>
      <c r="G116" s="85">
        <v>0</v>
      </c>
      <c r="H116" s="85">
        <v>0</v>
      </c>
      <c r="I116" s="85">
        <v>0</v>
      </c>
      <c r="J116" s="85">
        <v>0</v>
      </c>
      <c r="K116" s="148">
        <v>0</v>
      </c>
      <c r="L116" s="497">
        <f t="shared" si="43"/>
        <v>0.17299999999999999</v>
      </c>
      <c r="M116" s="99"/>
      <c r="N116" s="88"/>
      <c r="O116" s="89"/>
      <c r="P116" s="1264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2"/>
    </row>
    <row r="117" spans="1:58" s="82" customFormat="1">
      <c r="A117" s="1183"/>
      <c r="B117" s="1261"/>
      <c r="C117" s="1239" t="s">
        <v>1102</v>
      </c>
      <c r="D117" s="84">
        <v>2026</v>
      </c>
      <c r="E117" s="85">
        <f t="shared" si="45"/>
        <v>0.45</v>
      </c>
      <c r="F117" s="85">
        <f>F121</f>
        <v>0.45</v>
      </c>
      <c r="G117" s="85">
        <v>0</v>
      </c>
      <c r="H117" s="85">
        <v>0</v>
      </c>
      <c r="I117" s="85">
        <v>0</v>
      </c>
      <c r="J117" s="85">
        <v>0</v>
      </c>
      <c r="K117" s="148">
        <v>0</v>
      </c>
      <c r="L117" s="497">
        <f t="shared" si="43"/>
        <v>0.45</v>
      </c>
      <c r="M117" s="99"/>
      <c r="N117" s="88"/>
      <c r="O117" s="89"/>
      <c r="P117" s="1264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2"/>
    </row>
    <row r="118" spans="1:58" s="82" customFormat="1" ht="38.25" customHeight="1">
      <c r="A118" s="1183"/>
      <c r="B118" s="1261"/>
      <c r="C118" s="1241"/>
      <c r="D118" s="84">
        <v>2027</v>
      </c>
      <c r="E118" s="85">
        <f t="shared" si="45"/>
        <v>0.52</v>
      </c>
      <c r="F118" s="85">
        <v>0.52</v>
      </c>
      <c r="G118" s="85">
        <v>0</v>
      </c>
      <c r="H118" s="85">
        <v>0</v>
      </c>
      <c r="I118" s="85">
        <v>0</v>
      </c>
      <c r="J118" s="85">
        <v>0</v>
      </c>
      <c r="K118" s="148">
        <v>0</v>
      </c>
      <c r="L118" s="497">
        <f t="shared" si="43"/>
        <v>0.52</v>
      </c>
      <c r="M118" s="99"/>
      <c r="N118" s="88"/>
      <c r="O118" s="89"/>
      <c r="P118" s="1264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92"/>
    </row>
    <row r="119" spans="1:58" s="82" customFormat="1" ht="15.75" customHeight="1">
      <c r="A119" s="567" t="s">
        <v>395</v>
      </c>
      <c r="B119" s="390" t="s">
        <v>396</v>
      </c>
      <c r="C119" s="641"/>
      <c r="D119" s="84">
        <v>2021</v>
      </c>
      <c r="E119" s="85">
        <f t="shared" si="45"/>
        <v>8.09E-2</v>
      </c>
      <c r="F119" s="85">
        <v>8.09E-2</v>
      </c>
      <c r="G119" s="85">
        <v>0</v>
      </c>
      <c r="H119" s="85">
        <v>0</v>
      </c>
      <c r="I119" s="85">
        <v>0</v>
      </c>
      <c r="J119" s="85">
        <v>0</v>
      </c>
      <c r="K119" s="148">
        <v>0</v>
      </c>
      <c r="L119" s="497">
        <f t="shared" si="43"/>
        <v>8.09E-2</v>
      </c>
      <c r="M119" s="99"/>
      <c r="N119" s="88"/>
      <c r="O119" s="89"/>
      <c r="P119" s="1264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  <c r="BE119" s="91"/>
      <c r="BF119" s="92"/>
    </row>
    <row r="120" spans="1:58" s="82" customFormat="1" ht="15.75" customHeight="1">
      <c r="A120" s="567" t="s">
        <v>397</v>
      </c>
      <c r="B120" s="82" t="s">
        <v>398</v>
      </c>
      <c r="C120" s="641"/>
      <c r="D120" s="84">
        <v>2024</v>
      </c>
      <c r="E120" s="85">
        <f t="shared" si="45"/>
        <v>0.17299999999999999</v>
      </c>
      <c r="F120" s="85">
        <v>0.17299999999999999</v>
      </c>
      <c r="G120" s="85">
        <v>0</v>
      </c>
      <c r="H120" s="85">
        <v>0</v>
      </c>
      <c r="I120" s="85">
        <v>0</v>
      </c>
      <c r="J120" s="85">
        <v>0</v>
      </c>
      <c r="K120" s="148">
        <v>0</v>
      </c>
      <c r="L120" s="497">
        <f t="shared" si="43"/>
        <v>0.17299999999999999</v>
      </c>
      <c r="M120" s="99"/>
      <c r="N120" s="88"/>
      <c r="O120" s="89"/>
      <c r="P120" s="1264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  <c r="BE120" s="91"/>
      <c r="BF120" s="92"/>
    </row>
    <row r="121" spans="1:58" s="82" customFormat="1" ht="15.75" customHeight="1">
      <c r="A121" s="567" t="s">
        <v>399</v>
      </c>
      <c r="B121" s="82" t="s">
        <v>400</v>
      </c>
      <c r="C121" s="641"/>
      <c r="D121" s="84">
        <v>2026</v>
      </c>
      <c r="E121" s="85">
        <f t="shared" si="45"/>
        <v>0.45</v>
      </c>
      <c r="F121" s="85">
        <v>0.45</v>
      </c>
      <c r="G121" s="85">
        <v>0</v>
      </c>
      <c r="H121" s="85">
        <v>0</v>
      </c>
      <c r="I121" s="85">
        <v>0</v>
      </c>
      <c r="J121" s="85">
        <v>0</v>
      </c>
      <c r="K121" s="148">
        <v>0</v>
      </c>
      <c r="L121" s="497">
        <f t="shared" si="43"/>
        <v>0.45</v>
      </c>
      <c r="M121" s="99"/>
      <c r="N121" s="88"/>
      <c r="O121" s="89"/>
      <c r="P121" s="1264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91"/>
      <c r="BE121" s="91"/>
      <c r="BF121" s="92"/>
    </row>
    <row r="122" spans="1:58" s="82" customFormat="1" ht="14.25" customHeight="1">
      <c r="A122" s="567" t="s">
        <v>401</v>
      </c>
      <c r="B122" s="82" t="s">
        <v>402</v>
      </c>
      <c r="C122" s="643"/>
      <c r="D122" s="84">
        <v>2027</v>
      </c>
      <c r="E122" s="85">
        <f t="shared" si="45"/>
        <v>0.52</v>
      </c>
      <c r="F122" s="85">
        <v>0.52</v>
      </c>
      <c r="G122" s="85">
        <v>0</v>
      </c>
      <c r="H122" s="85">
        <v>0</v>
      </c>
      <c r="I122" s="85">
        <v>0</v>
      </c>
      <c r="J122" s="85">
        <v>0</v>
      </c>
      <c r="K122" s="148">
        <v>0</v>
      </c>
      <c r="L122" s="497">
        <f t="shared" si="43"/>
        <v>0.52</v>
      </c>
      <c r="M122" s="99"/>
      <c r="N122" s="88"/>
      <c r="O122" s="89"/>
      <c r="P122" s="1265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91"/>
      <c r="BE122" s="91"/>
      <c r="BF122" s="92"/>
    </row>
    <row r="123" spans="1:58" s="82" customFormat="1">
      <c r="A123" s="1249"/>
      <c r="B123" s="1224" t="s">
        <v>1104</v>
      </c>
      <c r="C123" s="1252" t="s">
        <v>1101</v>
      </c>
      <c r="D123" s="84" t="s">
        <v>16</v>
      </c>
      <c r="E123" s="85">
        <f t="shared" si="45"/>
        <v>15.75</v>
      </c>
      <c r="F123" s="85">
        <f>F124+F125+F126</f>
        <v>15.75</v>
      </c>
      <c r="G123" s="85">
        <f>G124+G125+G126</f>
        <v>0</v>
      </c>
      <c r="H123" s="85">
        <f>H124+H125+H126</f>
        <v>0</v>
      </c>
      <c r="I123" s="85">
        <f>I124+I125+I126</f>
        <v>0</v>
      </c>
      <c r="J123" s="85">
        <f>J124+J125+J126</f>
        <v>0</v>
      </c>
      <c r="K123" s="148">
        <v>0</v>
      </c>
      <c r="L123" s="497">
        <f t="shared" si="43"/>
        <v>15.75</v>
      </c>
      <c r="M123" s="137" t="s">
        <v>1105</v>
      </c>
      <c r="N123" s="88"/>
      <c r="O123" s="89"/>
      <c r="P123" s="1170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  <c r="BF123" s="92"/>
    </row>
    <row r="124" spans="1:58" s="82" customFormat="1">
      <c r="A124" s="1250"/>
      <c r="B124" s="1225"/>
      <c r="C124" s="1253"/>
      <c r="D124" s="84">
        <v>2021</v>
      </c>
      <c r="E124" s="85">
        <f t="shared" si="45"/>
        <v>2.625</v>
      </c>
      <c r="F124" s="85">
        <v>2.625</v>
      </c>
      <c r="G124" s="85">
        <v>0</v>
      </c>
      <c r="H124" s="85">
        <v>0</v>
      </c>
      <c r="I124" s="85">
        <v>0</v>
      </c>
      <c r="J124" s="85">
        <v>0</v>
      </c>
      <c r="K124" s="148">
        <v>0</v>
      </c>
      <c r="L124" s="497">
        <f t="shared" si="43"/>
        <v>2.625</v>
      </c>
      <c r="M124" s="136"/>
      <c r="N124" s="88"/>
      <c r="O124" s="89"/>
      <c r="P124" s="1218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2"/>
    </row>
    <row r="125" spans="1:58" s="82" customFormat="1">
      <c r="A125" s="1250"/>
      <c r="B125" s="1225"/>
      <c r="C125" s="1253"/>
      <c r="D125" s="84">
        <v>2022</v>
      </c>
      <c r="E125" s="85">
        <f t="shared" si="45"/>
        <v>2.625</v>
      </c>
      <c r="F125" s="85">
        <v>2.625</v>
      </c>
      <c r="G125" s="85">
        <v>0</v>
      </c>
      <c r="H125" s="85">
        <v>0</v>
      </c>
      <c r="I125" s="85">
        <v>0</v>
      </c>
      <c r="J125" s="85">
        <v>0</v>
      </c>
      <c r="K125" s="148">
        <v>0</v>
      </c>
      <c r="L125" s="497">
        <f t="shared" si="43"/>
        <v>2.625</v>
      </c>
      <c r="M125" s="136"/>
      <c r="N125" s="88"/>
      <c r="O125" s="89"/>
      <c r="P125" s="1218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  <c r="BF125" s="92"/>
    </row>
    <row r="126" spans="1:58" s="82" customFormat="1">
      <c r="A126" s="1251"/>
      <c r="B126" s="1226"/>
      <c r="C126" s="1254"/>
      <c r="D126" s="84">
        <v>2023</v>
      </c>
      <c r="E126" s="85">
        <f t="shared" si="45"/>
        <v>10.5</v>
      </c>
      <c r="F126" s="85">
        <v>10.5</v>
      </c>
      <c r="G126" s="85">
        <v>0</v>
      </c>
      <c r="H126" s="85">
        <v>0</v>
      </c>
      <c r="I126" s="85">
        <v>0</v>
      </c>
      <c r="J126" s="85">
        <v>0</v>
      </c>
      <c r="K126" s="148">
        <v>0</v>
      </c>
      <c r="L126" s="497">
        <f t="shared" si="43"/>
        <v>10.5</v>
      </c>
      <c r="M126" s="136"/>
      <c r="N126" s="88"/>
      <c r="O126" s="89"/>
      <c r="P126" s="1218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91"/>
      <c r="BE126" s="91"/>
      <c r="BF126" s="92"/>
    </row>
    <row r="127" spans="1:58" s="82" customFormat="1" ht="38.25">
      <c r="A127" s="1128"/>
      <c r="B127" s="503" t="s">
        <v>1107</v>
      </c>
      <c r="C127" s="1252" t="s">
        <v>1101</v>
      </c>
      <c r="D127" s="84" t="s">
        <v>16</v>
      </c>
      <c r="E127" s="85">
        <f t="shared" ref="E127:J127" si="46">E128+E129+E130</f>
        <v>0.89999999999999991</v>
      </c>
      <c r="F127" s="85">
        <f t="shared" si="46"/>
        <v>0.89999999999999991</v>
      </c>
      <c r="G127" s="85">
        <f t="shared" si="46"/>
        <v>0</v>
      </c>
      <c r="H127" s="85">
        <f t="shared" si="46"/>
        <v>0</v>
      </c>
      <c r="I127" s="85">
        <f t="shared" si="46"/>
        <v>0</v>
      </c>
      <c r="J127" s="85">
        <f t="shared" si="46"/>
        <v>0</v>
      </c>
      <c r="K127" s="148">
        <v>0</v>
      </c>
      <c r="L127" s="497">
        <f t="shared" si="43"/>
        <v>0.89999999999999991</v>
      </c>
      <c r="M127" s="651" t="s">
        <v>1108</v>
      </c>
      <c r="N127" s="88"/>
      <c r="O127" s="89"/>
      <c r="P127" s="1218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/>
      <c r="BE127" s="91"/>
      <c r="BF127" s="92"/>
    </row>
    <row r="128" spans="1:58" s="82" customFormat="1">
      <c r="A128" s="1183"/>
      <c r="B128" s="503"/>
      <c r="C128" s="1253"/>
      <c r="D128" s="84">
        <v>2021</v>
      </c>
      <c r="E128" s="85">
        <f>F128</f>
        <v>0.3</v>
      </c>
      <c r="F128" s="85">
        <v>0.3</v>
      </c>
      <c r="G128" s="85">
        <v>0</v>
      </c>
      <c r="H128" s="85">
        <v>0</v>
      </c>
      <c r="I128" s="85">
        <v>0</v>
      </c>
      <c r="J128" s="85">
        <v>0</v>
      </c>
      <c r="K128" s="148">
        <v>0</v>
      </c>
      <c r="L128" s="497">
        <f t="shared" si="43"/>
        <v>0.3</v>
      </c>
      <c r="M128" s="99"/>
      <c r="N128" s="88"/>
      <c r="O128" s="89"/>
      <c r="P128" s="1218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2"/>
    </row>
    <row r="129" spans="1:58" s="82" customFormat="1">
      <c r="A129" s="1183"/>
      <c r="B129" s="503"/>
      <c r="C129" s="1253"/>
      <c r="D129" s="84">
        <v>2022</v>
      </c>
      <c r="E129" s="85">
        <f>F129</f>
        <v>0.3</v>
      </c>
      <c r="F129" s="85">
        <v>0.3</v>
      </c>
      <c r="G129" s="85">
        <v>0</v>
      </c>
      <c r="H129" s="85">
        <v>0</v>
      </c>
      <c r="I129" s="85">
        <v>0</v>
      </c>
      <c r="J129" s="85">
        <v>0</v>
      </c>
      <c r="K129" s="148">
        <v>0</v>
      </c>
      <c r="L129" s="497">
        <f t="shared" si="43"/>
        <v>0.3</v>
      </c>
      <c r="M129" s="99"/>
      <c r="N129" s="88"/>
      <c r="O129" s="89"/>
      <c r="P129" s="1218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91"/>
      <c r="BE129" s="91"/>
      <c r="BF129" s="92"/>
    </row>
    <row r="130" spans="1:58" s="82" customFormat="1">
      <c r="A130" s="1184"/>
      <c r="B130" s="503"/>
      <c r="C130" s="1253"/>
      <c r="D130" s="84">
        <v>2023</v>
      </c>
      <c r="E130" s="85">
        <f>F130</f>
        <v>0.3</v>
      </c>
      <c r="F130" s="85">
        <v>0.3</v>
      </c>
      <c r="G130" s="85">
        <v>0</v>
      </c>
      <c r="H130" s="85">
        <v>0</v>
      </c>
      <c r="I130" s="85">
        <v>0</v>
      </c>
      <c r="J130" s="85">
        <v>0</v>
      </c>
      <c r="K130" s="148">
        <v>0</v>
      </c>
      <c r="L130" s="497">
        <f t="shared" si="43"/>
        <v>0.3</v>
      </c>
      <c r="M130" s="99"/>
      <c r="N130" s="88"/>
      <c r="O130" s="89"/>
      <c r="P130" s="1219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91"/>
      <c r="BE130" s="91"/>
      <c r="BF130" s="92"/>
    </row>
    <row r="131" spans="1:58" s="82" customFormat="1" ht="12.75" customHeight="1">
      <c r="A131" s="1128" t="s">
        <v>403</v>
      </c>
      <c r="B131" s="1080" t="s">
        <v>404</v>
      </c>
      <c r="C131" s="611"/>
      <c r="D131" s="84" t="s">
        <v>16</v>
      </c>
      <c r="E131" s="85">
        <f t="shared" ref="E131:J131" si="47">E133+E134+E135+E136+E137+E138+E132</f>
        <v>261.48500000000001</v>
      </c>
      <c r="F131" s="85">
        <f t="shared" si="47"/>
        <v>46.726999999999997</v>
      </c>
      <c r="G131" s="85">
        <f t="shared" si="47"/>
        <v>0</v>
      </c>
      <c r="H131" s="85">
        <f t="shared" si="47"/>
        <v>214.75799999999998</v>
      </c>
      <c r="I131" s="85">
        <f t="shared" si="47"/>
        <v>0</v>
      </c>
      <c r="J131" s="85">
        <f t="shared" si="47"/>
        <v>0</v>
      </c>
      <c r="K131" s="148">
        <v>0</v>
      </c>
      <c r="L131" s="497">
        <f t="shared" si="43"/>
        <v>261.48499999999996</v>
      </c>
      <c r="M131" s="99"/>
      <c r="N131" s="88"/>
      <c r="O131" s="89"/>
      <c r="P131" s="1242" t="s">
        <v>405</v>
      </c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91"/>
      <c r="BE131" s="91"/>
      <c r="BF131" s="92"/>
    </row>
    <row r="132" spans="1:58" s="82" customFormat="1" ht="24.75" customHeight="1">
      <c r="A132" s="1183"/>
      <c r="B132" s="1261"/>
      <c r="C132" s="620" t="s">
        <v>372</v>
      </c>
      <c r="D132" s="84">
        <v>2019</v>
      </c>
      <c r="E132" s="85">
        <f t="shared" ref="E132:J135" si="48">E152</f>
        <v>12.5</v>
      </c>
      <c r="F132" s="85">
        <f t="shared" si="48"/>
        <v>12.5</v>
      </c>
      <c r="G132" s="85">
        <f t="shared" si="48"/>
        <v>0</v>
      </c>
      <c r="H132" s="85">
        <f t="shared" si="48"/>
        <v>0</v>
      </c>
      <c r="I132" s="85">
        <f t="shared" si="48"/>
        <v>0</v>
      </c>
      <c r="J132" s="85">
        <f t="shared" si="48"/>
        <v>0</v>
      </c>
      <c r="K132" s="148">
        <v>0</v>
      </c>
      <c r="L132" s="497">
        <f t="shared" si="43"/>
        <v>12.5</v>
      </c>
      <c r="M132" s="99"/>
      <c r="N132" s="88"/>
      <c r="O132" s="89"/>
      <c r="P132" s="1264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2"/>
    </row>
    <row r="133" spans="1:58" s="82" customFormat="1" ht="12.75" customHeight="1">
      <c r="A133" s="1183"/>
      <c r="B133" s="1261"/>
      <c r="C133" s="1224" t="s">
        <v>1101</v>
      </c>
      <c r="D133" s="84">
        <v>2020</v>
      </c>
      <c r="E133" s="85">
        <f t="shared" si="48"/>
        <v>2.9849999999999999</v>
      </c>
      <c r="F133" s="85">
        <f t="shared" si="48"/>
        <v>2.9849999999999999</v>
      </c>
      <c r="G133" s="85">
        <f t="shared" si="48"/>
        <v>0</v>
      </c>
      <c r="H133" s="85">
        <f t="shared" si="48"/>
        <v>0</v>
      </c>
      <c r="I133" s="85">
        <f t="shared" si="48"/>
        <v>0</v>
      </c>
      <c r="J133" s="85">
        <f t="shared" si="48"/>
        <v>0</v>
      </c>
      <c r="K133" s="148">
        <v>0</v>
      </c>
      <c r="L133" s="497">
        <f t="shared" si="43"/>
        <v>2.9849999999999999</v>
      </c>
      <c r="M133" s="99"/>
      <c r="N133" s="88"/>
      <c r="O133" s="89"/>
      <c r="P133" s="1264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2"/>
    </row>
    <row r="134" spans="1:58" s="82" customFormat="1">
      <c r="A134" s="1271"/>
      <c r="B134" s="960"/>
      <c r="C134" s="1225"/>
      <c r="D134" s="84">
        <v>2021</v>
      </c>
      <c r="E134" s="85">
        <f t="shared" si="48"/>
        <v>0</v>
      </c>
      <c r="F134" s="85">
        <f t="shared" si="48"/>
        <v>0</v>
      </c>
      <c r="G134" s="85">
        <f t="shared" si="48"/>
        <v>0</v>
      </c>
      <c r="H134" s="85">
        <f t="shared" si="48"/>
        <v>0</v>
      </c>
      <c r="I134" s="85">
        <f t="shared" si="48"/>
        <v>0</v>
      </c>
      <c r="J134" s="85">
        <f t="shared" si="48"/>
        <v>0</v>
      </c>
      <c r="K134" s="148">
        <v>0</v>
      </c>
      <c r="L134" s="497">
        <f t="shared" si="43"/>
        <v>0</v>
      </c>
      <c r="M134" s="99"/>
      <c r="N134" s="88"/>
      <c r="O134" s="89"/>
      <c r="P134" s="1264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2"/>
    </row>
    <row r="135" spans="1:58" s="82" customFormat="1">
      <c r="A135" s="1271"/>
      <c r="B135" s="960"/>
      <c r="C135" s="1225"/>
      <c r="D135" s="84">
        <v>2022</v>
      </c>
      <c r="E135" s="85">
        <f t="shared" si="48"/>
        <v>0</v>
      </c>
      <c r="F135" s="85">
        <f t="shared" si="48"/>
        <v>0</v>
      </c>
      <c r="G135" s="85">
        <f t="shared" si="48"/>
        <v>0</v>
      </c>
      <c r="H135" s="85">
        <f t="shared" si="48"/>
        <v>0</v>
      </c>
      <c r="I135" s="85">
        <f t="shared" si="48"/>
        <v>0</v>
      </c>
      <c r="J135" s="85">
        <f t="shared" si="48"/>
        <v>0</v>
      </c>
      <c r="K135" s="148">
        <v>0</v>
      </c>
      <c r="L135" s="497">
        <f t="shared" si="43"/>
        <v>0</v>
      </c>
      <c r="M135" s="99"/>
      <c r="N135" s="88"/>
      <c r="O135" s="89"/>
      <c r="P135" s="1264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/>
      <c r="BE135" s="91"/>
      <c r="BF135" s="92"/>
    </row>
    <row r="136" spans="1:58" s="82" customFormat="1">
      <c r="A136" s="1271"/>
      <c r="B136" s="960"/>
      <c r="C136" s="1224" t="s">
        <v>407</v>
      </c>
      <c r="D136" s="84">
        <v>2026</v>
      </c>
      <c r="E136" s="85">
        <f t="shared" ref="E136:I138" si="49">E140+E144+E148</f>
        <v>24.599999999999998</v>
      </c>
      <c r="F136" s="85">
        <f t="shared" si="49"/>
        <v>24.599999999999998</v>
      </c>
      <c r="G136" s="85">
        <f t="shared" si="49"/>
        <v>0</v>
      </c>
      <c r="H136" s="85">
        <f t="shared" si="49"/>
        <v>0</v>
      </c>
      <c r="I136" s="85">
        <f t="shared" si="49"/>
        <v>0</v>
      </c>
      <c r="J136" s="85">
        <f>J146</f>
        <v>0</v>
      </c>
      <c r="K136" s="148">
        <v>0</v>
      </c>
      <c r="L136" s="497">
        <f t="shared" si="43"/>
        <v>24.599999999999998</v>
      </c>
      <c r="M136" s="99"/>
      <c r="N136" s="88"/>
      <c r="O136" s="89"/>
      <c r="P136" s="1264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2"/>
    </row>
    <row r="137" spans="1:58" s="82" customFormat="1">
      <c r="A137" s="652"/>
      <c r="B137" s="285"/>
      <c r="C137" s="1225"/>
      <c r="D137" s="84">
        <v>2027</v>
      </c>
      <c r="E137" s="85">
        <f t="shared" si="49"/>
        <v>110.69999999999999</v>
      </c>
      <c r="F137" s="85">
        <f t="shared" si="49"/>
        <v>3.3209999999999997</v>
      </c>
      <c r="G137" s="85">
        <f t="shared" si="49"/>
        <v>0</v>
      </c>
      <c r="H137" s="85">
        <f t="shared" si="49"/>
        <v>107.37899999999999</v>
      </c>
      <c r="I137" s="85">
        <f t="shared" si="49"/>
        <v>0</v>
      </c>
      <c r="J137" s="85">
        <f>J141+J145+J149</f>
        <v>0</v>
      </c>
      <c r="K137" s="148">
        <v>0</v>
      </c>
      <c r="L137" s="497">
        <f t="shared" si="43"/>
        <v>110.69999999999999</v>
      </c>
      <c r="M137" s="109"/>
      <c r="N137" s="88"/>
      <c r="O137" s="111"/>
      <c r="P137" s="1264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92"/>
    </row>
    <row r="138" spans="1:58" s="82" customFormat="1">
      <c r="A138" s="652"/>
      <c r="B138" s="285"/>
      <c r="C138" s="1226"/>
      <c r="D138" s="84">
        <v>2028</v>
      </c>
      <c r="E138" s="85">
        <f t="shared" si="49"/>
        <v>110.69999999999999</v>
      </c>
      <c r="F138" s="85">
        <f t="shared" si="49"/>
        <v>3.3209999999999997</v>
      </c>
      <c r="G138" s="85">
        <f t="shared" si="49"/>
        <v>0</v>
      </c>
      <c r="H138" s="85">
        <f t="shared" si="49"/>
        <v>107.37899999999999</v>
      </c>
      <c r="I138" s="85">
        <f t="shared" si="49"/>
        <v>0</v>
      </c>
      <c r="J138" s="85">
        <f>J142+J146+J150</f>
        <v>0</v>
      </c>
      <c r="K138" s="148">
        <v>0</v>
      </c>
      <c r="L138" s="497">
        <f t="shared" si="43"/>
        <v>110.69999999999999</v>
      </c>
      <c r="M138" s="109"/>
      <c r="N138" s="88"/>
      <c r="O138" s="111"/>
      <c r="P138" s="1264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  <c r="BF138" s="92"/>
    </row>
    <row r="139" spans="1:58" s="82" customFormat="1">
      <c r="A139" s="1128" t="s">
        <v>408</v>
      </c>
      <c r="B139" s="1256" t="s">
        <v>409</v>
      </c>
      <c r="C139" s="1245" t="s">
        <v>406</v>
      </c>
      <c r="D139" s="84" t="s">
        <v>16</v>
      </c>
      <c r="E139" s="85">
        <f t="shared" ref="E139:J139" si="50">E140+E141+E142</f>
        <v>82</v>
      </c>
      <c r="F139" s="85">
        <f t="shared" si="50"/>
        <v>10.413999999999998</v>
      </c>
      <c r="G139" s="85">
        <f t="shared" si="50"/>
        <v>0</v>
      </c>
      <c r="H139" s="85">
        <f t="shared" si="50"/>
        <v>71.585999999999999</v>
      </c>
      <c r="I139" s="85">
        <f t="shared" si="50"/>
        <v>0</v>
      </c>
      <c r="J139" s="85">
        <f t="shared" si="50"/>
        <v>0</v>
      </c>
      <c r="K139" s="148">
        <v>0</v>
      </c>
      <c r="L139" s="497">
        <f t="shared" si="43"/>
        <v>82</v>
      </c>
      <c r="M139" s="892" t="s">
        <v>410</v>
      </c>
      <c r="N139" s="195"/>
      <c r="O139" s="875">
        <v>10</v>
      </c>
      <c r="P139" s="1264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92"/>
    </row>
    <row r="140" spans="1:58" s="82" customFormat="1">
      <c r="A140" s="1183"/>
      <c r="B140" s="1257"/>
      <c r="C140" s="1245"/>
      <c r="D140" s="84">
        <v>2026</v>
      </c>
      <c r="E140" s="85">
        <f>F140+G140+H140+I140+J140+M140</f>
        <v>8.1999999999999993</v>
      </c>
      <c r="F140" s="85">
        <v>8.1999999999999993</v>
      </c>
      <c r="G140" s="85">
        <v>0</v>
      </c>
      <c r="H140" s="85">
        <v>0</v>
      </c>
      <c r="I140" s="85">
        <v>0</v>
      </c>
      <c r="J140" s="85">
        <v>0</v>
      </c>
      <c r="K140" s="148">
        <v>0</v>
      </c>
      <c r="L140" s="497">
        <f t="shared" si="43"/>
        <v>8.1999999999999993</v>
      </c>
      <c r="M140" s="989"/>
      <c r="N140" s="195"/>
      <c r="O140" s="876"/>
      <c r="P140" s="1264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2"/>
    </row>
    <row r="141" spans="1:58" s="82" customFormat="1">
      <c r="A141" s="1183"/>
      <c r="B141" s="1257"/>
      <c r="C141" s="1245"/>
      <c r="D141" s="84">
        <v>2027</v>
      </c>
      <c r="E141" s="85">
        <f>F141+G141+H141+I141+J141+M141</f>
        <v>36.9</v>
      </c>
      <c r="F141" s="85">
        <v>1.107</v>
      </c>
      <c r="G141" s="85">
        <v>0</v>
      </c>
      <c r="H141" s="85">
        <v>35.792999999999999</v>
      </c>
      <c r="I141" s="85">
        <v>0</v>
      </c>
      <c r="J141" s="85"/>
      <c r="K141" s="148">
        <v>0</v>
      </c>
      <c r="L141" s="497">
        <f t="shared" si="43"/>
        <v>36.9</v>
      </c>
      <c r="M141" s="653"/>
      <c r="N141" s="195"/>
      <c r="O141" s="200"/>
      <c r="P141" s="1264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2"/>
    </row>
    <row r="142" spans="1:58" s="82" customFormat="1">
      <c r="A142" s="942"/>
      <c r="B142" s="1258"/>
      <c r="C142" s="1245"/>
      <c r="D142" s="84">
        <v>2028</v>
      </c>
      <c r="E142" s="85">
        <f>F142+G142+H142+I142+J142+M142</f>
        <v>36.9</v>
      </c>
      <c r="F142" s="85">
        <v>1.107</v>
      </c>
      <c r="G142" s="85">
        <v>0</v>
      </c>
      <c r="H142" s="85">
        <v>35.792999999999999</v>
      </c>
      <c r="I142" s="85">
        <v>0</v>
      </c>
      <c r="J142" s="85">
        <v>0</v>
      </c>
      <c r="K142" s="148">
        <v>0</v>
      </c>
      <c r="L142" s="497">
        <f t="shared" si="43"/>
        <v>36.9</v>
      </c>
      <c r="M142" s="653"/>
      <c r="N142" s="195"/>
      <c r="O142" s="200"/>
      <c r="P142" s="1264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  <c r="BF142" s="92"/>
    </row>
    <row r="143" spans="1:58" s="82" customFormat="1">
      <c r="A143" s="1128" t="s">
        <v>411</v>
      </c>
      <c r="B143" s="1256" t="s">
        <v>412</v>
      </c>
      <c r="C143" s="1224" t="s">
        <v>407</v>
      </c>
      <c r="D143" s="84" t="s">
        <v>16</v>
      </c>
      <c r="E143" s="85">
        <f t="shared" ref="E143:J143" si="51">E144+E145+E146</f>
        <v>82</v>
      </c>
      <c r="F143" s="85">
        <f t="shared" si="51"/>
        <v>10.413999999999998</v>
      </c>
      <c r="G143" s="85">
        <f t="shared" si="51"/>
        <v>0</v>
      </c>
      <c r="H143" s="85">
        <f t="shared" si="51"/>
        <v>71.585999999999999</v>
      </c>
      <c r="I143" s="85">
        <f t="shared" si="51"/>
        <v>0</v>
      </c>
      <c r="J143" s="85">
        <f t="shared" si="51"/>
        <v>0</v>
      </c>
      <c r="K143" s="148">
        <v>0</v>
      </c>
      <c r="L143" s="497">
        <f t="shared" si="43"/>
        <v>82</v>
      </c>
      <c r="M143" s="892" t="s">
        <v>410</v>
      </c>
      <c r="N143" s="90"/>
      <c r="O143" s="875"/>
      <c r="P143" s="1264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91"/>
      <c r="BE143" s="91"/>
      <c r="BF143" s="92"/>
    </row>
    <row r="144" spans="1:58" s="82" customFormat="1">
      <c r="A144" s="1183"/>
      <c r="B144" s="1259"/>
      <c r="C144" s="1225"/>
      <c r="D144" s="84">
        <v>2026</v>
      </c>
      <c r="E144" s="85">
        <f>F144+G144+H144+I144+J144+M144</f>
        <v>8.1999999999999993</v>
      </c>
      <c r="F144" s="85">
        <v>8.1999999999999993</v>
      </c>
      <c r="G144" s="85">
        <v>0</v>
      </c>
      <c r="H144" s="85">
        <v>0</v>
      </c>
      <c r="I144" s="85">
        <v>0</v>
      </c>
      <c r="J144" s="85">
        <v>0</v>
      </c>
      <c r="K144" s="148">
        <v>0</v>
      </c>
      <c r="L144" s="497">
        <f t="shared" si="43"/>
        <v>8.1999999999999993</v>
      </c>
      <c r="M144" s="1272"/>
      <c r="N144" s="90"/>
      <c r="O144" s="877"/>
      <c r="P144" s="1264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92"/>
    </row>
    <row r="145" spans="1:58" s="82" customFormat="1">
      <c r="A145" s="1183"/>
      <c r="B145" s="1259"/>
      <c r="C145" s="1225"/>
      <c r="D145" s="84">
        <v>2027</v>
      </c>
      <c r="E145" s="85">
        <f>F145+G145+H145+I145+J145+M145</f>
        <v>36.9</v>
      </c>
      <c r="F145" s="85">
        <v>1.107</v>
      </c>
      <c r="G145" s="85">
        <v>0</v>
      </c>
      <c r="H145" s="85">
        <v>35.792999999999999</v>
      </c>
      <c r="I145" s="85">
        <v>0</v>
      </c>
      <c r="J145" s="85">
        <v>0</v>
      </c>
      <c r="K145" s="148">
        <v>0</v>
      </c>
      <c r="L145" s="497">
        <f t="shared" ref="L145:L169" si="52">F145+G145+H145+I145+J145</f>
        <v>36.9</v>
      </c>
      <c r="M145" s="1272"/>
      <c r="N145" s="90"/>
      <c r="O145" s="877"/>
      <c r="P145" s="1264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91"/>
      <c r="BE145" s="91"/>
      <c r="BF145" s="92"/>
    </row>
    <row r="146" spans="1:58" s="82" customFormat="1" ht="21.75" customHeight="1">
      <c r="A146" s="1184"/>
      <c r="B146" s="1260"/>
      <c r="C146" s="1226"/>
      <c r="D146" s="84">
        <v>2028</v>
      </c>
      <c r="E146" s="85">
        <f>F146+G146+H146+I146+J146+M146</f>
        <v>36.9</v>
      </c>
      <c r="F146" s="85">
        <v>1.107</v>
      </c>
      <c r="G146" s="85">
        <v>0</v>
      </c>
      <c r="H146" s="85">
        <v>35.792999999999999</v>
      </c>
      <c r="I146" s="85">
        <v>0</v>
      </c>
      <c r="J146" s="85">
        <v>0</v>
      </c>
      <c r="K146" s="148">
        <v>0</v>
      </c>
      <c r="L146" s="497">
        <f t="shared" si="52"/>
        <v>36.9</v>
      </c>
      <c r="M146" s="989"/>
      <c r="N146" s="90"/>
      <c r="O146" s="876"/>
      <c r="P146" s="1264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91"/>
      <c r="BE146" s="91"/>
      <c r="BF146" s="92"/>
    </row>
    <row r="147" spans="1:58" s="82" customFormat="1">
      <c r="A147" s="1128" t="s">
        <v>413</v>
      </c>
      <c r="B147" s="1256" t="s">
        <v>414</v>
      </c>
      <c r="C147" s="1224" t="s">
        <v>407</v>
      </c>
      <c r="D147" s="84" t="s">
        <v>16</v>
      </c>
      <c r="E147" s="85">
        <f t="shared" ref="E147:J147" si="53">E148+E149+E150</f>
        <v>82</v>
      </c>
      <c r="F147" s="85">
        <f t="shared" si="53"/>
        <v>10.413999999999998</v>
      </c>
      <c r="G147" s="85">
        <f t="shared" si="53"/>
        <v>0</v>
      </c>
      <c r="H147" s="85">
        <f t="shared" si="53"/>
        <v>71.585999999999999</v>
      </c>
      <c r="I147" s="85">
        <f t="shared" si="53"/>
        <v>0</v>
      </c>
      <c r="J147" s="85">
        <f t="shared" si="53"/>
        <v>0</v>
      </c>
      <c r="K147" s="148">
        <v>0</v>
      </c>
      <c r="L147" s="497">
        <f t="shared" si="52"/>
        <v>82</v>
      </c>
      <c r="M147" s="892" t="s">
        <v>410</v>
      </c>
      <c r="N147" s="90"/>
      <c r="O147" s="89"/>
      <c r="P147" s="1264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91"/>
      <c r="BE147" s="91"/>
      <c r="BF147" s="92"/>
    </row>
    <row r="148" spans="1:58" s="82" customFormat="1">
      <c r="A148" s="1183"/>
      <c r="B148" s="1259"/>
      <c r="C148" s="1225"/>
      <c r="D148" s="84">
        <v>2026</v>
      </c>
      <c r="E148" s="85">
        <f>F148+G148+H148+I148+J148+M148</f>
        <v>8.1999999999999993</v>
      </c>
      <c r="F148" s="85">
        <v>8.1999999999999993</v>
      </c>
      <c r="G148" s="85">
        <v>0</v>
      </c>
      <c r="H148" s="85">
        <v>0</v>
      </c>
      <c r="I148" s="85">
        <v>0</v>
      </c>
      <c r="J148" s="85">
        <v>0</v>
      </c>
      <c r="K148" s="148">
        <v>0</v>
      </c>
      <c r="L148" s="497">
        <f t="shared" si="52"/>
        <v>8.1999999999999993</v>
      </c>
      <c r="M148" s="1272"/>
      <c r="N148" s="90"/>
      <c r="O148" s="89"/>
      <c r="P148" s="1264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/>
      <c r="BE148" s="91"/>
      <c r="BF148" s="92"/>
    </row>
    <row r="149" spans="1:58" s="82" customFormat="1">
      <c r="A149" s="1183"/>
      <c r="B149" s="1259"/>
      <c r="C149" s="1225"/>
      <c r="D149" s="84">
        <v>2027</v>
      </c>
      <c r="E149" s="85">
        <f>F149+G149+H149+I149+J149+M149</f>
        <v>36.9</v>
      </c>
      <c r="F149" s="85">
        <v>1.107</v>
      </c>
      <c r="G149" s="85">
        <v>0</v>
      </c>
      <c r="H149" s="85">
        <v>35.792999999999999</v>
      </c>
      <c r="I149" s="85">
        <v>0</v>
      </c>
      <c r="J149" s="85">
        <v>0</v>
      </c>
      <c r="K149" s="148">
        <v>0</v>
      </c>
      <c r="L149" s="497">
        <f t="shared" si="52"/>
        <v>36.9</v>
      </c>
      <c r="M149" s="1272"/>
      <c r="N149" s="90"/>
      <c r="O149" s="89"/>
      <c r="P149" s="1264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2"/>
    </row>
    <row r="150" spans="1:58" s="82" customFormat="1">
      <c r="A150" s="1183"/>
      <c r="B150" s="1259"/>
      <c r="C150" s="1226"/>
      <c r="D150" s="84">
        <v>2028</v>
      </c>
      <c r="E150" s="85">
        <f>F150+G150+H150+I150+J150+M150</f>
        <v>36.9</v>
      </c>
      <c r="F150" s="85">
        <v>1.107</v>
      </c>
      <c r="G150" s="85">
        <v>0</v>
      </c>
      <c r="H150" s="85">
        <v>35.792999999999999</v>
      </c>
      <c r="I150" s="85">
        <v>0</v>
      </c>
      <c r="J150" s="85">
        <v>0</v>
      </c>
      <c r="K150" s="148">
        <v>0</v>
      </c>
      <c r="L150" s="497">
        <f t="shared" si="52"/>
        <v>36.9</v>
      </c>
      <c r="M150" s="1272"/>
      <c r="N150" s="90"/>
      <c r="O150" s="89"/>
      <c r="P150" s="1264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2"/>
    </row>
    <row r="151" spans="1:58" s="82" customFormat="1">
      <c r="A151" s="1128" t="s">
        <v>415</v>
      </c>
      <c r="B151" s="1256" t="s">
        <v>416</v>
      </c>
      <c r="C151" s="571"/>
      <c r="D151" s="84" t="s">
        <v>16</v>
      </c>
      <c r="E151" s="85">
        <f>E153+E154+E155+E152</f>
        <v>15.484999999999999</v>
      </c>
      <c r="F151" s="85">
        <f>F153+F154+F155+F152</f>
        <v>15.484999999999999</v>
      </c>
      <c r="G151" s="85">
        <f>G153+G154+G155+G152</f>
        <v>0</v>
      </c>
      <c r="H151" s="85">
        <f>H153+H154+H155+H152</f>
        <v>0</v>
      </c>
      <c r="I151" s="85">
        <f>I153+I154+I155</f>
        <v>0</v>
      </c>
      <c r="J151" s="85">
        <f>J153+J154+J155</f>
        <v>0</v>
      </c>
      <c r="K151" s="148">
        <v>0</v>
      </c>
      <c r="L151" s="497">
        <f t="shared" si="52"/>
        <v>15.484999999999999</v>
      </c>
      <c r="M151" s="943" t="s">
        <v>410</v>
      </c>
      <c r="N151" s="88"/>
      <c r="O151" s="875">
        <v>10</v>
      </c>
      <c r="P151" s="1264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2"/>
    </row>
    <row r="152" spans="1:58" s="82" customFormat="1" ht="37.5" customHeight="1">
      <c r="A152" s="1183"/>
      <c r="B152" s="1259"/>
      <c r="C152" s="634" t="s">
        <v>372</v>
      </c>
      <c r="D152" s="84">
        <v>2019</v>
      </c>
      <c r="E152" s="85">
        <f>F152</f>
        <v>12.5</v>
      </c>
      <c r="F152" s="85">
        <v>12.5</v>
      </c>
      <c r="G152" s="85">
        <v>0</v>
      </c>
      <c r="H152" s="85">
        <v>0</v>
      </c>
      <c r="I152" s="85">
        <v>0</v>
      </c>
      <c r="J152" s="85">
        <v>0</v>
      </c>
      <c r="K152" s="148">
        <v>0</v>
      </c>
      <c r="L152" s="497">
        <f t="shared" si="52"/>
        <v>12.5</v>
      </c>
      <c r="M152" s="970"/>
      <c r="N152" s="88"/>
      <c r="O152" s="877"/>
      <c r="P152" s="1264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2"/>
    </row>
    <row r="153" spans="1:58" s="82" customFormat="1">
      <c r="A153" s="1183"/>
      <c r="B153" s="1259"/>
      <c r="C153" s="1245" t="s">
        <v>1101</v>
      </c>
      <c r="D153" s="84">
        <v>2020</v>
      </c>
      <c r="E153" s="85">
        <f>F153+G153+H153+I153+J153</f>
        <v>2.9849999999999999</v>
      </c>
      <c r="F153" s="85">
        <v>2.9849999999999999</v>
      </c>
      <c r="G153" s="85">
        <v>0</v>
      </c>
      <c r="H153" s="85">
        <v>0</v>
      </c>
      <c r="I153" s="85">
        <v>0</v>
      </c>
      <c r="J153" s="85">
        <v>0</v>
      </c>
      <c r="K153" s="148">
        <v>0</v>
      </c>
      <c r="L153" s="497">
        <f t="shared" si="52"/>
        <v>2.9849999999999999</v>
      </c>
      <c r="M153" s="970"/>
      <c r="N153" s="88"/>
      <c r="O153" s="877"/>
      <c r="P153" s="1264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2"/>
    </row>
    <row r="154" spans="1:58" s="82" customFormat="1">
      <c r="A154" s="1183"/>
      <c r="B154" s="1259"/>
      <c r="C154" s="1245"/>
      <c r="D154" s="654">
        <v>2021</v>
      </c>
      <c r="E154" s="655">
        <f>F154+G154+H154+I154+J154</f>
        <v>0</v>
      </c>
      <c r="F154" s="655">
        <v>0</v>
      </c>
      <c r="G154" s="655">
        <v>0</v>
      </c>
      <c r="H154" s="655">
        <v>0</v>
      </c>
      <c r="I154" s="85">
        <v>0</v>
      </c>
      <c r="J154" s="85">
        <v>0</v>
      </c>
      <c r="K154" s="148">
        <v>0</v>
      </c>
      <c r="L154" s="497">
        <f t="shared" si="52"/>
        <v>0</v>
      </c>
      <c r="M154" s="970"/>
      <c r="N154" s="88"/>
      <c r="O154" s="877"/>
      <c r="P154" s="1264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2"/>
    </row>
    <row r="155" spans="1:58" s="82" customFormat="1">
      <c r="A155" s="1183"/>
      <c r="B155" s="1259"/>
      <c r="C155" s="1245"/>
      <c r="D155" s="654">
        <v>2022</v>
      </c>
      <c r="E155" s="655">
        <f>F155+G155+H155+I155+J155</f>
        <v>0</v>
      </c>
      <c r="F155" s="655">
        <v>0</v>
      </c>
      <c r="G155" s="655">
        <v>0</v>
      </c>
      <c r="H155" s="655">
        <v>0</v>
      </c>
      <c r="I155" s="85">
        <v>0</v>
      </c>
      <c r="J155" s="85">
        <v>0</v>
      </c>
      <c r="K155" s="148">
        <v>0</v>
      </c>
      <c r="L155" s="497">
        <f t="shared" si="52"/>
        <v>0</v>
      </c>
      <c r="M155" s="845"/>
      <c r="N155" s="88"/>
      <c r="O155" s="877"/>
      <c r="P155" s="1264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2"/>
    </row>
    <row r="156" spans="1:58" s="82" customFormat="1">
      <c r="A156" s="1128" t="s">
        <v>417</v>
      </c>
      <c r="B156" s="1256" t="s">
        <v>418</v>
      </c>
      <c r="C156" s="623"/>
      <c r="D156" s="84" t="s">
        <v>16</v>
      </c>
      <c r="E156" s="85">
        <f t="shared" ref="E156:J156" si="54">E157+E159+E158</f>
        <v>197.8946</v>
      </c>
      <c r="F156" s="85">
        <f t="shared" si="54"/>
        <v>4.2707000000000006</v>
      </c>
      <c r="G156" s="85">
        <f t="shared" si="54"/>
        <v>186.85059999999999</v>
      </c>
      <c r="H156" s="85">
        <f t="shared" si="54"/>
        <v>6.7732999999999999</v>
      </c>
      <c r="I156" s="85">
        <f t="shared" si="54"/>
        <v>0</v>
      </c>
      <c r="J156" s="85">
        <f t="shared" si="54"/>
        <v>0</v>
      </c>
      <c r="K156" s="148">
        <v>0</v>
      </c>
      <c r="L156" s="497">
        <f t="shared" si="52"/>
        <v>197.8946</v>
      </c>
      <c r="M156" s="895" t="s">
        <v>419</v>
      </c>
      <c r="N156" s="88"/>
      <c r="O156" s="875">
        <v>20</v>
      </c>
      <c r="P156" s="642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2"/>
    </row>
    <row r="157" spans="1:58" s="82" customFormat="1" ht="24" customHeight="1">
      <c r="A157" s="1183"/>
      <c r="B157" s="1259"/>
      <c r="C157" s="634" t="s">
        <v>372</v>
      </c>
      <c r="D157" s="84">
        <v>2019</v>
      </c>
      <c r="E157" s="85">
        <f>F157+G157+H157+I157+J157</f>
        <v>3.2585000000000002</v>
      </c>
      <c r="F157" s="85">
        <v>3.2585000000000002</v>
      </c>
      <c r="G157" s="85">
        <v>0</v>
      </c>
      <c r="H157" s="85">
        <v>0</v>
      </c>
      <c r="I157" s="85">
        <v>0</v>
      </c>
      <c r="J157" s="85">
        <v>0</v>
      </c>
      <c r="K157" s="148">
        <v>0</v>
      </c>
      <c r="L157" s="497">
        <f t="shared" si="52"/>
        <v>3.2585000000000002</v>
      </c>
      <c r="M157" s="896"/>
      <c r="N157" s="88"/>
      <c r="O157" s="877"/>
      <c r="P157" s="642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2"/>
    </row>
    <row r="158" spans="1:58" s="82" customFormat="1">
      <c r="A158" s="1183"/>
      <c r="B158" s="1259"/>
      <c r="C158" s="621"/>
      <c r="D158" s="84">
        <v>2020</v>
      </c>
      <c r="E158" s="85">
        <f>F158+G158+H158</f>
        <v>56.761800000000001</v>
      </c>
      <c r="F158" s="85">
        <v>0.29520000000000002</v>
      </c>
      <c r="G158" s="85">
        <v>54.491300000000003</v>
      </c>
      <c r="H158" s="85">
        <v>1.9753000000000001</v>
      </c>
      <c r="I158" s="85">
        <v>0</v>
      </c>
      <c r="J158" s="85">
        <v>0</v>
      </c>
      <c r="K158" s="148">
        <v>0</v>
      </c>
      <c r="L158" s="497">
        <f t="shared" si="52"/>
        <v>56.761800000000001</v>
      </c>
      <c r="M158" s="896"/>
      <c r="N158" s="88"/>
      <c r="O158" s="877"/>
      <c r="P158" s="642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2"/>
    </row>
    <row r="159" spans="1:58" s="82" customFormat="1" ht="27" customHeight="1">
      <c r="A159" s="1183"/>
      <c r="B159" s="1259"/>
      <c r="C159" s="621" t="s">
        <v>1101</v>
      </c>
      <c r="D159" s="84">
        <v>2021</v>
      </c>
      <c r="E159" s="85">
        <f>F159+G159+H159+I159+J159</f>
        <v>137.87430000000001</v>
      </c>
      <c r="F159" s="85">
        <v>0.71699999999999997</v>
      </c>
      <c r="G159" s="85">
        <v>132.35929999999999</v>
      </c>
      <c r="H159" s="85">
        <v>4.798</v>
      </c>
      <c r="I159" s="85">
        <v>0</v>
      </c>
      <c r="J159" s="85">
        <v>0</v>
      </c>
      <c r="K159" s="148">
        <v>0</v>
      </c>
      <c r="L159" s="497">
        <f t="shared" si="52"/>
        <v>137.87430000000001</v>
      </c>
      <c r="M159" s="896"/>
      <c r="N159" s="88"/>
      <c r="O159" s="877"/>
      <c r="P159" s="642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2"/>
    </row>
    <row r="160" spans="1:58" s="82" customFormat="1" ht="38.25" customHeight="1">
      <c r="A160" s="1128" t="s">
        <v>421</v>
      </c>
      <c r="B160" s="1256" t="s">
        <v>422</v>
      </c>
      <c r="C160" s="1224" t="s">
        <v>407</v>
      </c>
      <c r="D160" s="84" t="s">
        <v>16</v>
      </c>
      <c r="E160" s="85">
        <f t="shared" ref="E160:J160" si="55">E161+E162</f>
        <v>88</v>
      </c>
      <c r="F160" s="85">
        <f t="shared" si="55"/>
        <v>8.39</v>
      </c>
      <c r="G160" s="85">
        <f t="shared" si="55"/>
        <v>0</v>
      </c>
      <c r="H160" s="85">
        <f t="shared" si="55"/>
        <v>79.61</v>
      </c>
      <c r="I160" s="85">
        <f t="shared" si="55"/>
        <v>0</v>
      </c>
      <c r="J160" s="85">
        <f t="shared" si="55"/>
        <v>0</v>
      </c>
      <c r="K160" s="148">
        <v>0</v>
      </c>
      <c r="L160" s="497">
        <f t="shared" si="52"/>
        <v>88</v>
      </c>
      <c r="M160" s="895" t="s">
        <v>419</v>
      </c>
      <c r="N160" s="88"/>
      <c r="O160" s="875">
        <v>35</v>
      </c>
      <c r="P160" s="1264" t="s">
        <v>405</v>
      </c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2"/>
    </row>
    <row r="161" spans="1:58" s="82" customFormat="1">
      <c r="A161" s="1183"/>
      <c r="B161" s="1259"/>
      <c r="C161" s="1218"/>
      <c r="D161" s="84">
        <v>2026</v>
      </c>
      <c r="E161" s="85">
        <f>F161+G161+H161+I161+J161</f>
        <v>4.2</v>
      </c>
      <c r="F161" s="85">
        <v>4.2</v>
      </c>
      <c r="G161" s="85">
        <v>0</v>
      </c>
      <c r="H161" s="85">
        <v>0</v>
      </c>
      <c r="I161" s="85">
        <v>0</v>
      </c>
      <c r="J161" s="85">
        <v>0</v>
      </c>
      <c r="K161" s="148">
        <v>0</v>
      </c>
      <c r="L161" s="497">
        <f t="shared" si="52"/>
        <v>4.2</v>
      </c>
      <c r="M161" s="896"/>
      <c r="N161" s="88"/>
      <c r="O161" s="877"/>
      <c r="P161" s="1264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2"/>
    </row>
    <row r="162" spans="1:58" s="82" customFormat="1">
      <c r="A162" s="1184"/>
      <c r="B162" s="1260"/>
      <c r="C162" s="1219"/>
      <c r="D162" s="84">
        <v>2027</v>
      </c>
      <c r="E162" s="85">
        <f>F162+G162+H162+I162+J162</f>
        <v>83.8</v>
      </c>
      <c r="F162" s="85">
        <v>4.1900000000000004</v>
      </c>
      <c r="G162" s="85">
        <v>0</v>
      </c>
      <c r="H162" s="85">
        <v>79.61</v>
      </c>
      <c r="I162" s="85">
        <v>0</v>
      </c>
      <c r="J162" s="85">
        <v>0</v>
      </c>
      <c r="K162" s="148">
        <v>0</v>
      </c>
      <c r="L162" s="497">
        <f t="shared" si="52"/>
        <v>83.8</v>
      </c>
      <c r="M162" s="897"/>
      <c r="N162" s="88"/>
      <c r="O162" s="876"/>
      <c r="P162" s="1264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2"/>
    </row>
    <row r="163" spans="1:58" s="82" customFormat="1" ht="16.5" customHeight="1">
      <c r="A163" s="1128" t="s">
        <v>423</v>
      </c>
      <c r="B163" s="1256" t="s">
        <v>424</v>
      </c>
      <c r="C163" s="1262" t="s">
        <v>407</v>
      </c>
      <c r="D163" s="84" t="s">
        <v>16</v>
      </c>
      <c r="E163" s="85">
        <f t="shared" ref="E163:J163" si="56">E164+E165</f>
        <v>3.8</v>
      </c>
      <c r="F163" s="85">
        <f t="shared" si="56"/>
        <v>0.55000000000000004</v>
      </c>
      <c r="G163" s="85">
        <f t="shared" si="56"/>
        <v>0</v>
      </c>
      <c r="H163" s="85">
        <f t="shared" si="56"/>
        <v>3.25</v>
      </c>
      <c r="I163" s="85">
        <f t="shared" si="56"/>
        <v>0</v>
      </c>
      <c r="J163" s="85">
        <f t="shared" si="56"/>
        <v>0</v>
      </c>
      <c r="K163" s="148">
        <v>0</v>
      </c>
      <c r="L163" s="497">
        <f t="shared" si="52"/>
        <v>3.8</v>
      </c>
      <c r="M163" s="892" t="s">
        <v>425</v>
      </c>
      <c r="N163" s="88"/>
      <c r="O163" s="89"/>
      <c r="P163" s="1264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2"/>
    </row>
    <row r="164" spans="1:58" s="82" customFormat="1">
      <c r="A164" s="1183"/>
      <c r="B164" s="1259"/>
      <c r="C164" s="1263"/>
      <c r="D164" s="84">
        <v>2026</v>
      </c>
      <c r="E164" s="85">
        <f>F164+G164+H164+I164+J164</f>
        <v>0.38</v>
      </c>
      <c r="F164" s="85">
        <v>0.38</v>
      </c>
      <c r="G164" s="85">
        <v>0</v>
      </c>
      <c r="H164" s="85">
        <v>0</v>
      </c>
      <c r="I164" s="85">
        <v>0</v>
      </c>
      <c r="J164" s="85">
        <v>0</v>
      </c>
      <c r="K164" s="148">
        <v>0</v>
      </c>
      <c r="L164" s="497">
        <f t="shared" si="52"/>
        <v>0.38</v>
      </c>
      <c r="M164" s="941"/>
      <c r="N164" s="88"/>
      <c r="O164" s="89"/>
      <c r="P164" s="1264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2"/>
    </row>
    <row r="165" spans="1:58" s="82" customFormat="1">
      <c r="A165" s="942"/>
      <c r="B165" s="1260"/>
      <c r="C165" s="647"/>
      <c r="D165" s="84">
        <v>2027</v>
      </c>
      <c r="E165" s="85">
        <f>F165+G165+H165+I165+J165</f>
        <v>3.42</v>
      </c>
      <c r="F165" s="85">
        <v>0.17</v>
      </c>
      <c r="G165" s="85">
        <v>0</v>
      </c>
      <c r="H165" s="85">
        <f>3.42-F165</f>
        <v>3.25</v>
      </c>
      <c r="I165" s="85">
        <v>0</v>
      </c>
      <c r="J165" s="85">
        <v>0</v>
      </c>
      <c r="K165" s="148">
        <v>0</v>
      </c>
      <c r="L165" s="497">
        <f t="shared" si="52"/>
        <v>3.42</v>
      </c>
      <c r="M165" s="942"/>
      <c r="N165" s="88"/>
      <c r="O165" s="89"/>
      <c r="P165" s="1264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2"/>
    </row>
    <row r="166" spans="1:58" s="82" customFormat="1" ht="25.5" customHeight="1">
      <c r="A166" s="1128" t="s">
        <v>426</v>
      </c>
      <c r="B166" s="1275" t="s">
        <v>1120</v>
      </c>
      <c r="C166" s="1262" t="s">
        <v>1118</v>
      </c>
      <c r="D166" s="84" t="s">
        <v>429</v>
      </c>
      <c r="E166" s="85">
        <f t="shared" ref="E166:J166" si="57">E167+E168+E169</f>
        <v>103.56</v>
      </c>
      <c r="F166" s="85">
        <f t="shared" si="57"/>
        <v>1</v>
      </c>
      <c r="G166" s="85">
        <f t="shared" si="57"/>
        <v>0</v>
      </c>
      <c r="H166" s="85">
        <f t="shared" si="57"/>
        <v>102.56</v>
      </c>
      <c r="I166" s="85">
        <f t="shared" si="57"/>
        <v>0</v>
      </c>
      <c r="J166" s="85">
        <f t="shared" si="57"/>
        <v>0</v>
      </c>
      <c r="K166" s="148">
        <v>0</v>
      </c>
      <c r="L166" s="497">
        <f t="shared" si="52"/>
        <v>103.56</v>
      </c>
      <c r="M166" s="1227" t="s">
        <v>1121</v>
      </c>
      <c r="N166" s="88"/>
      <c r="O166" s="89"/>
      <c r="P166" s="1264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2"/>
    </row>
    <row r="167" spans="1:58" s="82" customFormat="1">
      <c r="A167" s="1183"/>
      <c r="B167" s="1276"/>
      <c r="C167" s="1263"/>
      <c r="D167" s="84">
        <v>2020</v>
      </c>
      <c r="E167" s="85">
        <f>F167+G167+H167+I167+J167</f>
        <v>0</v>
      </c>
      <c r="F167" s="141">
        <v>0</v>
      </c>
      <c r="G167" s="141">
        <v>0</v>
      </c>
      <c r="H167" s="141">
        <v>0</v>
      </c>
      <c r="I167" s="85">
        <v>0</v>
      </c>
      <c r="J167" s="85">
        <v>0</v>
      </c>
      <c r="K167" s="148">
        <v>0</v>
      </c>
      <c r="L167" s="497">
        <f t="shared" si="52"/>
        <v>0</v>
      </c>
      <c r="M167" s="1227"/>
      <c r="N167" s="88"/>
      <c r="O167" s="89"/>
      <c r="P167" s="1264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2"/>
    </row>
    <row r="168" spans="1:58" s="82" customFormat="1">
      <c r="A168" s="1183"/>
      <c r="B168" s="1276"/>
      <c r="C168" s="1263"/>
      <c r="D168" s="84">
        <v>2021</v>
      </c>
      <c r="E168" s="85">
        <f>F168+G168+H168+I168+J168</f>
        <v>2.56</v>
      </c>
      <c r="F168" s="115">
        <v>0</v>
      </c>
      <c r="G168" s="115">
        <v>0</v>
      </c>
      <c r="H168" s="85">
        <v>2.56</v>
      </c>
      <c r="I168" s="85">
        <v>0</v>
      </c>
      <c r="J168" s="85">
        <v>0</v>
      </c>
      <c r="K168" s="148">
        <v>0</v>
      </c>
      <c r="L168" s="497">
        <f t="shared" si="52"/>
        <v>2.56</v>
      </c>
      <c r="M168" s="1227"/>
      <c r="N168" s="88"/>
      <c r="O168" s="89"/>
      <c r="P168" s="1264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2"/>
    </row>
    <row r="169" spans="1:58" s="82" customFormat="1">
      <c r="A169" s="1184"/>
      <c r="B169" s="1277"/>
      <c r="C169" s="1263"/>
      <c r="D169" s="84">
        <v>2023</v>
      </c>
      <c r="E169" s="85">
        <f>F169+G169+H169+I169+J169</f>
        <v>101</v>
      </c>
      <c r="F169" s="115">
        <v>1</v>
      </c>
      <c r="G169" s="115">
        <v>0</v>
      </c>
      <c r="H169" s="85">
        <v>100</v>
      </c>
      <c r="I169" s="85">
        <v>0</v>
      </c>
      <c r="J169" s="85">
        <v>0</v>
      </c>
      <c r="K169" s="148">
        <v>0</v>
      </c>
      <c r="L169" s="497">
        <f t="shared" si="52"/>
        <v>101</v>
      </c>
      <c r="M169" s="1227"/>
      <c r="N169" s="88"/>
      <c r="O169" s="89"/>
      <c r="P169" s="1264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2"/>
    </row>
    <row r="170" spans="1:58" s="82" customFormat="1" ht="12.75" customHeight="1">
      <c r="A170" s="1278" t="s">
        <v>434</v>
      </c>
      <c r="B170" s="1275" t="s">
        <v>1395</v>
      </c>
      <c r="C170" s="1263"/>
      <c r="D170" s="84" t="s">
        <v>429</v>
      </c>
      <c r="E170" s="85">
        <f t="shared" ref="E170:J170" si="58">E171+E172+E173</f>
        <v>138.6575</v>
      </c>
      <c r="F170" s="85">
        <f t="shared" si="58"/>
        <v>1.3474999999999999</v>
      </c>
      <c r="G170" s="85">
        <f t="shared" si="58"/>
        <v>0</v>
      </c>
      <c r="H170" s="85">
        <f t="shared" si="58"/>
        <v>137.31</v>
      </c>
      <c r="I170" s="85">
        <f t="shared" si="58"/>
        <v>0</v>
      </c>
      <c r="J170" s="85">
        <f t="shared" si="58"/>
        <v>0</v>
      </c>
      <c r="K170" s="148">
        <v>0</v>
      </c>
      <c r="L170" s="473">
        <f>L171+L172+L173</f>
        <v>138.6575</v>
      </c>
      <c r="M170" s="227"/>
      <c r="N170" s="88"/>
      <c r="O170" s="89"/>
      <c r="P170" s="1264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2"/>
    </row>
    <row r="171" spans="1:58" s="82" customFormat="1">
      <c r="A171" s="1129"/>
      <c r="B171" s="1276"/>
      <c r="C171" s="1263"/>
      <c r="D171" s="84">
        <v>2020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5">
        <v>0</v>
      </c>
      <c r="K171" s="148">
        <v>0</v>
      </c>
      <c r="L171" s="497">
        <f>F171+G171+H171+I171+J171</f>
        <v>0</v>
      </c>
      <c r="M171" s="1279" t="s">
        <v>1121</v>
      </c>
      <c r="N171" s="88"/>
      <c r="O171" s="89"/>
      <c r="P171" s="1264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2"/>
    </row>
    <row r="172" spans="1:58" s="82" customFormat="1">
      <c r="A172" s="1129"/>
      <c r="B172" s="1276"/>
      <c r="C172" s="1263"/>
      <c r="D172" s="84">
        <v>2021</v>
      </c>
      <c r="E172" s="85">
        <f>F172+G172+H172+I172+J172</f>
        <v>2.56</v>
      </c>
      <c r="F172" s="85">
        <v>0</v>
      </c>
      <c r="G172" s="85">
        <v>0</v>
      </c>
      <c r="H172" s="85">
        <v>2.56</v>
      </c>
      <c r="I172" s="85">
        <v>0</v>
      </c>
      <c r="J172" s="85">
        <v>0</v>
      </c>
      <c r="K172" s="148">
        <v>0</v>
      </c>
      <c r="L172" s="497">
        <f>F172+G172+H172+I172+J172</f>
        <v>2.56</v>
      </c>
      <c r="M172" s="1279"/>
      <c r="N172" s="88"/>
      <c r="O172" s="89"/>
      <c r="P172" s="1264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2"/>
    </row>
    <row r="173" spans="1:58" s="82" customFormat="1">
      <c r="A173" s="1130"/>
      <c r="B173" s="1277"/>
      <c r="C173" s="1263"/>
      <c r="D173" s="84">
        <v>2023</v>
      </c>
      <c r="E173" s="85">
        <v>136.0975</v>
      </c>
      <c r="F173" s="85">
        <v>1.3474999999999999</v>
      </c>
      <c r="G173" s="85">
        <v>0</v>
      </c>
      <c r="H173" s="85">
        <v>134.75</v>
      </c>
      <c r="I173" s="85">
        <v>0</v>
      </c>
      <c r="J173" s="85">
        <v>0</v>
      </c>
      <c r="K173" s="148">
        <v>0</v>
      </c>
      <c r="L173" s="497">
        <f>F173+G173+H173+I173+J173</f>
        <v>136.0975</v>
      </c>
      <c r="M173" s="1280"/>
      <c r="N173" s="88"/>
      <c r="O173" s="89"/>
      <c r="P173" s="1264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2"/>
    </row>
    <row r="174" spans="1:58" s="82" customFormat="1" ht="25.5">
      <c r="A174" s="1128" t="s">
        <v>437</v>
      </c>
      <c r="B174" s="656" t="s">
        <v>438</v>
      </c>
      <c r="C174" s="1263"/>
      <c r="D174" s="84" t="s">
        <v>429</v>
      </c>
      <c r="E174" s="85">
        <f t="shared" ref="E174:J174" si="59">E175+E176+E177</f>
        <v>80.016499999999994</v>
      </c>
      <c r="F174" s="85">
        <f t="shared" si="59"/>
        <v>1.3474999999999999</v>
      </c>
      <c r="G174" s="85">
        <f t="shared" si="59"/>
        <v>0</v>
      </c>
      <c r="H174" s="85">
        <f t="shared" si="59"/>
        <v>78.668999999999997</v>
      </c>
      <c r="I174" s="85">
        <f t="shared" si="59"/>
        <v>0</v>
      </c>
      <c r="J174" s="85">
        <f t="shared" si="59"/>
        <v>0</v>
      </c>
      <c r="K174" s="148">
        <v>0</v>
      </c>
      <c r="L174" s="497">
        <f>F174+G174+H174+I174+J174</f>
        <v>80.016499999999994</v>
      </c>
      <c r="M174" s="227"/>
      <c r="N174" s="88"/>
      <c r="O174" s="89"/>
      <c r="P174" s="1264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2"/>
    </row>
    <row r="175" spans="1:58" s="82" customFormat="1">
      <c r="A175" s="1183"/>
      <c r="B175" s="657" t="s">
        <v>1396</v>
      </c>
      <c r="C175" s="1263"/>
      <c r="D175" s="84">
        <v>2020</v>
      </c>
      <c r="E175" s="85">
        <v>0</v>
      </c>
      <c r="F175" s="85">
        <v>0</v>
      </c>
      <c r="G175" s="85">
        <v>0</v>
      </c>
      <c r="H175" s="85">
        <v>0</v>
      </c>
      <c r="I175" s="85">
        <v>0</v>
      </c>
      <c r="J175" s="85">
        <v>0</v>
      </c>
      <c r="K175" s="148">
        <v>0</v>
      </c>
      <c r="L175" s="497">
        <f>F175+G175+H175+I175+J175</f>
        <v>0</v>
      </c>
      <c r="M175" s="227" t="s">
        <v>1124</v>
      </c>
      <c r="N175" s="88"/>
      <c r="O175" s="89"/>
      <c r="P175" s="1264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2"/>
    </row>
    <row r="176" spans="1:58" s="82" customFormat="1">
      <c r="A176" s="1183"/>
      <c r="B176" s="657"/>
      <c r="C176" s="1263"/>
      <c r="D176" s="84">
        <v>2021</v>
      </c>
      <c r="E176" s="85">
        <f>F176+G176+H176+I176+J176</f>
        <v>2.56</v>
      </c>
      <c r="F176" s="85">
        <v>0</v>
      </c>
      <c r="G176" s="85">
        <v>0</v>
      </c>
      <c r="H176" s="85">
        <v>2.56</v>
      </c>
      <c r="I176" s="85">
        <v>0</v>
      </c>
      <c r="J176" s="85"/>
      <c r="K176" s="148">
        <v>0</v>
      </c>
      <c r="L176" s="497"/>
      <c r="M176" s="227"/>
      <c r="N176" s="88"/>
      <c r="O176" s="89"/>
      <c r="P176" s="1264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2"/>
    </row>
    <row r="177" spans="1:58" s="82" customFormat="1">
      <c r="A177" s="942"/>
      <c r="B177" s="658"/>
      <c r="C177" s="1263"/>
      <c r="D177" s="533">
        <v>2023</v>
      </c>
      <c r="E177" s="85">
        <f>F177+G177+H177+I177+J177</f>
        <v>77.456499999999991</v>
      </c>
      <c r="F177" s="85">
        <v>1.3474999999999999</v>
      </c>
      <c r="G177" s="85">
        <v>0</v>
      </c>
      <c r="H177" s="85">
        <v>76.108999999999995</v>
      </c>
      <c r="I177" s="85">
        <v>0</v>
      </c>
      <c r="J177" s="85">
        <v>0</v>
      </c>
      <c r="K177" s="148">
        <v>0</v>
      </c>
      <c r="L177" s="497">
        <f t="shared" ref="L177:L203" si="60">F177+G177+H177+I177+J177</f>
        <v>77.456499999999991</v>
      </c>
      <c r="M177" s="227"/>
      <c r="N177" s="88"/>
      <c r="O177" s="89"/>
      <c r="P177" s="1264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2"/>
    </row>
    <row r="178" spans="1:58" s="82" customFormat="1" ht="25.5" customHeight="1">
      <c r="A178" s="1128" t="s">
        <v>440</v>
      </c>
      <c r="B178" s="1275" t="s">
        <v>441</v>
      </c>
      <c r="C178" s="1263"/>
      <c r="D178" s="84" t="s">
        <v>429</v>
      </c>
      <c r="E178" s="85">
        <f t="shared" ref="E178:J178" si="61">E179+E180</f>
        <v>3.09</v>
      </c>
      <c r="F178" s="85">
        <f t="shared" si="61"/>
        <v>0</v>
      </c>
      <c r="G178" s="85">
        <f t="shared" si="61"/>
        <v>0</v>
      </c>
      <c r="H178" s="85">
        <f t="shared" si="61"/>
        <v>3.09</v>
      </c>
      <c r="I178" s="85">
        <f t="shared" si="61"/>
        <v>0</v>
      </c>
      <c r="J178" s="85">
        <f t="shared" si="61"/>
        <v>0</v>
      </c>
      <c r="K178" s="148">
        <v>0</v>
      </c>
      <c r="L178" s="497">
        <f t="shared" si="60"/>
        <v>3.09</v>
      </c>
      <c r="M178" s="227" t="s">
        <v>442</v>
      </c>
      <c r="N178" s="88"/>
      <c r="O178" s="89"/>
      <c r="P178" s="1264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2"/>
    </row>
    <row r="179" spans="1:58" s="82" customFormat="1">
      <c r="A179" s="1183"/>
      <c r="B179" s="1276"/>
      <c r="C179" s="1263"/>
      <c r="D179" s="84">
        <v>2020</v>
      </c>
      <c r="E179" s="85">
        <f>F179+G179+H179+I179+J179</f>
        <v>0</v>
      </c>
      <c r="F179" s="85">
        <v>0</v>
      </c>
      <c r="G179" s="85">
        <v>0</v>
      </c>
      <c r="H179" s="85">
        <v>0</v>
      </c>
      <c r="I179" s="85">
        <v>0</v>
      </c>
      <c r="J179" s="85">
        <v>0</v>
      </c>
      <c r="K179" s="148">
        <v>0</v>
      </c>
      <c r="L179" s="497">
        <f t="shared" si="60"/>
        <v>0</v>
      </c>
      <c r="M179" s="227"/>
      <c r="N179" s="88"/>
      <c r="O179" s="89"/>
      <c r="P179" s="1264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2"/>
    </row>
    <row r="180" spans="1:58" s="82" customFormat="1">
      <c r="A180" s="942"/>
      <c r="B180" s="1277"/>
      <c r="C180" s="1274"/>
      <c r="D180" s="84">
        <v>2021</v>
      </c>
      <c r="E180" s="85">
        <f>F180+G180+H180+I180+J180</f>
        <v>3.09</v>
      </c>
      <c r="F180" s="85">
        <v>0</v>
      </c>
      <c r="G180" s="85">
        <v>0</v>
      </c>
      <c r="H180" s="85">
        <v>3.09</v>
      </c>
      <c r="I180" s="85">
        <v>0</v>
      </c>
      <c r="J180" s="85">
        <v>0</v>
      </c>
      <c r="K180" s="148">
        <v>0</v>
      </c>
      <c r="L180" s="497">
        <f t="shared" si="60"/>
        <v>3.09</v>
      </c>
      <c r="M180" s="227"/>
      <c r="N180" s="88"/>
      <c r="O180" s="89"/>
      <c r="P180" s="1265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2"/>
    </row>
    <row r="181" spans="1:58" s="82" customFormat="1" ht="22.5" customHeight="1">
      <c r="A181" s="1128" t="s">
        <v>443</v>
      </c>
      <c r="B181" s="1273" t="s">
        <v>444</v>
      </c>
      <c r="C181" s="1262" t="s">
        <v>445</v>
      </c>
      <c r="D181" s="84" t="s">
        <v>429</v>
      </c>
      <c r="E181" s="85">
        <f t="shared" ref="E181:J181" si="62">E182</f>
        <v>234.95</v>
      </c>
      <c r="F181" s="85">
        <f t="shared" si="62"/>
        <v>0</v>
      </c>
      <c r="G181" s="85">
        <f t="shared" si="62"/>
        <v>0</v>
      </c>
      <c r="H181" s="85">
        <f t="shared" si="62"/>
        <v>0</v>
      </c>
      <c r="I181" s="85">
        <f t="shared" si="62"/>
        <v>234.95</v>
      </c>
      <c r="J181" s="85">
        <f t="shared" si="62"/>
        <v>0</v>
      </c>
      <c r="K181" s="148">
        <v>0</v>
      </c>
      <c r="L181" s="497">
        <f t="shared" si="60"/>
        <v>234.95</v>
      </c>
      <c r="M181" s="227"/>
      <c r="N181" s="88"/>
      <c r="O181" s="89"/>
      <c r="P181" s="1262" t="s">
        <v>1126</v>
      </c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2"/>
    </row>
    <row r="182" spans="1:58" s="82" customFormat="1" ht="21" customHeight="1">
      <c r="A182" s="1183"/>
      <c r="B182" s="1273"/>
      <c r="C182" s="1274"/>
      <c r="D182" s="84">
        <v>2021</v>
      </c>
      <c r="E182" s="85">
        <f>I182</f>
        <v>234.95</v>
      </c>
      <c r="F182" s="85">
        <v>0</v>
      </c>
      <c r="G182" s="85">
        <v>0</v>
      </c>
      <c r="H182" s="85">
        <v>0</v>
      </c>
      <c r="I182" s="85">
        <v>234.95</v>
      </c>
      <c r="J182" s="85">
        <v>0</v>
      </c>
      <c r="K182" s="148">
        <v>0</v>
      </c>
      <c r="L182" s="497">
        <f t="shared" si="60"/>
        <v>234.95</v>
      </c>
      <c r="M182" s="227" t="s">
        <v>1125</v>
      </c>
      <c r="N182" s="88"/>
      <c r="O182" s="89"/>
      <c r="P182" s="1263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2"/>
    </row>
    <row r="183" spans="1:58" s="82" customFormat="1">
      <c r="A183" s="553" t="s">
        <v>450</v>
      </c>
      <c r="B183" s="1273" t="s">
        <v>444</v>
      </c>
      <c r="C183" s="1262" t="s">
        <v>407</v>
      </c>
      <c r="D183" s="84" t="s">
        <v>429</v>
      </c>
      <c r="E183" s="85">
        <f t="shared" ref="E183:J183" si="63">E184</f>
        <v>0</v>
      </c>
      <c r="F183" s="85">
        <f t="shared" si="63"/>
        <v>0</v>
      </c>
      <c r="G183" s="85">
        <f t="shared" si="63"/>
        <v>0</v>
      </c>
      <c r="H183" s="85">
        <f t="shared" si="63"/>
        <v>0</v>
      </c>
      <c r="I183" s="85">
        <f t="shared" si="63"/>
        <v>0</v>
      </c>
      <c r="J183" s="85">
        <f t="shared" si="63"/>
        <v>0</v>
      </c>
      <c r="K183" s="148">
        <v>0</v>
      </c>
      <c r="L183" s="497">
        <f t="shared" si="60"/>
        <v>0</v>
      </c>
      <c r="M183" s="227"/>
      <c r="N183" s="88"/>
      <c r="O183" s="89"/>
      <c r="P183" s="642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2"/>
    </row>
    <row r="184" spans="1:58" s="82" customFormat="1" ht="89.25">
      <c r="A184" s="286"/>
      <c r="B184" s="1273"/>
      <c r="C184" s="1274"/>
      <c r="D184" s="84">
        <v>2028</v>
      </c>
      <c r="E184" s="85">
        <v>0</v>
      </c>
      <c r="F184" s="85">
        <v>0</v>
      </c>
      <c r="G184" s="85">
        <v>0</v>
      </c>
      <c r="H184" s="85">
        <v>0</v>
      </c>
      <c r="I184" s="85">
        <v>0</v>
      </c>
      <c r="J184" s="85">
        <v>0</v>
      </c>
      <c r="K184" s="148">
        <v>0</v>
      </c>
      <c r="L184" s="497">
        <f t="shared" si="60"/>
        <v>0</v>
      </c>
      <c r="M184" s="227" t="s">
        <v>419</v>
      </c>
      <c r="N184" s="88"/>
      <c r="O184" s="89"/>
      <c r="P184" s="636" t="s">
        <v>405</v>
      </c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2"/>
    </row>
    <row r="185" spans="1:58" s="82" customFormat="1">
      <c r="A185" s="553" t="s">
        <v>451</v>
      </c>
      <c r="B185" s="1273" t="s">
        <v>444</v>
      </c>
      <c r="C185" s="1262" t="s">
        <v>407</v>
      </c>
      <c r="D185" s="84" t="s">
        <v>429</v>
      </c>
      <c r="E185" s="85">
        <f t="shared" ref="E185:J185" si="64">E186</f>
        <v>0</v>
      </c>
      <c r="F185" s="85">
        <f t="shared" si="64"/>
        <v>0</v>
      </c>
      <c r="G185" s="85">
        <f t="shared" si="64"/>
        <v>0</v>
      </c>
      <c r="H185" s="85">
        <f t="shared" si="64"/>
        <v>0</v>
      </c>
      <c r="I185" s="85">
        <f t="shared" si="64"/>
        <v>0</v>
      </c>
      <c r="J185" s="85">
        <f t="shared" si="64"/>
        <v>0</v>
      </c>
      <c r="K185" s="148">
        <v>0</v>
      </c>
      <c r="L185" s="497">
        <f t="shared" si="60"/>
        <v>0</v>
      </c>
      <c r="M185" s="224"/>
      <c r="N185" s="88"/>
      <c r="O185" s="89"/>
      <c r="P185" s="642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2"/>
    </row>
    <row r="186" spans="1:58" s="82" customFormat="1">
      <c r="A186" s="553"/>
      <c r="B186" s="1273"/>
      <c r="C186" s="1274"/>
      <c r="D186" s="84">
        <v>2029</v>
      </c>
      <c r="E186" s="85">
        <v>0</v>
      </c>
      <c r="F186" s="85">
        <v>0</v>
      </c>
      <c r="G186" s="85">
        <v>0</v>
      </c>
      <c r="H186" s="85">
        <v>0</v>
      </c>
      <c r="I186" s="85">
        <v>0</v>
      </c>
      <c r="J186" s="85">
        <v>0</v>
      </c>
      <c r="K186" s="148">
        <v>0</v>
      </c>
      <c r="L186" s="497">
        <f t="shared" si="60"/>
        <v>0</v>
      </c>
      <c r="M186" s="224"/>
      <c r="N186" s="88"/>
      <c r="O186" s="89"/>
      <c r="P186" s="642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2"/>
    </row>
    <row r="187" spans="1:58" s="82" customFormat="1">
      <c r="A187" s="1281" t="s">
        <v>452</v>
      </c>
      <c r="B187" s="1256" t="s">
        <v>453</v>
      </c>
      <c r="C187" s="1262" t="s">
        <v>407</v>
      </c>
      <c r="D187" s="84" t="s">
        <v>16</v>
      </c>
      <c r="E187" s="85">
        <f t="shared" ref="E187:J187" si="65">E188+E189</f>
        <v>15.75</v>
      </c>
      <c r="F187" s="85">
        <f t="shared" si="65"/>
        <v>1.5</v>
      </c>
      <c r="G187" s="85">
        <f t="shared" si="65"/>
        <v>0</v>
      </c>
      <c r="H187" s="85">
        <f t="shared" si="65"/>
        <v>14.25</v>
      </c>
      <c r="I187" s="85">
        <f t="shared" si="65"/>
        <v>0</v>
      </c>
      <c r="J187" s="85">
        <f t="shared" si="65"/>
        <v>0</v>
      </c>
      <c r="K187" s="148">
        <v>0</v>
      </c>
      <c r="L187" s="497">
        <f t="shared" si="60"/>
        <v>15.75</v>
      </c>
      <c r="M187" s="943" t="s">
        <v>454</v>
      </c>
      <c r="N187" s="88"/>
      <c r="O187" s="321"/>
      <c r="P187" s="642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2"/>
    </row>
    <row r="188" spans="1:58" s="82" customFormat="1" ht="13.5" customHeight="1">
      <c r="A188" s="1281"/>
      <c r="B188" s="1259"/>
      <c r="C188" s="1263"/>
      <c r="D188" s="84">
        <v>2026</v>
      </c>
      <c r="E188" s="85">
        <f>F188+G188+H188+I188+J188</f>
        <v>0.75</v>
      </c>
      <c r="F188" s="85">
        <v>0.75</v>
      </c>
      <c r="G188" s="85">
        <v>0</v>
      </c>
      <c r="H188" s="85">
        <v>0</v>
      </c>
      <c r="I188" s="85">
        <v>0</v>
      </c>
      <c r="J188" s="85">
        <v>0</v>
      </c>
      <c r="K188" s="148">
        <v>0</v>
      </c>
      <c r="L188" s="497">
        <f t="shared" si="60"/>
        <v>0.75</v>
      </c>
      <c r="M188" s="845"/>
      <c r="N188" s="88"/>
      <c r="O188" s="321"/>
      <c r="P188" s="642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2"/>
    </row>
    <row r="189" spans="1:58" s="82" customFormat="1">
      <c r="A189" s="1281"/>
      <c r="B189" s="1260"/>
      <c r="C189" s="1282"/>
      <c r="D189" s="84">
        <v>2027</v>
      </c>
      <c r="E189" s="85">
        <f>F189+G189+H189+I189+J189</f>
        <v>15</v>
      </c>
      <c r="F189" s="85">
        <v>0.75</v>
      </c>
      <c r="G189" s="85">
        <v>0</v>
      </c>
      <c r="H189" s="85">
        <v>14.25</v>
      </c>
      <c r="I189" s="85">
        <v>0</v>
      </c>
      <c r="J189" s="85">
        <v>0</v>
      </c>
      <c r="K189" s="148">
        <v>0</v>
      </c>
      <c r="L189" s="497">
        <f t="shared" si="60"/>
        <v>15</v>
      </c>
      <c r="M189" s="846"/>
      <c r="N189" s="88"/>
      <c r="O189" s="321"/>
      <c r="P189" s="642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2"/>
    </row>
    <row r="190" spans="1:58" s="82" customFormat="1" ht="19.5" customHeight="1">
      <c r="A190" s="1128" t="s">
        <v>455</v>
      </c>
      <c r="B190" s="1256" t="s">
        <v>456</v>
      </c>
      <c r="C190" s="611"/>
      <c r="D190" s="84" t="s">
        <v>16</v>
      </c>
      <c r="E190" s="85">
        <f t="shared" ref="E190:J190" si="66">E191+E192+E193</f>
        <v>280.9495</v>
      </c>
      <c r="F190" s="85">
        <f t="shared" si="66"/>
        <v>14.047500000000001</v>
      </c>
      <c r="G190" s="85">
        <f t="shared" si="66"/>
        <v>0</v>
      </c>
      <c r="H190" s="85">
        <f t="shared" si="66"/>
        <v>266.90200000000004</v>
      </c>
      <c r="I190" s="85">
        <f t="shared" si="66"/>
        <v>0</v>
      </c>
      <c r="J190" s="85">
        <f t="shared" si="66"/>
        <v>0</v>
      </c>
      <c r="K190" s="148">
        <v>0</v>
      </c>
      <c r="L190" s="497">
        <f t="shared" si="60"/>
        <v>280.94950000000006</v>
      </c>
      <c r="M190" s="943" t="s">
        <v>457</v>
      </c>
      <c r="N190" s="88"/>
      <c r="O190" s="844">
        <v>90</v>
      </c>
      <c r="P190" s="642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2"/>
    </row>
    <row r="191" spans="1:58" s="82" customFormat="1" ht="27.75" customHeight="1">
      <c r="A191" s="1183"/>
      <c r="B191" s="1259"/>
      <c r="C191" s="640" t="s">
        <v>1101</v>
      </c>
      <c r="D191" s="84">
        <v>2024</v>
      </c>
      <c r="E191" s="85">
        <f>F191+G191+H191+I191+J191</f>
        <v>102.9495</v>
      </c>
      <c r="F191" s="85">
        <v>5.1475</v>
      </c>
      <c r="G191" s="85">
        <v>0</v>
      </c>
      <c r="H191" s="85">
        <v>97.802000000000007</v>
      </c>
      <c r="I191" s="85">
        <v>0</v>
      </c>
      <c r="J191" s="85">
        <v>0</v>
      </c>
      <c r="K191" s="148">
        <v>0</v>
      </c>
      <c r="L191" s="497">
        <f t="shared" si="60"/>
        <v>102.9495</v>
      </c>
      <c r="M191" s="845"/>
      <c r="N191" s="88"/>
      <c r="O191" s="845"/>
      <c r="P191" s="642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2"/>
    </row>
    <row r="192" spans="1:58" s="82" customFormat="1">
      <c r="A192" s="1183"/>
      <c r="B192" s="1259"/>
      <c r="C192" s="647"/>
      <c r="D192" s="84">
        <v>2025</v>
      </c>
      <c r="E192" s="85">
        <f>F192+G192+H192+I192+J192</f>
        <v>150</v>
      </c>
      <c r="F192" s="85">
        <v>7.5</v>
      </c>
      <c r="G192" s="85">
        <v>0</v>
      </c>
      <c r="H192" s="85">
        <v>142.5</v>
      </c>
      <c r="I192" s="85">
        <v>0</v>
      </c>
      <c r="J192" s="85">
        <v>0</v>
      </c>
      <c r="K192" s="148">
        <v>0</v>
      </c>
      <c r="L192" s="497">
        <f t="shared" si="60"/>
        <v>150</v>
      </c>
      <c r="M192" s="845"/>
      <c r="N192" s="88"/>
      <c r="O192" s="845"/>
      <c r="P192" s="642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2"/>
    </row>
    <row r="193" spans="1:58" s="82" customFormat="1" ht="21.75" customHeight="1">
      <c r="A193" s="1183"/>
      <c r="B193" s="1259"/>
      <c r="C193" s="643"/>
      <c r="D193" s="84">
        <v>2026</v>
      </c>
      <c r="E193" s="85">
        <f>F193+G193+H193+I193+J193</f>
        <v>28</v>
      </c>
      <c r="F193" s="85">
        <v>1.4</v>
      </c>
      <c r="G193" s="85">
        <v>0</v>
      </c>
      <c r="H193" s="85">
        <v>26.6</v>
      </c>
      <c r="I193" s="85">
        <v>0</v>
      </c>
      <c r="J193" s="85">
        <v>0</v>
      </c>
      <c r="K193" s="148">
        <v>0</v>
      </c>
      <c r="L193" s="497">
        <f t="shared" si="60"/>
        <v>28</v>
      </c>
      <c r="M193" s="846"/>
      <c r="N193" s="88"/>
      <c r="O193" s="846"/>
      <c r="P193" s="642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2"/>
    </row>
    <row r="194" spans="1:58" s="82" customFormat="1" ht="17.25" customHeight="1">
      <c r="A194" s="1128" t="s">
        <v>459</v>
      </c>
      <c r="B194" s="1256" t="s">
        <v>460</v>
      </c>
      <c r="C194" s="1262" t="s">
        <v>407</v>
      </c>
      <c r="D194" s="84" t="s">
        <v>16</v>
      </c>
      <c r="E194" s="85">
        <f t="shared" ref="E194:J194" si="67">E195+E196</f>
        <v>78</v>
      </c>
      <c r="F194" s="85">
        <f t="shared" si="67"/>
        <v>6.2750000000000004</v>
      </c>
      <c r="G194" s="85">
        <f t="shared" si="67"/>
        <v>0</v>
      </c>
      <c r="H194" s="85">
        <f t="shared" si="67"/>
        <v>71.724999999999994</v>
      </c>
      <c r="I194" s="85">
        <f t="shared" si="67"/>
        <v>0</v>
      </c>
      <c r="J194" s="85">
        <f t="shared" si="67"/>
        <v>0</v>
      </c>
      <c r="K194" s="148">
        <v>0</v>
      </c>
      <c r="L194" s="497">
        <f t="shared" si="60"/>
        <v>78</v>
      </c>
      <c r="M194" s="895"/>
      <c r="N194" s="88"/>
      <c r="O194" s="321"/>
      <c r="P194" s="642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2"/>
    </row>
    <row r="195" spans="1:58" s="82" customFormat="1" ht="28.5" customHeight="1">
      <c r="A195" s="1183"/>
      <c r="B195" s="1259"/>
      <c r="C195" s="1263"/>
      <c r="D195" s="84">
        <v>2026</v>
      </c>
      <c r="E195" s="85">
        <f>F195+G195+H195+I195+J195</f>
        <v>2.5</v>
      </c>
      <c r="F195" s="85">
        <v>2.5</v>
      </c>
      <c r="G195" s="85">
        <v>0</v>
      </c>
      <c r="H195" s="85">
        <v>0</v>
      </c>
      <c r="I195" s="85">
        <v>0</v>
      </c>
      <c r="J195" s="85">
        <v>0</v>
      </c>
      <c r="K195" s="148">
        <v>0</v>
      </c>
      <c r="L195" s="497">
        <f t="shared" si="60"/>
        <v>2.5</v>
      </c>
      <c r="M195" s="896"/>
      <c r="N195" s="88"/>
      <c r="O195" s="321"/>
      <c r="P195" s="642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2"/>
    </row>
    <row r="196" spans="1:58" s="82" customFormat="1" ht="17.25" customHeight="1">
      <c r="A196" s="553"/>
      <c r="B196" s="644"/>
      <c r="C196" s="1274"/>
      <c r="D196" s="84">
        <v>2027</v>
      </c>
      <c r="E196" s="85">
        <f>F196+G196+H196+I196+J196</f>
        <v>75.5</v>
      </c>
      <c r="F196" s="85">
        <v>3.7749999999999999</v>
      </c>
      <c r="G196" s="85">
        <v>0</v>
      </c>
      <c r="H196" s="85">
        <v>71.724999999999994</v>
      </c>
      <c r="I196" s="85">
        <v>0</v>
      </c>
      <c r="J196" s="85">
        <v>0</v>
      </c>
      <c r="K196" s="148">
        <v>0</v>
      </c>
      <c r="L196" s="497">
        <f t="shared" si="60"/>
        <v>75.5</v>
      </c>
      <c r="M196" s="217"/>
      <c r="N196" s="88"/>
      <c r="O196" s="236"/>
      <c r="P196" s="642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2"/>
    </row>
    <row r="197" spans="1:58" s="82" customFormat="1" ht="12.75" customHeight="1">
      <c r="A197" s="1128" t="s">
        <v>462</v>
      </c>
      <c r="B197" s="1262" t="s">
        <v>463</v>
      </c>
      <c r="C197" s="1262" t="s">
        <v>1101</v>
      </c>
      <c r="D197" s="84" t="s">
        <v>16</v>
      </c>
      <c r="E197" s="85">
        <f t="shared" ref="E197:J197" si="68">E198+E199</f>
        <v>90.933199999999999</v>
      </c>
      <c r="F197" s="85">
        <f t="shared" si="68"/>
        <v>11.821400000000001</v>
      </c>
      <c r="G197" s="85">
        <f t="shared" si="68"/>
        <v>0</v>
      </c>
      <c r="H197" s="85">
        <f t="shared" si="68"/>
        <v>79.111800000000002</v>
      </c>
      <c r="I197" s="85">
        <f t="shared" si="68"/>
        <v>0</v>
      </c>
      <c r="J197" s="85">
        <f t="shared" si="68"/>
        <v>0</v>
      </c>
      <c r="K197" s="148">
        <v>0</v>
      </c>
      <c r="L197" s="497">
        <f t="shared" si="60"/>
        <v>90.933199999999999</v>
      </c>
      <c r="M197" s="943"/>
      <c r="N197" s="88"/>
      <c r="O197" s="844"/>
      <c r="P197" s="637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2"/>
    </row>
    <row r="198" spans="1:58" s="82" customFormat="1" ht="12.75" customHeight="1">
      <c r="A198" s="1183"/>
      <c r="B198" s="1263"/>
      <c r="C198" s="1263"/>
      <c r="D198" s="84">
        <v>2020</v>
      </c>
      <c r="E198" s="85">
        <f>F198+G198+H198+I198+J198</f>
        <v>45.4666</v>
      </c>
      <c r="F198" s="85">
        <v>5.9107000000000003</v>
      </c>
      <c r="G198" s="85">
        <v>0</v>
      </c>
      <c r="H198" s="85">
        <v>39.555900000000001</v>
      </c>
      <c r="I198" s="85">
        <v>0</v>
      </c>
      <c r="J198" s="85">
        <v>0</v>
      </c>
      <c r="K198" s="148">
        <v>0</v>
      </c>
      <c r="L198" s="497">
        <f t="shared" si="60"/>
        <v>45.4666</v>
      </c>
      <c r="M198" s="970"/>
      <c r="N198" s="88"/>
      <c r="O198" s="1283"/>
      <c r="P198" s="637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2"/>
    </row>
    <row r="199" spans="1:58" s="82" customFormat="1" ht="12.75" customHeight="1">
      <c r="A199" s="1184"/>
      <c r="B199" s="1274"/>
      <c r="C199" s="1274"/>
      <c r="D199" s="84">
        <v>2021</v>
      </c>
      <c r="E199" s="85">
        <f>F199+G199+H199+I199+J199</f>
        <v>45.4666</v>
      </c>
      <c r="F199" s="85">
        <v>5.9107000000000003</v>
      </c>
      <c r="G199" s="85">
        <v>0</v>
      </c>
      <c r="H199" s="85">
        <v>39.555900000000001</v>
      </c>
      <c r="I199" s="85">
        <v>0</v>
      </c>
      <c r="J199" s="85">
        <v>0</v>
      </c>
      <c r="K199" s="148">
        <v>0</v>
      </c>
      <c r="L199" s="497">
        <f t="shared" si="60"/>
        <v>45.4666</v>
      </c>
      <c r="M199" s="294"/>
      <c r="N199" s="88"/>
      <c r="O199" s="659"/>
      <c r="P199" s="637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2"/>
    </row>
    <row r="200" spans="1:58" s="82" customFormat="1" ht="12.75" customHeight="1">
      <c r="A200" s="1128" t="s">
        <v>464</v>
      </c>
      <c r="B200" s="1256" t="s">
        <v>465</v>
      </c>
      <c r="C200" s="1255" t="s">
        <v>372</v>
      </c>
      <c r="D200" s="84" t="s">
        <v>16</v>
      </c>
      <c r="E200" s="85">
        <f t="shared" ref="E200:J200" si="69">E201</f>
        <v>2.4E-2</v>
      </c>
      <c r="F200" s="85">
        <f t="shared" si="69"/>
        <v>2.4E-2</v>
      </c>
      <c r="G200" s="85">
        <f t="shared" si="69"/>
        <v>0</v>
      </c>
      <c r="H200" s="85">
        <f t="shared" si="69"/>
        <v>0</v>
      </c>
      <c r="I200" s="85">
        <f t="shared" si="69"/>
        <v>0</v>
      </c>
      <c r="J200" s="85">
        <f t="shared" si="69"/>
        <v>0</v>
      </c>
      <c r="K200" s="148">
        <v>0</v>
      </c>
      <c r="L200" s="497">
        <f t="shared" si="60"/>
        <v>2.4E-2</v>
      </c>
      <c r="M200" s="895"/>
      <c r="N200" s="88"/>
      <c r="O200" s="89"/>
      <c r="P200" s="637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2"/>
    </row>
    <row r="201" spans="1:58" s="82" customFormat="1" ht="27.75" customHeight="1">
      <c r="A201" s="1183"/>
      <c r="B201" s="1259"/>
      <c r="C201" s="1255"/>
      <c r="D201" s="84">
        <v>2019</v>
      </c>
      <c r="E201" s="85">
        <f>F201+G201+H201+I201+J201</f>
        <v>2.4E-2</v>
      </c>
      <c r="F201" s="85">
        <v>2.4E-2</v>
      </c>
      <c r="G201" s="85">
        <v>0</v>
      </c>
      <c r="H201" s="85">
        <v>0</v>
      </c>
      <c r="I201" s="85">
        <v>0</v>
      </c>
      <c r="J201" s="85">
        <v>0</v>
      </c>
      <c r="K201" s="148">
        <v>0</v>
      </c>
      <c r="L201" s="497">
        <f t="shared" si="60"/>
        <v>2.4E-2</v>
      </c>
      <c r="M201" s="897"/>
      <c r="N201" s="88"/>
      <c r="O201" s="89"/>
      <c r="P201" s="637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2"/>
    </row>
    <row r="202" spans="1:58" s="82" customFormat="1" ht="12.75" customHeight="1">
      <c r="A202" s="1128" t="s">
        <v>466</v>
      </c>
      <c r="B202" s="1256" t="s">
        <v>467</v>
      </c>
      <c r="C202" s="1262" t="s">
        <v>372</v>
      </c>
      <c r="D202" s="84" t="s">
        <v>16</v>
      </c>
      <c r="E202" s="85">
        <f t="shared" ref="E202:J202" si="70">E203</f>
        <v>2.3458999999999999</v>
      </c>
      <c r="F202" s="85">
        <f t="shared" si="70"/>
        <v>2.3458999999999999</v>
      </c>
      <c r="G202" s="85">
        <f t="shared" si="70"/>
        <v>0</v>
      </c>
      <c r="H202" s="85">
        <f t="shared" si="70"/>
        <v>0</v>
      </c>
      <c r="I202" s="85">
        <f t="shared" si="70"/>
        <v>0</v>
      </c>
      <c r="J202" s="85">
        <f t="shared" si="70"/>
        <v>0</v>
      </c>
      <c r="K202" s="148">
        <v>0</v>
      </c>
      <c r="L202" s="497">
        <f t="shared" si="60"/>
        <v>2.3458999999999999</v>
      </c>
      <c r="M202" s="142"/>
      <c r="N202" s="88"/>
      <c r="O202" s="89"/>
      <c r="P202" s="637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2"/>
    </row>
    <row r="203" spans="1:58" s="82" customFormat="1" ht="24.75" customHeight="1">
      <c r="A203" s="1183"/>
      <c r="B203" s="1259"/>
      <c r="C203" s="1274"/>
      <c r="D203" s="84">
        <v>2019</v>
      </c>
      <c r="E203" s="85">
        <f>F203+G203+H203+I203+J203</f>
        <v>2.3458999999999999</v>
      </c>
      <c r="F203" s="85">
        <v>2.3458999999999999</v>
      </c>
      <c r="G203" s="85">
        <v>0</v>
      </c>
      <c r="H203" s="85">
        <v>0</v>
      </c>
      <c r="I203" s="85">
        <v>0</v>
      </c>
      <c r="J203" s="85">
        <v>0</v>
      </c>
      <c r="K203" s="148">
        <v>0</v>
      </c>
      <c r="L203" s="497">
        <f t="shared" si="60"/>
        <v>2.3458999999999999</v>
      </c>
      <c r="M203" s="142"/>
      <c r="N203" s="88"/>
      <c r="O203" s="89"/>
      <c r="P203" s="637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2"/>
    </row>
    <row r="204" spans="1:58" s="82" customFormat="1" ht="24.75" customHeight="1">
      <c r="A204" s="553"/>
      <c r="B204" s="644"/>
      <c r="C204" s="647" t="s">
        <v>1101</v>
      </c>
      <c r="D204" s="84">
        <v>2021</v>
      </c>
      <c r="E204" s="85">
        <f>F204</f>
        <v>3.8820000000000001</v>
      </c>
      <c r="F204" s="85">
        <v>3.8820000000000001</v>
      </c>
      <c r="G204" s="85">
        <v>0</v>
      </c>
      <c r="H204" s="85">
        <v>0</v>
      </c>
      <c r="I204" s="85">
        <v>0</v>
      </c>
      <c r="J204" s="85">
        <v>0</v>
      </c>
      <c r="K204" s="148">
        <v>0</v>
      </c>
      <c r="L204" s="497"/>
      <c r="M204" s="142"/>
      <c r="N204" s="88"/>
      <c r="O204" s="89"/>
      <c r="P204" s="637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2"/>
    </row>
    <row r="205" spans="1:58" s="82" customFormat="1" ht="12.75" customHeight="1">
      <c r="A205" s="1128" t="s">
        <v>468</v>
      </c>
      <c r="B205" s="1256" t="s">
        <v>469</v>
      </c>
      <c r="C205" s="1224" t="s">
        <v>407</v>
      </c>
      <c r="D205" s="84" t="s">
        <v>16</v>
      </c>
      <c r="E205" s="85">
        <f t="shared" ref="E205:J205" si="71">E206+E207</f>
        <v>14.333299999999999</v>
      </c>
      <c r="F205" s="85">
        <f t="shared" si="71"/>
        <v>1.0332999999999999</v>
      </c>
      <c r="G205" s="85">
        <f t="shared" si="71"/>
        <v>0</v>
      </c>
      <c r="H205" s="85">
        <f t="shared" si="71"/>
        <v>13.3</v>
      </c>
      <c r="I205" s="85">
        <f t="shared" si="71"/>
        <v>0</v>
      </c>
      <c r="J205" s="85">
        <f t="shared" si="71"/>
        <v>0</v>
      </c>
      <c r="K205" s="148">
        <v>0</v>
      </c>
      <c r="L205" s="497">
        <f t="shared" ref="L205:L236" si="72">F205+G205+H205+I205+J205</f>
        <v>14.333300000000001</v>
      </c>
      <c r="M205" s="142"/>
      <c r="N205" s="88"/>
      <c r="O205" s="89"/>
      <c r="P205" s="637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2"/>
    </row>
    <row r="206" spans="1:58" s="82" customFormat="1" ht="12.75" customHeight="1">
      <c r="A206" s="1183"/>
      <c r="B206" s="1259"/>
      <c r="C206" s="1225"/>
      <c r="D206" s="84">
        <v>2026</v>
      </c>
      <c r="E206" s="85">
        <f>F206+G206+H206+I206+J206</f>
        <v>0.33329999999999999</v>
      </c>
      <c r="F206" s="85">
        <v>0.33329999999999999</v>
      </c>
      <c r="G206" s="85">
        <v>0</v>
      </c>
      <c r="H206" s="85">
        <v>0</v>
      </c>
      <c r="I206" s="85">
        <v>0</v>
      </c>
      <c r="J206" s="85">
        <v>0</v>
      </c>
      <c r="K206" s="148">
        <v>0</v>
      </c>
      <c r="L206" s="497">
        <f t="shared" si="72"/>
        <v>0.33329999999999999</v>
      </c>
      <c r="M206" s="142"/>
      <c r="N206" s="88"/>
      <c r="O206" s="89"/>
      <c r="P206" s="637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2"/>
    </row>
    <row r="207" spans="1:58" s="82" customFormat="1" ht="12.75" customHeight="1">
      <c r="A207" s="1184"/>
      <c r="B207" s="644"/>
      <c r="C207" s="1225"/>
      <c r="D207" s="84">
        <v>2027</v>
      </c>
      <c r="E207" s="85">
        <f>F207+G207+H207+I207+J207</f>
        <v>14</v>
      </c>
      <c r="F207" s="85">
        <v>0.7</v>
      </c>
      <c r="G207" s="85">
        <v>0</v>
      </c>
      <c r="H207" s="85">
        <v>13.3</v>
      </c>
      <c r="I207" s="85">
        <v>0</v>
      </c>
      <c r="J207" s="85">
        <v>0</v>
      </c>
      <c r="K207" s="148">
        <v>0</v>
      </c>
      <c r="L207" s="497">
        <f t="shared" si="72"/>
        <v>14</v>
      </c>
      <c r="M207" s="142"/>
      <c r="N207" s="88"/>
      <c r="O207" s="89"/>
      <c r="P207" s="637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2"/>
    </row>
    <row r="208" spans="1:58" s="82" customFormat="1" ht="12.75" customHeight="1">
      <c r="A208" s="1128" t="s">
        <v>470</v>
      </c>
      <c r="B208" s="1256" t="s">
        <v>471</v>
      </c>
      <c r="C208" s="1225"/>
      <c r="D208" s="84" t="s">
        <v>16</v>
      </c>
      <c r="E208" s="85">
        <f t="shared" ref="E208:J208" si="73">E209+E210</f>
        <v>14.333299999999999</v>
      </c>
      <c r="F208" s="85">
        <f t="shared" si="73"/>
        <v>1.0332999999999999</v>
      </c>
      <c r="G208" s="85">
        <f t="shared" si="73"/>
        <v>0</v>
      </c>
      <c r="H208" s="85">
        <f t="shared" si="73"/>
        <v>13.3</v>
      </c>
      <c r="I208" s="85">
        <f t="shared" si="73"/>
        <v>0</v>
      </c>
      <c r="J208" s="85">
        <f t="shared" si="73"/>
        <v>0</v>
      </c>
      <c r="K208" s="148">
        <v>0</v>
      </c>
      <c r="L208" s="497">
        <f t="shared" si="72"/>
        <v>14.333300000000001</v>
      </c>
      <c r="M208" s="142"/>
      <c r="N208" s="88"/>
      <c r="O208" s="89"/>
      <c r="P208" s="637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2"/>
    </row>
    <row r="209" spans="1:58" s="82" customFormat="1" ht="12.75" customHeight="1">
      <c r="A209" s="1184"/>
      <c r="B209" s="1260"/>
      <c r="C209" s="1225"/>
      <c r="D209" s="84">
        <v>2026</v>
      </c>
      <c r="E209" s="85">
        <f>F209+G209+H209+I209+J209</f>
        <v>0.33329999999999999</v>
      </c>
      <c r="F209" s="85">
        <v>0.33329999999999999</v>
      </c>
      <c r="G209" s="85">
        <v>0</v>
      </c>
      <c r="H209" s="85">
        <v>0</v>
      </c>
      <c r="I209" s="85">
        <v>0</v>
      </c>
      <c r="J209" s="85">
        <v>0</v>
      </c>
      <c r="K209" s="148">
        <v>0</v>
      </c>
      <c r="L209" s="497">
        <f t="shared" si="72"/>
        <v>0.33329999999999999</v>
      </c>
      <c r="M209" s="142"/>
      <c r="N209" s="88"/>
      <c r="O209" s="89"/>
      <c r="P209" s="637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2"/>
    </row>
    <row r="210" spans="1:58" s="82" customFormat="1" ht="12.75" customHeight="1">
      <c r="A210" s="1128" t="s">
        <v>472</v>
      </c>
      <c r="B210" s="644"/>
      <c r="C210" s="1225"/>
      <c r="D210" s="84">
        <v>2027</v>
      </c>
      <c r="E210" s="85">
        <f>F210+G210+H210+I210+J210</f>
        <v>14</v>
      </c>
      <c r="F210" s="85">
        <v>0.7</v>
      </c>
      <c r="G210" s="85">
        <v>0</v>
      </c>
      <c r="H210" s="85">
        <v>13.3</v>
      </c>
      <c r="I210" s="85">
        <v>0</v>
      </c>
      <c r="J210" s="85">
        <v>0</v>
      </c>
      <c r="K210" s="148">
        <v>0</v>
      </c>
      <c r="L210" s="497">
        <f t="shared" si="72"/>
        <v>14</v>
      </c>
      <c r="M210" s="142"/>
      <c r="N210" s="88"/>
      <c r="O210" s="89"/>
      <c r="P210" s="637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2"/>
    </row>
    <row r="211" spans="1:58" s="82" customFormat="1" ht="15.75" customHeight="1">
      <c r="A211" s="941"/>
      <c r="B211" s="1259" t="s">
        <v>473</v>
      </c>
      <c r="C211" s="621"/>
      <c r="D211" s="84" t="s">
        <v>16</v>
      </c>
      <c r="E211" s="85">
        <f>E212+E213</f>
        <v>18.7499</v>
      </c>
      <c r="F211" s="85">
        <f>F212+F213</f>
        <v>1.2541</v>
      </c>
      <c r="G211" s="85">
        <f>G212+G213</f>
        <v>0</v>
      </c>
      <c r="H211" s="85">
        <f>H212+H213</f>
        <v>17.495799999999999</v>
      </c>
      <c r="I211" s="85">
        <v>0</v>
      </c>
      <c r="J211" s="85">
        <v>0</v>
      </c>
      <c r="K211" s="148">
        <v>0</v>
      </c>
      <c r="L211" s="497">
        <f t="shared" si="72"/>
        <v>18.7499</v>
      </c>
      <c r="M211" s="142"/>
      <c r="N211" s="88"/>
      <c r="O211" s="89"/>
      <c r="P211" s="637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2"/>
    </row>
    <row r="212" spans="1:58" s="82" customFormat="1">
      <c r="A212" s="941"/>
      <c r="B212" s="1259"/>
      <c r="C212" s="621"/>
      <c r="D212" s="84">
        <v>2026</v>
      </c>
      <c r="E212" s="85">
        <f>F212+G212+H212+I212+J212</f>
        <v>0.33329999999999999</v>
      </c>
      <c r="F212" s="85">
        <v>0.33329999999999999</v>
      </c>
      <c r="G212" s="85">
        <v>0</v>
      </c>
      <c r="H212" s="85">
        <v>0</v>
      </c>
      <c r="I212" s="85">
        <v>0</v>
      </c>
      <c r="J212" s="85">
        <v>0</v>
      </c>
      <c r="K212" s="148">
        <v>0</v>
      </c>
      <c r="L212" s="497">
        <f t="shared" si="72"/>
        <v>0.33329999999999999</v>
      </c>
      <c r="M212" s="142"/>
      <c r="N212" s="88"/>
      <c r="O212" s="89"/>
      <c r="P212" s="637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2"/>
    </row>
    <row r="213" spans="1:58" s="82" customFormat="1">
      <c r="A213" s="942"/>
      <c r="B213" s="1260"/>
      <c r="C213" s="621"/>
      <c r="D213" s="84">
        <v>2027</v>
      </c>
      <c r="E213" s="85">
        <f>F213+G213+H213+I213+J213</f>
        <v>18.416599999999999</v>
      </c>
      <c r="F213" s="85">
        <v>0.92079999999999995</v>
      </c>
      <c r="G213" s="85">
        <v>0</v>
      </c>
      <c r="H213" s="85">
        <v>17.495799999999999</v>
      </c>
      <c r="I213" s="85">
        <v>0</v>
      </c>
      <c r="J213" s="85">
        <v>0</v>
      </c>
      <c r="K213" s="148">
        <v>0</v>
      </c>
      <c r="L213" s="497">
        <f t="shared" si="72"/>
        <v>18.416599999999999</v>
      </c>
      <c r="M213" s="142"/>
      <c r="N213" s="88"/>
      <c r="O213" s="89"/>
      <c r="P213" s="637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2"/>
    </row>
    <row r="214" spans="1:58" s="82" customFormat="1" ht="12.75" customHeight="1">
      <c r="A214" s="1128" t="s">
        <v>474</v>
      </c>
      <c r="B214" s="1256" t="s">
        <v>475</v>
      </c>
      <c r="C214" s="621"/>
      <c r="D214" s="84" t="s">
        <v>16</v>
      </c>
      <c r="E214" s="85">
        <f t="shared" ref="E214:J214" si="74">E215+E216</f>
        <v>12.499899999999998</v>
      </c>
      <c r="F214" s="85">
        <f t="shared" si="74"/>
        <v>0.94159999999999999</v>
      </c>
      <c r="G214" s="85">
        <f t="shared" si="74"/>
        <v>0</v>
      </c>
      <c r="H214" s="85">
        <f t="shared" si="74"/>
        <v>11.558299999999999</v>
      </c>
      <c r="I214" s="85">
        <f t="shared" si="74"/>
        <v>0</v>
      </c>
      <c r="J214" s="85">
        <f t="shared" si="74"/>
        <v>0</v>
      </c>
      <c r="K214" s="148">
        <v>0</v>
      </c>
      <c r="L214" s="497">
        <f t="shared" si="72"/>
        <v>12.499899999999998</v>
      </c>
      <c r="M214" s="142"/>
      <c r="N214" s="88"/>
      <c r="O214" s="89"/>
      <c r="P214" s="637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2"/>
    </row>
    <row r="215" spans="1:58" s="82" customFormat="1" ht="12.75" customHeight="1">
      <c r="A215" s="1183"/>
      <c r="B215" s="1259"/>
      <c r="C215" s="621"/>
      <c r="D215" s="84">
        <v>2026</v>
      </c>
      <c r="E215" s="85">
        <f>F215+G215+H215+I215+J215</f>
        <v>0.33329999999999999</v>
      </c>
      <c r="F215" s="85">
        <v>0.33329999999999999</v>
      </c>
      <c r="G215" s="85">
        <v>0</v>
      </c>
      <c r="H215" s="85">
        <v>0</v>
      </c>
      <c r="I215" s="85">
        <v>0</v>
      </c>
      <c r="J215" s="85">
        <v>0</v>
      </c>
      <c r="K215" s="148">
        <v>0</v>
      </c>
      <c r="L215" s="497">
        <f t="shared" si="72"/>
        <v>0.33329999999999999</v>
      </c>
      <c r="M215" s="142"/>
      <c r="N215" s="88"/>
      <c r="O215" s="89"/>
      <c r="P215" s="637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2"/>
    </row>
    <row r="216" spans="1:58" s="82" customFormat="1" ht="12.75" customHeight="1">
      <c r="A216" s="553"/>
      <c r="B216" s="644"/>
      <c r="C216" s="621"/>
      <c r="D216" s="84">
        <v>2027</v>
      </c>
      <c r="E216" s="85">
        <f>F216+G216+H216+I216+J216</f>
        <v>12.166599999999999</v>
      </c>
      <c r="F216" s="85">
        <v>0.60829999999999995</v>
      </c>
      <c r="G216" s="85">
        <v>0</v>
      </c>
      <c r="H216" s="85">
        <v>11.558299999999999</v>
      </c>
      <c r="I216" s="85">
        <v>0</v>
      </c>
      <c r="J216" s="85">
        <v>0</v>
      </c>
      <c r="K216" s="148">
        <v>0</v>
      </c>
      <c r="L216" s="497">
        <f t="shared" si="72"/>
        <v>12.166599999999999</v>
      </c>
      <c r="M216" s="142"/>
      <c r="N216" s="88"/>
      <c r="O216" s="89"/>
      <c r="P216" s="637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2"/>
    </row>
    <row r="217" spans="1:58" s="82" customFormat="1" ht="12.75" customHeight="1">
      <c r="A217" s="1128" t="s">
        <v>476</v>
      </c>
      <c r="B217" s="1256" t="s">
        <v>477</v>
      </c>
      <c r="C217" s="621"/>
      <c r="D217" s="84" t="s">
        <v>16</v>
      </c>
      <c r="E217" s="85">
        <f t="shared" ref="E217:J217" si="75">E218+E219</f>
        <v>19.999999999999996</v>
      </c>
      <c r="F217" s="85">
        <f t="shared" si="75"/>
        <v>0.94</v>
      </c>
      <c r="G217" s="85">
        <f t="shared" si="75"/>
        <v>0</v>
      </c>
      <c r="H217" s="85">
        <f t="shared" si="75"/>
        <v>19.059999999999999</v>
      </c>
      <c r="I217" s="85">
        <f t="shared" si="75"/>
        <v>0</v>
      </c>
      <c r="J217" s="85">
        <f t="shared" si="75"/>
        <v>0</v>
      </c>
      <c r="K217" s="148">
        <v>0</v>
      </c>
      <c r="L217" s="497">
        <f t="shared" si="72"/>
        <v>20</v>
      </c>
      <c r="M217" s="142"/>
      <c r="N217" s="88"/>
      <c r="O217" s="89"/>
      <c r="P217" s="637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2"/>
    </row>
    <row r="218" spans="1:58" s="82" customFormat="1" ht="12.75" customHeight="1">
      <c r="A218" s="1183"/>
      <c r="B218" s="1259"/>
      <c r="C218" s="621"/>
      <c r="D218" s="84">
        <v>2026</v>
      </c>
      <c r="E218" s="85">
        <f>F218</f>
        <v>0.2</v>
      </c>
      <c r="F218" s="85">
        <v>0.2</v>
      </c>
      <c r="G218" s="85">
        <v>0</v>
      </c>
      <c r="H218" s="85">
        <v>0</v>
      </c>
      <c r="I218" s="85">
        <v>0</v>
      </c>
      <c r="J218" s="85">
        <v>0</v>
      </c>
      <c r="K218" s="148">
        <v>0</v>
      </c>
      <c r="L218" s="497">
        <f t="shared" si="72"/>
        <v>0.2</v>
      </c>
      <c r="M218" s="142"/>
      <c r="N218" s="88"/>
      <c r="O218" s="89"/>
      <c r="P218" s="637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2"/>
    </row>
    <row r="219" spans="1:58" s="82" customFormat="1" ht="12.75" customHeight="1">
      <c r="A219" s="1184"/>
      <c r="B219" s="1260"/>
      <c r="C219" s="621"/>
      <c r="D219" s="84">
        <v>2027</v>
      </c>
      <c r="E219" s="85">
        <f>F219+G219+H219+I219+J219</f>
        <v>19.799999999999997</v>
      </c>
      <c r="F219" s="85">
        <v>0.74</v>
      </c>
      <c r="G219" s="85">
        <v>0</v>
      </c>
      <c r="H219" s="85">
        <v>19.059999999999999</v>
      </c>
      <c r="I219" s="85">
        <v>0</v>
      </c>
      <c r="J219" s="85">
        <v>0</v>
      </c>
      <c r="K219" s="148">
        <v>0</v>
      </c>
      <c r="L219" s="497">
        <f t="shared" si="72"/>
        <v>19.799999999999997</v>
      </c>
      <c r="M219" s="142"/>
      <c r="N219" s="88"/>
      <c r="O219" s="89"/>
      <c r="P219" s="637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2"/>
    </row>
    <row r="220" spans="1:58" s="82" customFormat="1" ht="12.75" customHeight="1">
      <c r="A220" s="1128" t="s">
        <v>478</v>
      </c>
      <c r="B220" s="1256" t="s">
        <v>479</v>
      </c>
      <c r="C220" s="621"/>
      <c r="D220" s="84" t="s">
        <v>16</v>
      </c>
      <c r="E220" s="85">
        <f t="shared" ref="E220:J220" si="76">E221+E222</f>
        <v>16.25</v>
      </c>
      <c r="F220" s="85">
        <f t="shared" si="76"/>
        <v>1.05</v>
      </c>
      <c r="G220" s="85">
        <f t="shared" si="76"/>
        <v>0</v>
      </c>
      <c r="H220" s="85">
        <f t="shared" si="76"/>
        <v>15.2</v>
      </c>
      <c r="I220" s="85">
        <f t="shared" si="76"/>
        <v>0</v>
      </c>
      <c r="J220" s="85">
        <f t="shared" si="76"/>
        <v>0</v>
      </c>
      <c r="K220" s="148">
        <v>0</v>
      </c>
      <c r="L220" s="497">
        <f t="shared" si="72"/>
        <v>16.25</v>
      </c>
      <c r="M220" s="142"/>
      <c r="N220" s="88"/>
      <c r="O220" s="89"/>
      <c r="P220" s="637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2"/>
    </row>
    <row r="221" spans="1:58" s="82" customFormat="1" ht="12.75" customHeight="1">
      <c r="A221" s="1183"/>
      <c r="B221" s="1259"/>
      <c r="C221" s="621"/>
      <c r="D221" s="84">
        <v>2026</v>
      </c>
      <c r="E221" s="85">
        <f>F221</f>
        <v>0.25</v>
      </c>
      <c r="F221" s="85">
        <v>0.25</v>
      </c>
      <c r="G221" s="85">
        <v>0</v>
      </c>
      <c r="H221" s="85">
        <v>0</v>
      </c>
      <c r="I221" s="85">
        <v>0</v>
      </c>
      <c r="J221" s="85">
        <v>0</v>
      </c>
      <c r="K221" s="148">
        <v>0</v>
      </c>
      <c r="L221" s="497">
        <f t="shared" si="72"/>
        <v>0.25</v>
      </c>
      <c r="M221" s="142"/>
      <c r="N221" s="88"/>
      <c r="O221" s="89"/>
      <c r="P221" s="637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2"/>
    </row>
    <row r="222" spans="1:58" s="82" customFormat="1" ht="12.75" customHeight="1">
      <c r="A222" s="1184"/>
      <c r="B222" s="1260"/>
      <c r="C222" s="621"/>
      <c r="D222" s="84">
        <v>2027</v>
      </c>
      <c r="E222" s="85">
        <f>F222+G222+H222+I222+J222</f>
        <v>16</v>
      </c>
      <c r="F222" s="85">
        <v>0.8</v>
      </c>
      <c r="G222" s="85">
        <v>0</v>
      </c>
      <c r="H222" s="85">
        <v>15.2</v>
      </c>
      <c r="I222" s="85">
        <v>0</v>
      </c>
      <c r="J222" s="85">
        <v>0</v>
      </c>
      <c r="K222" s="148">
        <v>0</v>
      </c>
      <c r="L222" s="497">
        <f t="shared" si="72"/>
        <v>16</v>
      </c>
      <c r="M222" s="142"/>
      <c r="N222" s="88"/>
      <c r="O222" s="89"/>
      <c r="P222" s="637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2"/>
    </row>
    <row r="223" spans="1:58" s="82" customFormat="1" ht="12.75" customHeight="1">
      <c r="A223" s="1128" t="s">
        <v>480</v>
      </c>
      <c r="B223" s="1256" t="s">
        <v>481</v>
      </c>
      <c r="C223" s="621"/>
      <c r="D223" s="84" t="s">
        <v>16</v>
      </c>
      <c r="E223" s="85">
        <f t="shared" ref="E223:J223" si="77">E225+E224</f>
        <v>16.25</v>
      </c>
      <c r="F223" s="85">
        <f t="shared" si="77"/>
        <v>1.05</v>
      </c>
      <c r="G223" s="85">
        <f t="shared" si="77"/>
        <v>0</v>
      </c>
      <c r="H223" s="85">
        <f t="shared" si="77"/>
        <v>15.2</v>
      </c>
      <c r="I223" s="85">
        <f t="shared" si="77"/>
        <v>0</v>
      </c>
      <c r="J223" s="85">
        <f t="shared" si="77"/>
        <v>0</v>
      </c>
      <c r="K223" s="148">
        <v>0</v>
      </c>
      <c r="L223" s="497">
        <f t="shared" si="72"/>
        <v>16.25</v>
      </c>
      <c r="M223" s="142"/>
      <c r="N223" s="88"/>
      <c r="O223" s="89"/>
      <c r="P223" s="637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2"/>
    </row>
    <row r="224" spans="1:58" s="82" customFormat="1" ht="12.75" customHeight="1">
      <c r="A224" s="1183"/>
      <c r="B224" s="1257"/>
      <c r="C224" s="621"/>
      <c r="D224" s="84">
        <v>2026</v>
      </c>
      <c r="E224" s="85">
        <f>F224</f>
        <v>0.25</v>
      </c>
      <c r="F224" s="85">
        <v>0.25</v>
      </c>
      <c r="G224" s="85">
        <v>0</v>
      </c>
      <c r="H224" s="85">
        <v>0</v>
      </c>
      <c r="I224" s="85">
        <v>0</v>
      </c>
      <c r="J224" s="85">
        <v>0</v>
      </c>
      <c r="K224" s="148">
        <v>0</v>
      </c>
      <c r="L224" s="497">
        <f t="shared" si="72"/>
        <v>0.25</v>
      </c>
      <c r="M224" s="142"/>
      <c r="N224" s="88"/>
      <c r="O224" s="89"/>
      <c r="P224" s="637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2"/>
    </row>
    <row r="225" spans="1:58" s="82" customFormat="1" ht="12.75" customHeight="1">
      <c r="A225" s="1184"/>
      <c r="B225" s="1258"/>
      <c r="C225" s="621"/>
      <c r="D225" s="84">
        <v>2027</v>
      </c>
      <c r="E225" s="85">
        <f>F225+G225+H225</f>
        <v>16</v>
      </c>
      <c r="F225" s="85">
        <v>0.8</v>
      </c>
      <c r="G225" s="85">
        <v>0</v>
      </c>
      <c r="H225" s="85">
        <v>15.2</v>
      </c>
      <c r="I225" s="85">
        <v>0</v>
      </c>
      <c r="J225" s="85">
        <v>0</v>
      </c>
      <c r="K225" s="148">
        <v>0</v>
      </c>
      <c r="L225" s="497">
        <f t="shared" si="72"/>
        <v>16</v>
      </c>
      <c r="M225" s="142"/>
      <c r="N225" s="88"/>
      <c r="O225" s="89"/>
      <c r="P225" s="637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2"/>
    </row>
    <row r="226" spans="1:58" s="82" customFormat="1" ht="12.75" customHeight="1">
      <c r="A226" s="1128" t="s">
        <v>482</v>
      </c>
      <c r="B226" s="1256" t="s">
        <v>483</v>
      </c>
      <c r="C226" s="621"/>
      <c r="D226" s="84" t="s">
        <v>16</v>
      </c>
      <c r="E226" s="85">
        <f t="shared" ref="E226:J226" si="78">E228+E227</f>
        <v>22.5</v>
      </c>
      <c r="F226" s="85">
        <f t="shared" si="78"/>
        <v>1.5049999999999999</v>
      </c>
      <c r="G226" s="85">
        <f t="shared" si="78"/>
        <v>0</v>
      </c>
      <c r="H226" s="85">
        <f t="shared" si="78"/>
        <v>20.995000000000001</v>
      </c>
      <c r="I226" s="85">
        <f t="shared" si="78"/>
        <v>0</v>
      </c>
      <c r="J226" s="85">
        <f t="shared" si="78"/>
        <v>0</v>
      </c>
      <c r="K226" s="148">
        <v>0</v>
      </c>
      <c r="L226" s="497">
        <f t="shared" si="72"/>
        <v>22.5</v>
      </c>
      <c r="M226" s="142"/>
      <c r="N226" s="88"/>
      <c r="O226" s="89"/>
      <c r="P226" s="637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2"/>
    </row>
    <row r="227" spans="1:58" s="82" customFormat="1" ht="12.75" customHeight="1">
      <c r="A227" s="1183"/>
      <c r="B227" s="1259"/>
      <c r="C227" s="621"/>
      <c r="D227" s="84">
        <v>2026</v>
      </c>
      <c r="E227" s="85">
        <f>F227</f>
        <v>0.4</v>
      </c>
      <c r="F227" s="85">
        <v>0.4</v>
      </c>
      <c r="G227" s="85">
        <v>0</v>
      </c>
      <c r="H227" s="85">
        <v>0</v>
      </c>
      <c r="I227" s="85">
        <v>0</v>
      </c>
      <c r="J227" s="85">
        <v>0</v>
      </c>
      <c r="K227" s="148">
        <v>0</v>
      </c>
      <c r="L227" s="497">
        <f t="shared" si="72"/>
        <v>0.4</v>
      </c>
      <c r="M227" s="142"/>
      <c r="N227" s="88"/>
      <c r="O227" s="89"/>
      <c r="P227" s="637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2"/>
    </row>
    <row r="228" spans="1:58" s="82" customFormat="1" ht="12.75" customHeight="1">
      <c r="A228" s="1184"/>
      <c r="B228" s="1260"/>
      <c r="C228" s="621"/>
      <c r="D228" s="84">
        <v>2027</v>
      </c>
      <c r="E228" s="85">
        <f>F228+G228+H228+I228+J228</f>
        <v>22.1</v>
      </c>
      <c r="F228" s="85">
        <v>1.105</v>
      </c>
      <c r="G228" s="85">
        <v>0</v>
      </c>
      <c r="H228" s="85">
        <v>20.995000000000001</v>
      </c>
      <c r="I228" s="85">
        <v>0</v>
      </c>
      <c r="J228" s="85">
        <v>0</v>
      </c>
      <c r="K228" s="148">
        <v>0</v>
      </c>
      <c r="L228" s="497">
        <f t="shared" si="72"/>
        <v>22.1</v>
      </c>
      <c r="M228" s="142"/>
      <c r="N228" s="88"/>
      <c r="O228" s="89"/>
      <c r="P228" s="637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2"/>
    </row>
    <row r="229" spans="1:58" s="82" customFormat="1" ht="12.75" customHeight="1">
      <c r="A229" s="1128" t="s">
        <v>484</v>
      </c>
      <c r="B229" s="1256" t="s">
        <v>485</v>
      </c>
      <c r="C229" s="1245" t="s">
        <v>372</v>
      </c>
      <c r="D229" s="84" t="s">
        <v>16</v>
      </c>
      <c r="E229" s="85">
        <f t="shared" ref="E229:J229" si="79">E230</f>
        <v>2.4718</v>
      </c>
      <c r="F229" s="85">
        <f t="shared" si="79"/>
        <v>2.4718</v>
      </c>
      <c r="G229" s="85">
        <f t="shared" si="79"/>
        <v>0</v>
      </c>
      <c r="H229" s="85">
        <f t="shared" si="79"/>
        <v>0</v>
      </c>
      <c r="I229" s="85">
        <f t="shared" si="79"/>
        <v>0</v>
      </c>
      <c r="J229" s="85">
        <f t="shared" si="79"/>
        <v>0</v>
      </c>
      <c r="K229" s="148">
        <v>0</v>
      </c>
      <c r="L229" s="497">
        <f t="shared" si="72"/>
        <v>2.4718</v>
      </c>
      <c r="M229" s="142"/>
      <c r="N229" s="88"/>
      <c r="O229" s="89"/>
      <c r="P229" s="637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2"/>
    </row>
    <row r="230" spans="1:58" s="82" customFormat="1" ht="12.75" customHeight="1">
      <c r="A230" s="1183"/>
      <c r="B230" s="1259"/>
      <c r="C230" s="1245"/>
      <c r="D230" s="84">
        <v>2019</v>
      </c>
      <c r="E230" s="85">
        <f>F230</f>
        <v>2.4718</v>
      </c>
      <c r="F230" s="85">
        <v>2.4718</v>
      </c>
      <c r="G230" s="85">
        <v>0</v>
      </c>
      <c r="H230" s="85">
        <v>0</v>
      </c>
      <c r="I230" s="85">
        <v>0</v>
      </c>
      <c r="J230" s="85">
        <v>0</v>
      </c>
      <c r="K230" s="148">
        <v>0</v>
      </c>
      <c r="L230" s="497">
        <f t="shared" si="72"/>
        <v>2.4718</v>
      </c>
      <c r="M230" s="142"/>
      <c r="N230" s="88"/>
      <c r="O230" s="89"/>
      <c r="P230" s="637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2"/>
    </row>
    <row r="231" spans="1:58" s="82" customFormat="1" ht="12.75" customHeight="1">
      <c r="A231" s="1128" t="s">
        <v>486</v>
      </c>
      <c r="B231" s="1256" t="s">
        <v>487</v>
      </c>
      <c r="C231" s="611"/>
      <c r="D231" s="84" t="s">
        <v>16</v>
      </c>
      <c r="E231" s="85">
        <f t="shared" ref="E231:J231" si="80">E232+E233</f>
        <v>25.124799999999997</v>
      </c>
      <c r="F231" s="85">
        <f t="shared" si="80"/>
        <v>3.5467</v>
      </c>
      <c r="G231" s="85">
        <f t="shared" si="80"/>
        <v>0</v>
      </c>
      <c r="H231" s="85">
        <f t="shared" si="80"/>
        <v>21.578099999999999</v>
      </c>
      <c r="I231" s="85">
        <f t="shared" si="80"/>
        <v>0</v>
      </c>
      <c r="J231" s="85">
        <f t="shared" si="80"/>
        <v>0</v>
      </c>
      <c r="K231" s="148">
        <v>0</v>
      </c>
      <c r="L231" s="497">
        <f t="shared" si="72"/>
        <v>25.1248</v>
      </c>
      <c r="M231" s="142"/>
      <c r="N231" s="88"/>
      <c r="O231" s="89"/>
      <c r="P231" s="637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2"/>
    </row>
    <row r="232" spans="1:58" s="82" customFormat="1" ht="27" customHeight="1">
      <c r="A232" s="1183"/>
      <c r="B232" s="1259"/>
      <c r="C232" s="621" t="s">
        <v>372</v>
      </c>
      <c r="D232" s="84">
        <v>2019</v>
      </c>
      <c r="E232" s="85">
        <f>F232+G232+H232+I232+J232</f>
        <v>0.32229999999999998</v>
      </c>
      <c r="F232" s="85">
        <v>0.32229999999999998</v>
      </c>
      <c r="G232" s="85">
        <v>0</v>
      </c>
      <c r="H232" s="85">
        <v>0</v>
      </c>
      <c r="I232" s="85">
        <v>0</v>
      </c>
      <c r="J232" s="85">
        <v>0</v>
      </c>
      <c r="K232" s="148">
        <v>0</v>
      </c>
      <c r="L232" s="497">
        <f t="shared" si="72"/>
        <v>0.32229999999999998</v>
      </c>
      <c r="M232" s="142"/>
      <c r="N232" s="88"/>
      <c r="O232" s="89"/>
      <c r="P232" s="637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2"/>
    </row>
    <row r="233" spans="1:58" s="82" customFormat="1" ht="32.25" customHeight="1">
      <c r="A233" s="553"/>
      <c r="B233" s="644"/>
      <c r="C233" s="583" t="s">
        <v>1101</v>
      </c>
      <c r="D233" s="84">
        <v>2020</v>
      </c>
      <c r="E233" s="85">
        <f>F233+G233+H233</f>
        <v>24.802499999999998</v>
      </c>
      <c r="F233" s="85">
        <v>3.2244000000000002</v>
      </c>
      <c r="G233" s="85">
        <v>0</v>
      </c>
      <c r="H233" s="85">
        <v>21.578099999999999</v>
      </c>
      <c r="I233" s="85">
        <v>0</v>
      </c>
      <c r="J233" s="85">
        <v>0</v>
      </c>
      <c r="K233" s="148">
        <v>0</v>
      </c>
      <c r="L233" s="497">
        <f t="shared" si="72"/>
        <v>24.802499999999998</v>
      </c>
      <c r="M233" s="142"/>
      <c r="N233" s="88"/>
      <c r="O233" s="89"/>
      <c r="P233" s="637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2"/>
    </row>
    <row r="234" spans="1:58" s="82" customFormat="1" ht="12.75" customHeight="1">
      <c r="A234" s="1128" t="s">
        <v>488</v>
      </c>
      <c r="B234" s="1256" t="s">
        <v>489</v>
      </c>
      <c r="C234" s="1224" t="s">
        <v>407</v>
      </c>
      <c r="D234" s="84" t="s">
        <v>16</v>
      </c>
      <c r="E234" s="85">
        <f t="shared" ref="E234:J234" si="81">E235+E236+E237</f>
        <v>83.299970000000002</v>
      </c>
      <c r="F234" s="85">
        <f t="shared" si="81"/>
        <v>11.8714</v>
      </c>
      <c r="G234" s="85">
        <f t="shared" si="81"/>
        <v>0</v>
      </c>
      <c r="H234" s="85">
        <f t="shared" si="81"/>
        <v>71.428570000000008</v>
      </c>
      <c r="I234" s="85">
        <f t="shared" si="81"/>
        <v>0</v>
      </c>
      <c r="J234" s="85">
        <f t="shared" si="81"/>
        <v>0</v>
      </c>
      <c r="K234" s="148">
        <v>0</v>
      </c>
      <c r="L234" s="497">
        <f t="shared" si="72"/>
        <v>83.299970000000002</v>
      </c>
      <c r="M234" s="142"/>
      <c r="N234" s="88"/>
      <c r="O234" s="89"/>
      <c r="P234" s="637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2"/>
    </row>
    <row r="235" spans="1:58" s="82" customFormat="1" ht="12.75" customHeight="1">
      <c r="A235" s="1183"/>
      <c r="B235" s="1259"/>
      <c r="C235" s="1225"/>
      <c r="D235" s="84">
        <v>2026</v>
      </c>
      <c r="E235" s="85">
        <f>F235+G235+H235+I235+J235</f>
        <v>8.3000000000000007</v>
      </c>
      <c r="F235" s="85">
        <v>8.3000000000000007</v>
      </c>
      <c r="G235" s="85">
        <v>0</v>
      </c>
      <c r="H235" s="85">
        <v>0</v>
      </c>
      <c r="I235" s="85">
        <v>0</v>
      </c>
      <c r="J235" s="85">
        <v>0</v>
      </c>
      <c r="K235" s="148">
        <v>0</v>
      </c>
      <c r="L235" s="497">
        <f t="shared" si="72"/>
        <v>8.3000000000000007</v>
      </c>
      <c r="M235" s="142"/>
      <c r="N235" s="88"/>
      <c r="O235" s="89"/>
      <c r="P235" s="637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2"/>
    </row>
    <row r="236" spans="1:58" s="82" customFormat="1" ht="26.25" customHeight="1">
      <c r="A236" s="1183"/>
      <c r="B236" s="1259"/>
      <c r="C236" s="1225"/>
      <c r="D236" s="84">
        <v>2027</v>
      </c>
      <c r="E236" s="85">
        <f>F236+G236+H236+I236+J236</f>
        <v>30.817500000000003</v>
      </c>
      <c r="F236" s="85">
        <v>1.4675</v>
      </c>
      <c r="G236" s="85">
        <v>0</v>
      </c>
      <c r="H236" s="85">
        <v>29.35</v>
      </c>
      <c r="I236" s="85">
        <v>0</v>
      </c>
      <c r="J236" s="85">
        <v>0</v>
      </c>
      <c r="K236" s="148">
        <v>0</v>
      </c>
      <c r="L236" s="497">
        <f t="shared" si="72"/>
        <v>30.817500000000003</v>
      </c>
      <c r="M236" s="895" t="s">
        <v>490</v>
      </c>
      <c r="N236" s="88"/>
      <c r="O236" s="89"/>
      <c r="P236" s="637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2"/>
    </row>
    <row r="237" spans="1:58" s="82" customFormat="1" ht="48.75" customHeight="1">
      <c r="A237" s="1184"/>
      <c r="B237" s="1260"/>
      <c r="C237" s="1226"/>
      <c r="D237" s="84">
        <v>2028</v>
      </c>
      <c r="E237" s="85">
        <f>F237+G237+H237+I237+J237</f>
        <v>44.182470000000002</v>
      </c>
      <c r="F237" s="85">
        <v>2.1038999999999999</v>
      </c>
      <c r="G237" s="85">
        <v>0</v>
      </c>
      <c r="H237" s="85">
        <v>42.078569999999999</v>
      </c>
      <c r="I237" s="85">
        <v>0</v>
      </c>
      <c r="J237" s="85">
        <v>0</v>
      </c>
      <c r="K237" s="148">
        <v>0</v>
      </c>
      <c r="L237" s="497">
        <f t="shared" ref="L237:L268" si="82">F237+G237+H237+I237+J237</f>
        <v>44.182470000000002</v>
      </c>
      <c r="M237" s="897"/>
      <c r="N237" s="88"/>
      <c r="O237" s="89"/>
      <c r="P237" s="637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2"/>
    </row>
    <row r="238" spans="1:58" s="82" customFormat="1" ht="12.75" customHeight="1">
      <c r="A238" s="1128" t="s">
        <v>491</v>
      </c>
      <c r="B238" s="1262" t="s">
        <v>492</v>
      </c>
      <c r="C238" s="1224" t="s">
        <v>493</v>
      </c>
      <c r="D238" s="84" t="s">
        <v>16</v>
      </c>
      <c r="E238" s="85">
        <f t="shared" ref="E238:J238" si="83">E239+E240</f>
        <v>527.01459999999997</v>
      </c>
      <c r="F238" s="85">
        <f t="shared" si="83"/>
        <v>29.675199999999997</v>
      </c>
      <c r="G238" s="85">
        <f t="shared" si="83"/>
        <v>0</v>
      </c>
      <c r="H238" s="85">
        <f t="shared" si="83"/>
        <v>497.33940000000001</v>
      </c>
      <c r="I238" s="85">
        <f t="shared" si="83"/>
        <v>0</v>
      </c>
      <c r="J238" s="85">
        <f t="shared" si="83"/>
        <v>0</v>
      </c>
      <c r="K238" s="148">
        <v>0</v>
      </c>
      <c r="L238" s="497">
        <f t="shared" si="82"/>
        <v>527.01459999999997</v>
      </c>
      <c r="M238" s="943" t="s">
        <v>494</v>
      </c>
      <c r="N238" s="88"/>
      <c r="O238" s="89">
        <v>50</v>
      </c>
      <c r="P238" s="637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2"/>
    </row>
    <row r="239" spans="1:58" s="82" customFormat="1" ht="84.75" customHeight="1">
      <c r="A239" s="1183"/>
      <c r="B239" s="1263"/>
      <c r="C239" s="1226"/>
      <c r="D239" s="84">
        <v>2019</v>
      </c>
      <c r="E239" s="85">
        <f>F239+G239+H239+I239+J239</f>
        <v>189.26400000000001</v>
      </c>
      <c r="F239" s="85">
        <v>12.787599999999999</v>
      </c>
      <c r="G239" s="85">
        <v>0</v>
      </c>
      <c r="H239" s="85">
        <v>176.47640000000001</v>
      </c>
      <c r="I239" s="85">
        <v>0</v>
      </c>
      <c r="J239" s="85">
        <v>0</v>
      </c>
      <c r="K239" s="148">
        <v>0</v>
      </c>
      <c r="L239" s="497">
        <f t="shared" si="82"/>
        <v>189.26400000000001</v>
      </c>
      <c r="M239" s="845"/>
      <c r="N239" s="145"/>
      <c r="O239" s="352"/>
      <c r="P239" s="637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2"/>
    </row>
    <row r="240" spans="1:58" s="82" customFormat="1" ht="21.75" customHeight="1">
      <c r="A240" s="1183"/>
      <c r="B240" s="1263"/>
      <c r="C240" s="1262" t="s">
        <v>1101</v>
      </c>
      <c r="D240" s="84">
        <v>2020</v>
      </c>
      <c r="E240" s="85">
        <f>F240+G240+H240+I240+J240</f>
        <v>337.75060000000002</v>
      </c>
      <c r="F240" s="85">
        <v>16.887599999999999</v>
      </c>
      <c r="G240" s="85">
        <v>0</v>
      </c>
      <c r="H240" s="85">
        <v>320.863</v>
      </c>
      <c r="I240" s="85">
        <v>0</v>
      </c>
      <c r="J240" s="85">
        <v>0</v>
      </c>
      <c r="K240" s="148">
        <v>0</v>
      </c>
      <c r="L240" s="497">
        <f t="shared" si="82"/>
        <v>337.75060000000002</v>
      </c>
      <c r="M240" s="846"/>
      <c r="N240" s="88"/>
      <c r="O240" s="89"/>
      <c r="P240" s="637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2"/>
    </row>
    <row r="241" spans="1:58" s="82" customFormat="1" ht="21.75" customHeight="1">
      <c r="A241" s="1184"/>
      <c r="B241" s="1274"/>
      <c r="C241" s="1274"/>
      <c r="D241" s="84">
        <v>2021</v>
      </c>
      <c r="E241" s="85">
        <f>F241+G241+H241+I241+J241</f>
        <v>321.48020000000002</v>
      </c>
      <c r="F241" s="85">
        <v>15.3086</v>
      </c>
      <c r="G241" s="85">
        <v>0</v>
      </c>
      <c r="H241" s="85">
        <v>306.17160000000001</v>
      </c>
      <c r="I241" s="85">
        <v>0</v>
      </c>
      <c r="J241" s="85">
        <v>0</v>
      </c>
      <c r="K241" s="148">
        <v>0</v>
      </c>
      <c r="L241" s="497">
        <f t="shared" si="82"/>
        <v>321.48020000000002</v>
      </c>
      <c r="M241" s="660"/>
      <c r="N241" s="88"/>
      <c r="O241" s="89"/>
      <c r="P241" s="637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2"/>
    </row>
    <row r="242" spans="1:58" s="82" customFormat="1" ht="22.5" customHeight="1">
      <c r="A242" s="1128" t="s">
        <v>495</v>
      </c>
      <c r="B242" s="1080" t="s">
        <v>496</v>
      </c>
      <c r="C242" s="1262" t="s">
        <v>1101</v>
      </c>
      <c r="D242" s="84" t="s">
        <v>16</v>
      </c>
      <c r="E242" s="85">
        <f t="shared" ref="E242:J242" si="84">E243</f>
        <v>4.3884999999999996</v>
      </c>
      <c r="F242" s="85">
        <f t="shared" si="84"/>
        <v>4.3884999999999996</v>
      </c>
      <c r="G242" s="85">
        <f t="shared" si="84"/>
        <v>0</v>
      </c>
      <c r="H242" s="85">
        <f t="shared" si="84"/>
        <v>0</v>
      </c>
      <c r="I242" s="85">
        <f t="shared" si="84"/>
        <v>0</v>
      </c>
      <c r="J242" s="85">
        <f t="shared" si="84"/>
        <v>0</v>
      </c>
      <c r="K242" s="148">
        <v>0</v>
      </c>
      <c r="L242" s="497">
        <f t="shared" si="82"/>
        <v>4.3884999999999996</v>
      </c>
      <c r="M242" s="660"/>
      <c r="N242" s="88"/>
      <c r="O242" s="89"/>
      <c r="P242" s="637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2"/>
    </row>
    <row r="243" spans="1:58" s="82" customFormat="1" ht="15.75" customHeight="1">
      <c r="A243" s="1184"/>
      <c r="B243" s="1261"/>
      <c r="C243" s="1274"/>
      <c r="D243" s="84">
        <v>2022</v>
      </c>
      <c r="E243" s="85">
        <f>F243+G243+H243+I243+J243</f>
        <v>4.3884999999999996</v>
      </c>
      <c r="F243" s="85">
        <v>4.3884999999999996</v>
      </c>
      <c r="G243" s="85">
        <v>0</v>
      </c>
      <c r="H243" s="85">
        <v>0</v>
      </c>
      <c r="I243" s="85">
        <v>0</v>
      </c>
      <c r="J243" s="85">
        <v>0</v>
      </c>
      <c r="K243" s="148">
        <v>0</v>
      </c>
      <c r="L243" s="497">
        <f t="shared" si="82"/>
        <v>4.3884999999999996</v>
      </c>
      <c r="M243" s="660"/>
      <c r="N243" s="88"/>
      <c r="O243" s="89"/>
      <c r="P243" s="637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2"/>
    </row>
    <row r="244" spans="1:58" s="82" customFormat="1">
      <c r="A244" s="1128" t="s">
        <v>497</v>
      </c>
      <c r="B244" s="1080" t="s">
        <v>498</v>
      </c>
      <c r="C244" s="1262" t="s">
        <v>1101</v>
      </c>
      <c r="D244" s="84" t="s">
        <v>16</v>
      </c>
      <c r="E244" s="85">
        <f t="shared" ref="E244:J244" si="85">E245</f>
        <v>0.25580000000000003</v>
      </c>
      <c r="F244" s="85">
        <f t="shared" si="85"/>
        <v>0.25580000000000003</v>
      </c>
      <c r="G244" s="85">
        <f t="shared" si="85"/>
        <v>0</v>
      </c>
      <c r="H244" s="85">
        <f t="shared" si="85"/>
        <v>0</v>
      </c>
      <c r="I244" s="85">
        <f t="shared" si="85"/>
        <v>0</v>
      </c>
      <c r="J244" s="85">
        <f t="shared" si="85"/>
        <v>0</v>
      </c>
      <c r="K244" s="148">
        <v>0</v>
      </c>
      <c r="L244" s="497">
        <f t="shared" si="82"/>
        <v>0.25580000000000003</v>
      </c>
      <c r="M244" s="660"/>
      <c r="N244" s="88"/>
      <c r="O244" s="89"/>
      <c r="P244" s="637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2"/>
    </row>
    <row r="245" spans="1:58" s="82" customFormat="1">
      <c r="A245" s="1184"/>
      <c r="B245" s="1261"/>
      <c r="C245" s="1274"/>
      <c r="D245" s="84">
        <v>2022</v>
      </c>
      <c r="E245" s="85">
        <f>F245+G245+H245+I245+J245</f>
        <v>0.25580000000000003</v>
      </c>
      <c r="F245" s="85">
        <v>0.25580000000000003</v>
      </c>
      <c r="G245" s="85">
        <v>0</v>
      </c>
      <c r="H245" s="85">
        <v>0</v>
      </c>
      <c r="I245" s="85">
        <v>0</v>
      </c>
      <c r="J245" s="85">
        <v>0</v>
      </c>
      <c r="K245" s="148">
        <v>0</v>
      </c>
      <c r="L245" s="497">
        <f t="shared" si="82"/>
        <v>0.25580000000000003</v>
      </c>
      <c r="M245" s="660"/>
      <c r="N245" s="88"/>
      <c r="O245" s="89"/>
      <c r="P245" s="637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2"/>
    </row>
    <row r="246" spans="1:58" s="82" customFormat="1">
      <c r="A246" s="1284" t="s">
        <v>499</v>
      </c>
      <c r="B246" s="1256" t="s">
        <v>500</v>
      </c>
      <c r="C246" s="1262" t="s">
        <v>1101</v>
      </c>
      <c r="D246" s="84" t="s">
        <v>16</v>
      </c>
      <c r="E246" s="85">
        <f t="shared" ref="E246:J246" si="86">E247</f>
        <v>2.5539000000000001</v>
      </c>
      <c r="F246" s="85">
        <f t="shared" si="86"/>
        <v>2.5539000000000001</v>
      </c>
      <c r="G246" s="85">
        <f t="shared" si="86"/>
        <v>0</v>
      </c>
      <c r="H246" s="85">
        <f t="shared" si="86"/>
        <v>0</v>
      </c>
      <c r="I246" s="85">
        <f t="shared" si="86"/>
        <v>0</v>
      </c>
      <c r="J246" s="85">
        <f t="shared" si="86"/>
        <v>0</v>
      </c>
      <c r="K246" s="148">
        <v>0</v>
      </c>
      <c r="L246" s="497">
        <f t="shared" si="82"/>
        <v>2.5539000000000001</v>
      </c>
      <c r="M246" s="660"/>
      <c r="N246" s="88"/>
      <c r="O246" s="89"/>
      <c r="P246" s="637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2"/>
    </row>
    <row r="247" spans="1:58" s="82" customFormat="1">
      <c r="A247" s="1285"/>
      <c r="B247" s="1260"/>
      <c r="C247" s="1274"/>
      <c r="D247" s="84">
        <v>2022</v>
      </c>
      <c r="E247" s="85">
        <f>F247+G247+H247+I247+J247</f>
        <v>2.5539000000000001</v>
      </c>
      <c r="F247" s="85">
        <v>2.5539000000000001</v>
      </c>
      <c r="G247" s="85">
        <v>0</v>
      </c>
      <c r="H247" s="85">
        <v>0</v>
      </c>
      <c r="I247" s="85">
        <v>0</v>
      </c>
      <c r="J247" s="85">
        <v>0</v>
      </c>
      <c r="K247" s="148">
        <v>0</v>
      </c>
      <c r="L247" s="497">
        <f t="shared" si="82"/>
        <v>2.5539000000000001</v>
      </c>
      <c r="M247" s="660"/>
      <c r="N247" s="88"/>
      <c r="O247" s="89"/>
      <c r="P247" s="637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2"/>
    </row>
    <row r="248" spans="1:58" s="82" customFormat="1">
      <c r="A248" s="1128" t="s">
        <v>501</v>
      </c>
      <c r="B248" s="1256" t="s">
        <v>502</v>
      </c>
      <c r="C248" s="1262" t="s">
        <v>1397</v>
      </c>
      <c r="D248" s="84" t="s">
        <v>16</v>
      </c>
      <c r="E248" s="85">
        <f t="shared" ref="E248:J248" si="87">E249</f>
        <v>1.1483000000000001</v>
      </c>
      <c r="F248" s="85">
        <f t="shared" si="87"/>
        <v>1.1483000000000001</v>
      </c>
      <c r="G248" s="85">
        <f t="shared" si="87"/>
        <v>0</v>
      </c>
      <c r="H248" s="85">
        <f t="shared" si="87"/>
        <v>0</v>
      </c>
      <c r="I248" s="85">
        <f t="shared" si="87"/>
        <v>0</v>
      </c>
      <c r="J248" s="85">
        <f t="shared" si="87"/>
        <v>0</v>
      </c>
      <c r="K248" s="148">
        <v>0</v>
      </c>
      <c r="L248" s="497">
        <f t="shared" si="82"/>
        <v>1.1483000000000001</v>
      </c>
      <c r="M248" s="660"/>
      <c r="N248" s="88"/>
      <c r="O248" s="89"/>
      <c r="P248" s="637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2"/>
    </row>
    <row r="249" spans="1:58" s="82" customFormat="1">
      <c r="A249" s="1184"/>
      <c r="B249" s="1260"/>
      <c r="C249" s="1274"/>
      <c r="D249" s="84">
        <v>2023</v>
      </c>
      <c r="E249" s="85">
        <f>F249+G249+H249+I249+J249</f>
        <v>1.1483000000000001</v>
      </c>
      <c r="F249" s="85">
        <v>1.1483000000000001</v>
      </c>
      <c r="G249" s="85">
        <v>0</v>
      </c>
      <c r="H249" s="85">
        <v>0</v>
      </c>
      <c r="I249" s="85">
        <v>0</v>
      </c>
      <c r="J249" s="85">
        <v>0</v>
      </c>
      <c r="K249" s="148">
        <v>0</v>
      </c>
      <c r="L249" s="497">
        <f t="shared" si="82"/>
        <v>1.1483000000000001</v>
      </c>
      <c r="M249" s="660"/>
      <c r="N249" s="88"/>
      <c r="O249" s="89"/>
      <c r="P249" s="637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2"/>
    </row>
    <row r="250" spans="1:58" s="82" customFormat="1">
      <c r="A250" s="1128" t="s">
        <v>503</v>
      </c>
      <c r="B250" s="1256" t="s">
        <v>1131</v>
      </c>
      <c r="C250" s="1262" t="s">
        <v>1397</v>
      </c>
      <c r="D250" s="84" t="s">
        <v>429</v>
      </c>
      <c r="E250" s="85">
        <f t="shared" ref="E250:J250" si="88">E251</f>
        <v>2.3197000000000001</v>
      </c>
      <c r="F250" s="85">
        <f t="shared" si="88"/>
        <v>2.3197000000000001</v>
      </c>
      <c r="G250" s="85">
        <f t="shared" si="88"/>
        <v>0</v>
      </c>
      <c r="H250" s="85">
        <f t="shared" si="88"/>
        <v>0</v>
      </c>
      <c r="I250" s="85">
        <f t="shared" si="88"/>
        <v>0</v>
      </c>
      <c r="J250" s="85">
        <f t="shared" si="88"/>
        <v>0</v>
      </c>
      <c r="K250" s="148">
        <v>0</v>
      </c>
      <c r="L250" s="497">
        <f t="shared" si="82"/>
        <v>2.3197000000000001</v>
      </c>
      <c r="M250" s="660"/>
      <c r="N250" s="88"/>
      <c r="O250" s="89"/>
      <c r="P250" s="66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2"/>
    </row>
    <row r="251" spans="1:58" s="82" customFormat="1">
      <c r="A251" s="1184"/>
      <c r="B251" s="1260"/>
      <c r="C251" s="1274"/>
      <c r="D251" s="84">
        <v>2023</v>
      </c>
      <c r="E251" s="85">
        <f>F251</f>
        <v>2.3197000000000001</v>
      </c>
      <c r="F251" s="85">
        <v>2.3197000000000001</v>
      </c>
      <c r="G251" s="85">
        <v>0</v>
      </c>
      <c r="H251" s="85">
        <v>0</v>
      </c>
      <c r="I251" s="85">
        <v>0</v>
      </c>
      <c r="J251" s="85">
        <v>0</v>
      </c>
      <c r="K251" s="148">
        <v>0</v>
      </c>
      <c r="L251" s="497">
        <f t="shared" si="82"/>
        <v>2.3197000000000001</v>
      </c>
      <c r="M251" s="660"/>
      <c r="N251" s="88"/>
      <c r="O251" s="89"/>
      <c r="P251" s="66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2"/>
    </row>
    <row r="252" spans="1:58" s="82" customFormat="1">
      <c r="A252" s="1128" t="s">
        <v>505</v>
      </c>
      <c r="B252" s="1256" t="s">
        <v>1133</v>
      </c>
      <c r="C252" s="1262" t="s">
        <v>1397</v>
      </c>
      <c r="D252" s="84" t="s">
        <v>429</v>
      </c>
      <c r="E252" s="85">
        <f t="shared" ref="E252:J252" si="89">E253</f>
        <v>2.0299</v>
      </c>
      <c r="F252" s="85">
        <f t="shared" si="89"/>
        <v>2.0299</v>
      </c>
      <c r="G252" s="85">
        <f t="shared" si="89"/>
        <v>0</v>
      </c>
      <c r="H252" s="85">
        <f t="shared" si="89"/>
        <v>0</v>
      </c>
      <c r="I252" s="85">
        <f t="shared" si="89"/>
        <v>0</v>
      </c>
      <c r="J252" s="85">
        <f t="shared" si="89"/>
        <v>0</v>
      </c>
      <c r="K252" s="148">
        <v>0</v>
      </c>
      <c r="L252" s="497">
        <f t="shared" si="82"/>
        <v>2.0299</v>
      </c>
      <c r="M252" s="660"/>
      <c r="N252" s="88"/>
      <c r="O252" s="89"/>
      <c r="P252" s="66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2"/>
    </row>
    <row r="253" spans="1:58" s="82" customFormat="1">
      <c r="A253" s="1184"/>
      <c r="B253" s="1260"/>
      <c r="C253" s="1274"/>
      <c r="D253" s="84">
        <v>2023</v>
      </c>
      <c r="E253" s="85">
        <f>F253</f>
        <v>2.0299</v>
      </c>
      <c r="F253" s="85">
        <v>2.0299</v>
      </c>
      <c r="G253" s="85">
        <v>0</v>
      </c>
      <c r="H253" s="85">
        <v>0</v>
      </c>
      <c r="I253" s="85">
        <v>0</v>
      </c>
      <c r="J253" s="85">
        <v>0</v>
      </c>
      <c r="K253" s="148">
        <v>0</v>
      </c>
      <c r="L253" s="497">
        <f t="shared" si="82"/>
        <v>2.0299</v>
      </c>
      <c r="M253" s="660"/>
      <c r="N253" s="88"/>
      <c r="O253" s="89"/>
      <c r="P253" s="66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2"/>
    </row>
    <row r="254" spans="1:58" s="82" customFormat="1">
      <c r="A254" s="1128" t="s">
        <v>507</v>
      </c>
      <c r="B254" s="1256" t="s">
        <v>1135</v>
      </c>
      <c r="C254" s="1262" t="s">
        <v>1397</v>
      </c>
      <c r="D254" s="84" t="s">
        <v>16</v>
      </c>
      <c r="E254" s="85">
        <f t="shared" ref="E254:J254" si="90">E255</f>
        <v>2.0417000000000001</v>
      </c>
      <c r="F254" s="85">
        <f t="shared" si="90"/>
        <v>2.0417000000000001</v>
      </c>
      <c r="G254" s="85">
        <f t="shared" si="90"/>
        <v>0</v>
      </c>
      <c r="H254" s="85">
        <f t="shared" si="90"/>
        <v>0</v>
      </c>
      <c r="I254" s="85">
        <f t="shared" si="90"/>
        <v>0</v>
      </c>
      <c r="J254" s="85">
        <f t="shared" si="90"/>
        <v>0</v>
      </c>
      <c r="K254" s="148">
        <v>0</v>
      </c>
      <c r="L254" s="497">
        <f t="shared" si="82"/>
        <v>2.0417000000000001</v>
      </c>
      <c r="M254" s="660"/>
      <c r="N254" s="88"/>
      <c r="O254" s="89"/>
      <c r="P254" s="66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2"/>
    </row>
    <row r="255" spans="1:58" s="82" customFormat="1">
      <c r="A255" s="1184"/>
      <c r="B255" s="1260"/>
      <c r="C255" s="1274"/>
      <c r="D255" s="84">
        <v>2022</v>
      </c>
      <c r="E255" s="85">
        <f>F255</f>
        <v>2.0417000000000001</v>
      </c>
      <c r="F255" s="85">
        <v>2.0417000000000001</v>
      </c>
      <c r="G255" s="85">
        <v>0</v>
      </c>
      <c r="H255" s="85">
        <v>0</v>
      </c>
      <c r="I255" s="85">
        <v>0</v>
      </c>
      <c r="J255" s="85">
        <v>0</v>
      </c>
      <c r="K255" s="148">
        <v>0</v>
      </c>
      <c r="L255" s="497">
        <f t="shared" si="82"/>
        <v>2.0417000000000001</v>
      </c>
      <c r="M255" s="660"/>
      <c r="N255" s="88"/>
      <c r="O255" s="89"/>
      <c r="P255" s="66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2"/>
    </row>
    <row r="256" spans="1:58" s="82" customFormat="1" ht="24" customHeight="1">
      <c r="A256" s="1128" t="s">
        <v>509</v>
      </c>
      <c r="B256" s="1256" t="s">
        <v>1137</v>
      </c>
      <c r="C256" s="1262" t="s">
        <v>373</v>
      </c>
      <c r="D256" s="84" t="s">
        <v>429</v>
      </c>
      <c r="E256" s="85">
        <f t="shared" ref="E256:J256" si="91">E257</f>
        <v>3.1196999999999999</v>
      </c>
      <c r="F256" s="85">
        <f t="shared" si="91"/>
        <v>3.1196999999999999</v>
      </c>
      <c r="G256" s="85">
        <f t="shared" si="91"/>
        <v>0</v>
      </c>
      <c r="H256" s="85">
        <f t="shared" si="91"/>
        <v>0</v>
      </c>
      <c r="I256" s="85">
        <f t="shared" si="91"/>
        <v>0</v>
      </c>
      <c r="J256" s="85">
        <f t="shared" si="91"/>
        <v>0</v>
      </c>
      <c r="K256" s="148">
        <v>0</v>
      </c>
      <c r="L256" s="497">
        <f t="shared" si="82"/>
        <v>3.1196999999999999</v>
      </c>
      <c r="M256" s="660"/>
      <c r="N256" s="88"/>
      <c r="O256" s="89"/>
      <c r="P256" s="66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2"/>
    </row>
    <row r="257" spans="1:58" s="82" customFormat="1" ht="27.75" customHeight="1">
      <c r="A257" s="1184"/>
      <c r="B257" s="1260"/>
      <c r="C257" s="1274"/>
      <c r="D257" s="84">
        <v>2025</v>
      </c>
      <c r="E257" s="85">
        <f>F257</f>
        <v>3.1196999999999999</v>
      </c>
      <c r="F257" s="85">
        <v>3.1196999999999999</v>
      </c>
      <c r="G257" s="85">
        <v>0</v>
      </c>
      <c r="H257" s="85">
        <v>0</v>
      </c>
      <c r="I257" s="85">
        <v>0</v>
      </c>
      <c r="J257" s="85">
        <v>0</v>
      </c>
      <c r="K257" s="148">
        <v>0</v>
      </c>
      <c r="L257" s="497">
        <f t="shared" si="82"/>
        <v>3.1196999999999999</v>
      </c>
      <c r="M257" s="660"/>
      <c r="N257" s="88"/>
      <c r="O257" s="89"/>
      <c r="P257" s="1242" t="s">
        <v>405</v>
      </c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2"/>
    </row>
    <row r="258" spans="1:58" s="82" customFormat="1">
      <c r="A258" s="1128" t="s">
        <v>511</v>
      </c>
      <c r="B258" s="1256" t="s">
        <v>1139</v>
      </c>
      <c r="C258" s="1262" t="s">
        <v>373</v>
      </c>
      <c r="D258" s="84" t="s">
        <v>429</v>
      </c>
      <c r="E258" s="85">
        <f t="shared" ref="E258:J258" si="92">E259</f>
        <v>0.1774</v>
      </c>
      <c r="F258" s="85">
        <f t="shared" si="92"/>
        <v>0.1774</v>
      </c>
      <c r="G258" s="85">
        <f t="shared" si="92"/>
        <v>0</v>
      </c>
      <c r="H258" s="85">
        <f t="shared" si="92"/>
        <v>0</v>
      </c>
      <c r="I258" s="85">
        <f t="shared" si="92"/>
        <v>0</v>
      </c>
      <c r="J258" s="85">
        <f t="shared" si="92"/>
        <v>0</v>
      </c>
      <c r="K258" s="148">
        <v>0</v>
      </c>
      <c r="L258" s="497">
        <f t="shared" si="82"/>
        <v>0.1774</v>
      </c>
      <c r="M258" s="660"/>
      <c r="N258" s="88"/>
      <c r="O258" s="89"/>
      <c r="P258" s="1264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2"/>
    </row>
    <row r="259" spans="1:58" s="82" customFormat="1">
      <c r="A259" s="1184"/>
      <c r="B259" s="1260"/>
      <c r="C259" s="1274"/>
      <c r="D259" s="84">
        <v>2022</v>
      </c>
      <c r="E259" s="85">
        <f>F259</f>
        <v>0.1774</v>
      </c>
      <c r="F259" s="85">
        <v>0.1774</v>
      </c>
      <c r="G259" s="85">
        <v>0</v>
      </c>
      <c r="H259" s="85">
        <v>0</v>
      </c>
      <c r="I259" s="85">
        <v>0</v>
      </c>
      <c r="J259" s="85">
        <v>0</v>
      </c>
      <c r="K259" s="148">
        <v>0</v>
      </c>
      <c r="L259" s="497">
        <f t="shared" si="82"/>
        <v>0.1774</v>
      </c>
      <c r="M259" s="660"/>
      <c r="N259" s="88"/>
      <c r="O259" s="89"/>
      <c r="P259" s="1264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2"/>
    </row>
    <row r="260" spans="1:58" s="82" customFormat="1" ht="25.5">
      <c r="A260" s="553" t="s">
        <v>1130</v>
      </c>
      <c r="B260" s="644" t="s">
        <v>1141</v>
      </c>
      <c r="C260" s="1262" t="s">
        <v>373</v>
      </c>
      <c r="D260" s="84" t="s">
        <v>429</v>
      </c>
      <c r="E260" s="85">
        <f t="shared" ref="E260:J260" si="93">E261</f>
        <v>0.47360000000000002</v>
      </c>
      <c r="F260" s="85">
        <f t="shared" si="93"/>
        <v>0.47360000000000002</v>
      </c>
      <c r="G260" s="85">
        <f t="shared" si="93"/>
        <v>0</v>
      </c>
      <c r="H260" s="85">
        <f t="shared" si="93"/>
        <v>0</v>
      </c>
      <c r="I260" s="85">
        <f t="shared" si="93"/>
        <v>0</v>
      </c>
      <c r="J260" s="85">
        <f t="shared" si="93"/>
        <v>0</v>
      </c>
      <c r="K260" s="148">
        <v>0</v>
      </c>
      <c r="L260" s="497">
        <f t="shared" si="82"/>
        <v>0.47360000000000002</v>
      </c>
      <c r="M260" s="660"/>
      <c r="N260" s="88"/>
      <c r="O260" s="89"/>
      <c r="P260" s="1264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2"/>
    </row>
    <row r="261" spans="1:58" s="82" customFormat="1">
      <c r="A261" s="553"/>
      <c r="B261" s="644"/>
      <c r="C261" s="1274"/>
      <c r="D261" s="84">
        <v>2023</v>
      </c>
      <c r="E261" s="85">
        <f>F261</f>
        <v>0.47360000000000002</v>
      </c>
      <c r="F261" s="85">
        <v>0.47360000000000002</v>
      </c>
      <c r="G261" s="85">
        <v>0</v>
      </c>
      <c r="H261" s="85">
        <v>0</v>
      </c>
      <c r="I261" s="85">
        <v>0</v>
      </c>
      <c r="J261" s="85">
        <v>0</v>
      </c>
      <c r="K261" s="148">
        <v>0</v>
      </c>
      <c r="L261" s="497">
        <f t="shared" si="82"/>
        <v>0.47360000000000002</v>
      </c>
      <c r="M261" s="660"/>
      <c r="N261" s="88"/>
      <c r="O261" s="89"/>
      <c r="P261" s="1264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2"/>
    </row>
    <row r="262" spans="1:58" s="82" customFormat="1" ht="24.75" customHeight="1">
      <c r="A262" s="1128" t="s">
        <v>1132</v>
      </c>
      <c r="B262" s="1262" t="s">
        <v>504</v>
      </c>
      <c r="C262" s="1224" t="s">
        <v>407</v>
      </c>
      <c r="D262" s="84" t="s">
        <v>16</v>
      </c>
      <c r="E262" s="85">
        <f>E263</f>
        <v>130</v>
      </c>
      <c r="F262" s="85">
        <f>F263</f>
        <v>41.94</v>
      </c>
      <c r="G262" s="85">
        <f>G263</f>
        <v>0</v>
      </c>
      <c r="H262" s="85">
        <f>H263</f>
        <v>88.06</v>
      </c>
      <c r="I262" s="85">
        <f>I263</f>
        <v>0</v>
      </c>
      <c r="J262" s="85">
        <v>0</v>
      </c>
      <c r="K262" s="148">
        <v>0</v>
      </c>
      <c r="L262" s="497">
        <f t="shared" si="82"/>
        <v>130</v>
      </c>
      <c r="M262" s="660"/>
      <c r="N262" s="88"/>
      <c r="O262" s="89"/>
      <c r="P262" s="1264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2"/>
    </row>
    <row r="263" spans="1:58" s="82" customFormat="1" ht="32.25" customHeight="1">
      <c r="A263" s="1183"/>
      <c r="B263" s="1274"/>
      <c r="C263" s="1226"/>
      <c r="D263" s="84">
        <v>2026</v>
      </c>
      <c r="E263" s="85">
        <f>F263+G263+H263+I263+J263</f>
        <v>130</v>
      </c>
      <c r="F263" s="85">
        <v>41.94</v>
      </c>
      <c r="G263" s="85">
        <v>0</v>
      </c>
      <c r="H263" s="85">
        <v>88.06</v>
      </c>
      <c r="I263" s="85">
        <v>0</v>
      </c>
      <c r="J263" s="85">
        <v>0</v>
      </c>
      <c r="K263" s="148">
        <v>0</v>
      </c>
      <c r="L263" s="497">
        <f t="shared" si="82"/>
        <v>130</v>
      </c>
      <c r="M263" s="660"/>
      <c r="N263" s="88"/>
      <c r="O263" s="89"/>
      <c r="P263" s="1264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2"/>
    </row>
    <row r="264" spans="1:58" s="82" customFormat="1" ht="24" customHeight="1">
      <c r="A264" s="1210" t="s">
        <v>1134</v>
      </c>
      <c r="B264" s="1262" t="s">
        <v>506</v>
      </c>
      <c r="C264" s="1224" t="s">
        <v>407</v>
      </c>
      <c r="D264" s="84" t="s">
        <v>16</v>
      </c>
      <c r="E264" s="85">
        <f>E265</f>
        <v>11</v>
      </c>
      <c r="F264" s="85">
        <f>F265</f>
        <v>11</v>
      </c>
      <c r="G264" s="85">
        <f>G265</f>
        <v>0</v>
      </c>
      <c r="H264" s="85">
        <f>H265</f>
        <v>0</v>
      </c>
      <c r="I264" s="85">
        <f>I265</f>
        <v>0</v>
      </c>
      <c r="J264" s="85">
        <v>0</v>
      </c>
      <c r="K264" s="148">
        <v>0</v>
      </c>
      <c r="L264" s="497">
        <f t="shared" si="82"/>
        <v>11</v>
      </c>
      <c r="M264" s="660"/>
      <c r="N264" s="88"/>
      <c r="O264" s="89"/>
      <c r="P264" s="1264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2"/>
    </row>
    <row r="265" spans="1:58" s="82" customFormat="1" ht="41.25" customHeight="1">
      <c r="A265" s="1210"/>
      <c r="B265" s="1274"/>
      <c r="C265" s="1226"/>
      <c r="D265" s="84">
        <v>2026</v>
      </c>
      <c r="E265" s="85">
        <f>F265+G265+H265+I265+J265</f>
        <v>11</v>
      </c>
      <c r="F265" s="85">
        <v>11</v>
      </c>
      <c r="G265" s="85">
        <v>0</v>
      </c>
      <c r="H265" s="85">
        <v>0</v>
      </c>
      <c r="I265" s="85">
        <v>0</v>
      </c>
      <c r="J265" s="85">
        <v>0</v>
      </c>
      <c r="K265" s="148">
        <v>0</v>
      </c>
      <c r="L265" s="497">
        <f t="shared" si="82"/>
        <v>11</v>
      </c>
      <c r="M265" s="660"/>
      <c r="N265" s="88"/>
      <c r="O265" s="89"/>
      <c r="P265" s="1264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2"/>
    </row>
    <row r="266" spans="1:58" s="82" customFormat="1">
      <c r="A266" s="1128" t="s">
        <v>1136</v>
      </c>
      <c r="B266" s="1255" t="s">
        <v>508</v>
      </c>
      <c r="C266" s="1262" t="s">
        <v>1397</v>
      </c>
      <c r="D266" s="84" t="s">
        <v>16</v>
      </c>
      <c r="E266" s="85">
        <f t="shared" ref="E266:J266" si="94">E267</f>
        <v>6.4947999999999997</v>
      </c>
      <c r="F266" s="85">
        <f t="shared" si="94"/>
        <v>0.84430000000000005</v>
      </c>
      <c r="G266" s="85">
        <f t="shared" si="94"/>
        <v>0</v>
      </c>
      <c r="H266" s="85">
        <f t="shared" si="94"/>
        <v>5.6505000000000001</v>
      </c>
      <c r="I266" s="85">
        <f t="shared" si="94"/>
        <v>0</v>
      </c>
      <c r="J266" s="85">
        <f t="shared" si="94"/>
        <v>0</v>
      </c>
      <c r="K266" s="148">
        <v>0</v>
      </c>
      <c r="L266" s="497">
        <f t="shared" si="82"/>
        <v>6.4947999999999997</v>
      </c>
      <c r="M266" s="660"/>
      <c r="N266" s="88"/>
      <c r="O266" s="89"/>
      <c r="P266" s="1264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2"/>
    </row>
    <row r="267" spans="1:58" s="82" customFormat="1" ht="15.75" customHeight="1">
      <c r="A267" s="1184"/>
      <c r="B267" s="1255"/>
      <c r="C267" s="1274"/>
      <c r="D267" s="84">
        <v>2020</v>
      </c>
      <c r="E267" s="85">
        <f>F267+G267+H267+I267+J267</f>
        <v>6.4947999999999997</v>
      </c>
      <c r="F267" s="85">
        <v>0.84430000000000005</v>
      </c>
      <c r="G267" s="85">
        <v>0</v>
      </c>
      <c r="H267" s="85">
        <v>5.6505000000000001</v>
      </c>
      <c r="I267" s="85">
        <v>0</v>
      </c>
      <c r="J267" s="85">
        <v>0</v>
      </c>
      <c r="K267" s="148">
        <v>0</v>
      </c>
      <c r="L267" s="497">
        <f t="shared" si="82"/>
        <v>6.4947999999999997</v>
      </c>
      <c r="M267" s="660"/>
      <c r="N267" s="88"/>
      <c r="O267" s="89"/>
      <c r="P267" s="1264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2"/>
    </row>
    <row r="268" spans="1:58" s="82" customFormat="1">
      <c r="A268" s="1210" t="s">
        <v>1138</v>
      </c>
      <c r="B268" s="647"/>
      <c r="C268" s="1262" t="s">
        <v>1397</v>
      </c>
      <c r="D268" s="84" t="s">
        <v>16</v>
      </c>
      <c r="E268" s="85">
        <f>E269+E270</f>
        <v>0.78</v>
      </c>
      <c r="F268" s="85">
        <f>F269+F270</f>
        <v>0.10150000000000001</v>
      </c>
      <c r="G268" s="85">
        <f>G269+G270</f>
        <v>0.67849999999999999</v>
      </c>
      <c r="H268" s="85">
        <f>H269+H270</f>
        <v>0</v>
      </c>
      <c r="I268" s="85">
        <f>I269+I270</f>
        <v>0</v>
      </c>
      <c r="J268" s="85">
        <v>0</v>
      </c>
      <c r="K268" s="148">
        <v>0</v>
      </c>
      <c r="L268" s="497">
        <f t="shared" si="82"/>
        <v>0.78</v>
      </c>
      <c r="M268" s="660"/>
      <c r="N268" s="88"/>
      <c r="O268" s="89"/>
      <c r="P268" s="1264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2"/>
    </row>
    <row r="269" spans="1:58" s="82" customFormat="1" ht="38.25">
      <c r="A269" s="1210"/>
      <c r="B269" s="644" t="s">
        <v>510</v>
      </c>
      <c r="C269" s="1263"/>
      <c r="D269" s="84">
        <v>2021</v>
      </c>
      <c r="E269" s="85">
        <f>F269+G269+H269+I269+J269</f>
        <v>0.44440000000000002</v>
      </c>
      <c r="F269" s="85">
        <v>5.7799999999999997E-2</v>
      </c>
      <c r="G269" s="85">
        <v>0.3866</v>
      </c>
      <c r="H269" s="85">
        <v>0</v>
      </c>
      <c r="I269" s="85">
        <v>0</v>
      </c>
      <c r="J269" s="85">
        <v>0</v>
      </c>
      <c r="K269" s="148">
        <v>0</v>
      </c>
      <c r="L269" s="497">
        <f t="shared" ref="L269:L283" si="95">F269+G269+H269+I269+J269</f>
        <v>0.44440000000000002</v>
      </c>
      <c r="M269" s="660"/>
      <c r="N269" s="88"/>
      <c r="O269" s="89"/>
      <c r="P269" s="1264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2"/>
    </row>
    <row r="270" spans="1:58" s="82" customFormat="1">
      <c r="A270" s="1210"/>
      <c r="B270" s="644"/>
      <c r="C270" s="1274"/>
      <c r="D270" s="84">
        <v>2022</v>
      </c>
      <c r="E270" s="85">
        <f>F270+G270+H270+I270+J270</f>
        <v>0.33560000000000001</v>
      </c>
      <c r="F270" s="85">
        <v>4.3700000000000003E-2</v>
      </c>
      <c r="G270" s="85">
        <v>0.29189999999999999</v>
      </c>
      <c r="H270" s="85">
        <v>0</v>
      </c>
      <c r="I270" s="85">
        <v>0</v>
      </c>
      <c r="J270" s="85">
        <v>0</v>
      </c>
      <c r="K270" s="148">
        <v>0</v>
      </c>
      <c r="L270" s="497">
        <f t="shared" si="95"/>
        <v>0.33560000000000001</v>
      </c>
      <c r="M270" s="660"/>
      <c r="N270" s="88"/>
      <c r="O270" s="89"/>
      <c r="P270" s="1264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2"/>
    </row>
    <row r="271" spans="1:58" s="82" customFormat="1" ht="12.75" customHeight="1">
      <c r="A271" s="1128" t="s">
        <v>1140</v>
      </c>
      <c r="B271" s="1224" t="s">
        <v>512</v>
      </c>
      <c r="C271" s="1224" t="s">
        <v>1397</v>
      </c>
      <c r="D271" s="84" t="s">
        <v>429</v>
      </c>
      <c r="E271" s="85">
        <f t="shared" ref="E271:J271" si="96">E272+E273+E274+E275</f>
        <v>27.145099999999999</v>
      </c>
      <c r="F271" s="85">
        <f t="shared" si="96"/>
        <v>4.4446000000000003</v>
      </c>
      <c r="G271" s="85">
        <f t="shared" si="96"/>
        <v>0</v>
      </c>
      <c r="H271" s="85">
        <f t="shared" si="96"/>
        <v>22.700499999999998</v>
      </c>
      <c r="I271" s="85">
        <f t="shared" si="96"/>
        <v>0</v>
      </c>
      <c r="J271" s="85">
        <f t="shared" si="96"/>
        <v>0</v>
      </c>
      <c r="K271" s="148">
        <v>0</v>
      </c>
      <c r="L271" s="497">
        <f t="shared" si="95"/>
        <v>27.145099999999999</v>
      </c>
      <c r="M271" s="660"/>
      <c r="N271" s="88"/>
      <c r="O271" s="89"/>
      <c r="P271" s="1264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2"/>
    </row>
    <row r="272" spans="1:58" s="82" customFormat="1">
      <c r="A272" s="1183"/>
      <c r="B272" s="1225"/>
      <c r="C272" s="1225"/>
      <c r="D272" s="84">
        <v>2020</v>
      </c>
      <c r="E272" s="85">
        <f>F272+G272+H272+I272+J272</f>
        <v>0.94510000000000005</v>
      </c>
      <c r="F272" s="85">
        <v>0.94510000000000005</v>
      </c>
      <c r="G272" s="85">
        <v>0</v>
      </c>
      <c r="H272" s="85">
        <v>0</v>
      </c>
      <c r="I272" s="85">
        <v>0</v>
      </c>
      <c r="J272" s="85">
        <v>0</v>
      </c>
      <c r="K272" s="148">
        <v>0</v>
      </c>
      <c r="L272" s="497">
        <f t="shared" si="95"/>
        <v>0.94510000000000005</v>
      </c>
      <c r="M272" s="660"/>
      <c r="N272" s="88"/>
      <c r="O272" s="89"/>
      <c r="P272" s="1264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2"/>
    </row>
    <row r="273" spans="1:58" s="82" customFormat="1">
      <c r="A273" s="1183"/>
      <c r="B273" s="1225"/>
      <c r="C273" s="1225"/>
      <c r="D273" s="84">
        <v>2021</v>
      </c>
      <c r="E273" s="85">
        <v>0</v>
      </c>
      <c r="F273" s="85">
        <v>0</v>
      </c>
      <c r="G273" s="85">
        <v>0</v>
      </c>
      <c r="H273" s="85">
        <v>0</v>
      </c>
      <c r="I273" s="85">
        <v>0</v>
      </c>
      <c r="J273" s="85">
        <v>0</v>
      </c>
      <c r="K273" s="148">
        <v>0</v>
      </c>
      <c r="L273" s="497">
        <f t="shared" si="95"/>
        <v>0</v>
      </c>
      <c r="M273" s="660"/>
      <c r="N273" s="88"/>
      <c r="O273" s="89"/>
      <c r="P273" s="66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2"/>
    </row>
    <row r="274" spans="1:58" s="82" customFormat="1">
      <c r="A274" s="1183"/>
      <c r="B274" s="1225"/>
      <c r="C274" s="1225"/>
      <c r="D274" s="84">
        <v>2022</v>
      </c>
      <c r="E274" s="85">
        <f>F274+G274+H274+I274+J274</f>
        <v>16.850000000000001</v>
      </c>
      <c r="F274" s="85">
        <v>2.1905000000000001</v>
      </c>
      <c r="G274" s="85">
        <v>0</v>
      </c>
      <c r="H274" s="85">
        <v>14.6595</v>
      </c>
      <c r="I274" s="85">
        <v>0</v>
      </c>
      <c r="J274" s="85">
        <v>0</v>
      </c>
      <c r="K274" s="148">
        <v>0</v>
      </c>
      <c r="L274" s="497">
        <f t="shared" si="95"/>
        <v>16.850000000000001</v>
      </c>
      <c r="M274" s="660"/>
      <c r="N274" s="88"/>
      <c r="O274" s="89"/>
      <c r="P274" s="66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2"/>
    </row>
    <row r="275" spans="1:58" s="82" customFormat="1">
      <c r="A275" s="1184"/>
      <c r="B275" s="1226"/>
      <c r="C275" s="1226"/>
      <c r="D275" s="84">
        <v>2023</v>
      </c>
      <c r="E275" s="85">
        <f>F275+G275+H275+I275+J275</f>
        <v>9.35</v>
      </c>
      <c r="F275" s="85">
        <v>1.3089999999999999</v>
      </c>
      <c r="G275" s="85">
        <v>0</v>
      </c>
      <c r="H275" s="85">
        <v>8.0410000000000004</v>
      </c>
      <c r="I275" s="85">
        <v>0</v>
      </c>
      <c r="J275" s="85">
        <v>0</v>
      </c>
      <c r="K275" s="148">
        <v>0</v>
      </c>
      <c r="L275" s="497">
        <f t="shared" si="95"/>
        <v>9.35</v>
      </c>
      <c r="M275" s="660"/>
      <c r="N275" s="88"/>
      <c r="O275" s="89"/>
      <c r="P275" s="66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2"/>
    </row>
    <row r="276" spans="1:58" s="82" customFormat="1" ht="21" customHeight="1">
      <c r="A276" s="955">
        <v>3</v>
      </c>
      <c r="B276" s="929" t="s">
        <v>513</v>
      </c>
      <c r="C276" s="1224"/>
      <c r="D276" s="84" t="s">
        <v>16</v>
      </c>
      <c r="E276" s="85">
        <f t="shared" ref="E276:J276" si="97">E277+E278+E279+E280+E281+E282+E283</f>
        <v>6.7199999999999989</v>
      </c>
      <c r="F276" s="85">
        <f t="shared" si="97"/>
        <v>6.7199999999999989</v>
      </c>
      <c r="G276" s="85">
        <f t="shared" si="97"/>
        <v>0</v>
      </c>
      <c r="H276" s="85">
        <f t="shared" si="97"/>
        <v>0</v>
      </c>
      <c r="I276" s="85">
        <f t="shared" si="97"/>
        <v>0</v>
      </c>
      <c r="J276" s="85">
        <f t="shared" si="97"/>
        <v>0</v>
      </c>
      <c r="K276" s="148">
        <v>0</v>
      </c>
      <c r="L276" s="497">
        <f t="shared" si="95"/>
        <v>6.7199999999999989</v>
      </c>
      <c r="M276" s="99"/>
      <c r="N276" s="88"/>
      <c r="O276" s="89"/>
      <c r="P276" s="662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2"/>
    </row>
    <row r="277" spans="1:58" s="82" customFormat="1" ht="15.75" customHeight="1">
      <c r="A277" s="956"/>
      <c r="B277" s="953"/>
      <c r="C277" s="1225"/>
      <c r="D277" s="84">
        <v>2019</v>
      </c>
      <c r="E277" s="85">
        <f t="shared" ref="E277:J277" si="98">E285+E286+E287+E288+E292</f>
        <v>1.2</v>
      </c>
      <c r="F277" s="85">
        <f t="shared" si="98"/>
        <v>1.2</v>
      </c>
      <c r="G277" s="85">
        <f t="shared" si="98"/>
        <v>0</v>
      </c>
      <c r="H277" s="85">
        <f t="shared" si="98"/>
        <v>0</v>
      </c>
      <c r="I277" s="85">
        <f t="shared" si="98"/>
        <v>0</v>
      </c>
      <c r="J277" s="85">
        <f t="shared" si="98"/>
        <v>0</v>
      </c>
      <c r="K277" s="148">
        <v>0</v>
      </c>
      <c r="L277" s="497">
        <f t="shared" si="95"/>
        <v>1.2</v>
      </c>
      <c r="M277" s="99"/>
      <c r="N277" s="88"/>
      <c r="O277" s="89"/>
      <c r="P277" s="662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2"/>
    </row>
    <row r="278" spans="1:58" s="82" customFormat="1" ht="15.75" customHeight="1">
      <c r="A278" s="956"/>
      <c r="B278" s="953"/>
      <c r="C278" s="1225"/>
      <c r="D278" s="84">
        <v>2020</v>
      </c>
      <c r="E278" s="85">
        <f t="shared" ref="E278:J283" si="99">E293</f>
        <v>1.92</v>
      </c>
      <c r="F278" s="85">
        <f t="shared" si="99"/>
        <v>1.92</v>
      </c>
      <c r="G278" s="85">
        <f t="shared" si="99"/>
        <v>0</v>
      </c>
      <c r="H278" s="85">
        <f t="shared" si="99"/>
        <v>0</v>
      </c>
      <c r="I278" s="85">
        <f t="shared" si="99"/>
        <v>0</v>
      </c>
      <c r="J278" s="85">
        <f t="shared" si="99"/>
        <v>0</v>
      </c>
      <c r="K278" s="148">
        <v>0</v>
      </c>
      <c r="L278" s="497">
        <f t="shared" si="95"/>
        <v>1.92</v>
      </c>
      <c r="M278" s="99"/>
      <c r="N278" s="88"/>
      <c r="O278" s="89"/>
      <c r="P278" s="662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2"/>
    </row>
    <row r="279" spans="1:58" s="82" customFormat="1" ht="15.75" customHeight="1">
      <c r="A279" s="956"/>
      <c r="B279" s="953"/>
      <c r="C279" s="1225"/>
      <c r="D279" s="84">
        <v>2021</v>
      </c>
      <c r="E279" s="85">
        <f t="shared" si="99"/>
        <v>0.72</v>
      </c>
      <c r="F279" s="85">
        <f t="shared" si="99"/>
        <v>0.72</v>
      </c>
      <c r="G279" s="85">
        <f t="shared" si="99"/>
        <v>0</v>
      </c>
      <c r="H279" s="85">
        <f t="shared" si="99"/>
        <v>0</v>
      </c>
      <c r="I279" s="85">
        <f t="shared" si="99"/>
        <v>0</v>
      </c>
      <c r="J279" s="85">
        <f t="shared" si="99"/>
        <v>0</v>
      </c>
      <c r="K279" s="148">
        <v>0</v>
      </c>
      <c r="L279" s="497">
        <f t="shared" si="95"/>
        <v>0.72</v>
      </c>
      <c r="M279" s="99"/>
      <c r="N279" s="88"/>
      <c r="O279" s="89"/>
      <c r="P279" s="662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2"/>
    </row>
    <row r="280" spans="1:58" s="82" customFormat="1" ht="15.75" customHeight="1">
      <c r="A280" s="956"/>
      <c r="B280" s="953"/>
      <c r="C280" s="571"/>
      <c r="D280" s="84">
        <v>2022</v>
      </c>
      <c r="E280" s="85">
        <f t="shared" si="99"/>
        <v>0.72</v>
      </c>
      <c r="F280" s="85">
        <f t="shared" si="99"/>
        <v>0.72</v>
      </c>
      <c r="G280" s="85">
        <f t="shared" si="99"/>
        <v>0</v>
      </c>
      <c r="H280" s="85">
        <f t="shared" si="99"/>
        <v>0</v>
      </c>
      <c r="I280" s="85">
        <f t="shared" si="99"/>
        <v>0</v>
      </c>
      <c r="J280" s="85">
        <f t="shared" si="99"/>
        <v>0</v>
      </c>
      <c r="K280" s="148">
        <v>0</v>
      </c>
      <c r="L280" s="497">
        <f t="shared" si="95"/>
        <v>0.72</v>
      </c>
      <c r="M280" s="99"/>
      <c r="N280" s="88"/>
      <c r="O280" s="89"/>
      <c r="P280" s="66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2"/>
    </row>
    <row r="281" spans="1:58" s="82" customFormat="1" ht="15.75" customHeight="1">
      <c r="A281" s="956"/>
      <c r="B281" s="953"/>
      <c r="C281" s="571"/>
      <c r="D281" s="84">
        <v>2023</v>
      </c>
      <c r="E281" s="85">
        <f t="shared" si="99"/>
        <v>0.72</v>
      </c>
      <c r="F281" s="85">
        <f t="shared" si="99"/>
        <v>0.72</v>
      </c>
      <c r="G281" s="85">
        <f t="shared" si="99"/>
        <v>0</v>
      </c>
      <c r="H281" s="85">
        <f t="shared" si="99"/>
        <v>0</v>
      </c>
      <c r="I281" s="85">
        <f t="shared" si="99"/>
        <v>0</v>
      </c>
      <c r="J281" s="85">
        <f t="shared" si="99"/>
        <v>0</v>
      </c>
      <c r="K281" s="148">
        <v>0</v>
      </c>
      <c r="L281" s="497">
        <f t="shared" si="95"/>
        <v>0.72</v>
      </c>
      <c r="M281" s="99"/>
      <c r="N281" s="88"/>
      <c r="O281" s="89"/>
      <c r="P281" s="66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2"/>
    </row>
    <row r="282" spans="1:58" s="82" customFormat="1" ht="15.75" customHeight="1">
      <c r="A282" s="956"/>
      <c r="B282" s="953"/>
      <c r="C282" s="571"/>
      <c r="D282" s="84">
        <v>2024</v>
      </c>
      <c r="E282" s="85">
        <f t="shared" si="99"/>
        <v>0.72</v>
      </c>
      <c r="F282" s="85">
        <f t="shared" si="99"/>
        <v>0.72</v>
      </c>
      <c r="G282" s="85">
        <f t="shared" si="99"/>
        <v>0</v>
      </c>
      <c r="H282" s="85">
        <f t="shared" si="99"/>
        <v>0</v>
      </c>
      <c r="I282" s="85">
        <f t="shared" si="99"/>
        <v>0</v>
      </c>
      <c r="J282" s="85">
        <f t="shared" si="99"/>
        <v>0</v>
      </c>
      <c r="K282" s="148">
        <v>0</v>
      </c>
      <c r="L282" s="497">
        <f t="shared" si="95"/>
        <v>0.72</v>
      </c>
      <c r="M282" s="99"/>
      <c r="N282" s="88"/>
      <c r="O282" s="89"/>
      <c r="P282" s="66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2"/>
    </row>
    <row r="283" spans="1:58" s="82" customFormat="1" ht="15.75" customHeight="1">
      <c r="A283" s="1005"/>
      <c r="B283" s="954"/>
      <c r="C283" s="571"/>
      <c r="D283" s="84">
        <v>2025</v>
      </c>
      <c r="E283" s="85">
        <f t="shared" si="99"/>
        <v>0.72</v>
      </c>
      <c r="F283" s="85">
        <f t="shared" si="99"/>
        <v>0.72</v>
      </c>
      <c r="G283" s="85">
        <f t="shared" si="99"/>
        <v>0</v>
      </c>
      <c r="H283" s="85">
        <f t="shared" si="99"/>
        <v>0</v>
      </c>
      <c r="I283" s="85">
        <f t="shared" si="99"/>
        <v>0</v>
      </c>
      <c r="J283" s="85">
        <f t="shared" si="99"/>
        <v>0</v>
      </c>
      <c r="K283" s="148">
        <v>0</v>
      </c>
      <c r="L283" s="497">
        <f t="shared" si="95"/>
        <v>0.72</v>
      </c>
      <c r="M283" s="99"/>
      <c r="N283" s="88"/>
      <c r="O283" s="89"/>
      <c r="P283" s="66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2"/>
    </row>
    <row r="284" spans="1:58" s="82" customFormat="1" ht="15.75" customHeight="1">
      <c r="A284" s="350"/>
      <c r="B284" s="281"/>
      <c r="C284" s="571"/>
      <c r="D284" s="84">
        <v>2027</v>
      </c>
      <c r="E284" s="85">
        <f t="shared" ref="E284:J284" si="100">E289</f>
        <v>0</v>
      </c>
      <c r="F284" s="85">
        <f t="shared" si="100"/>
        <v>0</v>
      </c>
      <c r="G284" s="85">
        <f t="shared" si="100"/>
        <v>0</v>
      </c>
      <c r="H284" s="85">
        <f t="shared" si="100"/>
        <v>0</v>
      </c>
      <c r="I284" s="85">
        <f t="shared" si="100"/>
        <v>0</v>
      </c>
      <c r="J284" s="85">
        <f t="shared" si="100"/>
        <v>0</v>
      </c>
      <c r="K284" s="148">
        <v>0</v>
      </c>
      <c r="L284" s="497"/>
      <c r="M284" s="99"/>
      <c r="N284" s="88"/>
      <c r="O284" s="89"/>
      <c r="P284" s="66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2"/>
    </row>
    <row r="285" spans="1:58" s="82" customFormat="1" ht="25.5" customHeight="1">
      <c r="A285" s="663" t="s">
        <v>514</v>
      </c>
      <c r="B285" s="664" t="s">
        <v>515</v>
      </c>
      <c r="C285" s="1239" t="s">
        <v>516</v>
      </c>
      <c r="D285" s="84">
        <v>2019</v>
      </c>
      <c r="E285" s="85">
        <f t="shared" ref="E285:E290" si="101">F285+G285+H285+I285+J285</f>
        <v>0</v>
      </c>
      <c r="F285" s="85">
        <v>0</v>
      </c>
      <c r="G285" s="85">
        <v>0</v>
      </c>
      <c r="H285" s="85">
        <v>0</v>
      </c>
      <c r="I285" s="85">
        <v>0</v>
      </c>
      <c r="J285" s="85">
        <v>0</v>
      </c>
      <c r="K285" s="148">
        <v>0</v>
      </c>
      <c r="L285" s="497">
        <f>F285+G285+H285+I285+J285</f>
        <v>0</v>
      </c>
      <c r="M285" s="99"/>
      <c r="N285" s="88"/>
      <c r="O285" s="89"/>
      <c r="P285" s="1255" t="s">
        <v>517</v>
      </c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2"/>
    </row>
    <row r="286" spans="1:58" s="82" customFormat="1" ht="25.5">
      <c r="A286" s="663" t="s">
        <v>518</v>
      </c>
      <c r="B286" s="664" t="s">
        <v>519</v>
      </c>
      <c r="C286" s="1240"/>
      <c r="D286" s="84">
        <v>2019</v>
      </c>
      <c r="E286" s="85">
        <f t="shared" si="101"/>
        <v>0</v>
      </c>
      <c r="F286" s="85">
        <v>0</v>
      </c>
      <c r="G286" s="85">
        <v>0</v>
      </c>
      <c r="H286" s="85">
        <v>0</v>
      </c>
      <c r="I286" s="85">
        <v>0</v>
      </c>
      <c r="J286" s="85">
        <v>0</v>
      </c>
      <c r="K286" s="148">
        <v>0</v>
      </c>
      <c r="L286" s="497">
        <f>F286+G286+H286+I286+J286</f>
        <v>0</v>
      </c>
      <c r="M286" s="99"/>
      <c r="N286" s="88"/>
      <c r="O286" s="89"/>
      <c r="P286" s="1255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2"/>
    </row>
    <row r="287" spans="1:58" s="82" customFormat="1" ht="25.5">
      <c r="A287" s="663" t="s">
        <v>520</v>
      </c>
      <c r="B287" s="664" t="s">
        <v>521</v>
      </c>
      <c r="C287" s="1240"/>
      <c r="D287" s="84">
        <v>2019</v>
      </c>
      <c r="E287" s="85">
        <f t="shared" si="101"/>
        <v>0</v>
      </c>
      <c r="F287" s="85">
        <v>0</v>
      </c>
      <c r="G287" s="85">
        <v>0</v>
      </c>
      <c r="H287" s="85">
        <v>0</v>
      </c>
      <c r="I287" s="85">
        <v>0</v>
      </c>
      <c r="J287" s="85">
        <v>0</v>
      </c>
      <c r="K287" s="148">
        <v>0</v>
      </c>
      <c r="L287" s="497">
        <f>F287+G287+H287+I287+J287</f>
        <v>0</v>
      </c>
      <c r="M287" s="99"/>
      <c r="N287" s="88"/>
      <c r="O287" s="89"/>
      <c r="P287" s="1255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2"/>
    </row>
    <row r="288" spans="1:58" s="82" customFormat="1" ht="25.5">
      <c r="A288" s="663" t="s">
        <v>522</v>
      </c>
      <c r="B288" s="664" t="s">
        <v>523</v>
      </c>
      <c r="C288" s="1241"/>
      <c r="D288" s="84">
        <v>2019</v>
      </c>
      <c r="E288" s="85">
        <f t="shared" si="101"/>
        <v>0</v>
      </c>
      <c r="F288" s="85">
        <v>0</v>
      </c>
      <c r="G288" s="85">
        <v>0</v>
      </c>
      <c r="H288" s="85">
        <v>0</v>
      </c>
      <c r="I288" s="85">
        <v>0</v>
      </c>
      <c r="J288" s="85">
        <v>0</v>
      </c>
      <c r="K288" s="148">
        <v>0</v>
      </c>
      <c r="L288" s="497">
        <f>F288+G288+H288+I288+J288</f>
        <v>0</v>
      </c>
      <c r="M288" s="99"/>
      <c r="N288" s="88"/>
      <c r="O288" s="89"/>
      <c r="P288" s="1255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2"/>
    </row>
    <row r="289" spans="1:58" s="82" customFormat="1" ht="59.25" customHeight="1">
      <c r="A289" s="415" t="s">
        <v>1148</v>
      </c>
      <c r="B289" s="639" t="s">
        <v>1149</v>
      </c>
      <c r="C289" s="648" t="s">
        <v>1150</v>
      </c>
      <c r="D289" s="84">
        <v>2027</v>
      </c>
      <c r="E289" s="85">
        <f t="shared" si="101"/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148">
        <v>0</v>
      </c>
      <c r="L289" s="497"/>
      <c r="M289" s="99"/>
      <c r="N289" s="88"/>
      <c r="O289" s="89"/>
      <c r="P289" s="1255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2"/>
    </row>
    <row r="290" spans="1:58" s="82" customFormat="1" ht="49.5" customHeight="1">
      <c r="A290" s="415" t="s">
        <v>1151</v>
      </c>
      <c r="B290" s="639" t="s">
        <v>1152</v>
      </c>
      <c r="C290" s="665" t="s">
        <v>1150</v>
      </c>
      <c r="D290" s="84">
        <v>2027</v>
      </c>
      <c r="E290" s="85">
        <f t="shared" si="101"/>
        <v>0</v>
      </c>
      <c r="F290" s="85">
        <v>0</v>
      </c>
      <c r="G290" s="85">
        <v>0</v>
      </c>
      <c r="H290" s="85">
        <v>0</v>
      </c>
      <c r="I290" s="85">
        <v>0</v>
      </c>
      <c r="J290" s="85">
        <v>0</v>
      </c>
      <c r="K290" s="148">
        <v>0</v>
      </c>
      <c r="L290" s="497"/>
      <c r="M290" s="99"/>
      <c r="N290" s="88"/>
      <c r="O290" s="89"/>
      <c r="P290" s="1255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2"/>
    </row>
    <row r="291" spans="1:58" s="82" customFormat="1">
      <c r="A291" s="1069" t="s">
        <v>1153</v>
      </c>
      <c r="B291" s="1080" t="s">
        <v>525</v>
      </c>
      <c r="C291" s="1224" t="s">
        <v>1154</v>
      </c>
      <c r="D291" s="84" t="s">
        <v>16</v>
      </c>
      <c r="E291" s="85">
        <f t="shared" ref="E291:J291" si="102">E292+E293+E294+E295+E296+E297+E298</f>
        <v>6.7199999999999989</v>
      </c>
      <c r="F291" s="85">
        <f t="shared" si="102"/>
        <v>6.7199999999999989</v>
      </c>
      <c r="G291" s="85">
        <f t="shared" si="102"/>
        <v>0</v>
      </c>
      <c r="H291" s="85">
        <f t="shared" si="102"/>
        <v>0</v>
      </c>
      <c r="I291" s="85">
        <f t="shared" si="102"/>
        <v>0</v>
      </c>
      <c r="J291" s="85">
        <f t="shared" si="102"/>
        <v>0</v>
      </c>
      <c r="K291" s="148">
        <v>0</v>
      </c>
      <c r="L291" s="497">
        <f t="shared" ref="L291:L299" si="103">F291+G291+H291+I291+J291</f>
        <v>6.7199999999999989</v>
      </c>
      <c r="M291" s="99"/>
      <c r="N291" s="88"/>
      <c r="O291" s="89"/>
      <c r="P291" s="647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2"/>
    </row>
    <row r="292" spans="1:58" s="82" customFormat="1" ht="12.75" customHeight="1">
      <c r="A292" s="1271"/>
      <c r="B292" s="1261"/>
      <c r="C292" s="1225"/>
      <c r="D292" s="84">
        <v>2019</v>
      </c>
      <c r="E292" s="85">
        <f t="shared" ref="E292:E298" si="104">F292+G292+H292+I292+J292</f>
        <v>1.2</v>
      </c>
      <c r="F292" s="85">
        <v>1.2</v>
      </c>
      <c r="G292" s="85">
        <v>0</v>
      </c>
      <c r="H292" s="85">
        <v>0</v>
      </c>
      <c r="I292" s="85">
        <v>0</v>
      </c>
      <c r="J292" s="85">
        <v>0</v>
      </c>
      <c r="K292" s="148">
        <v>0</v>
      </c>
      <c r="L292" s="497">
        <f t="shared" si="103"/>
        <v>1.2</v>
      </c>
      <c r="M292" s="99"/>
      <c r="N292" s="88"/>
      <c r="O292" s="89"/>
      <c r="P292" s="1239" t="s">
        <v>527</v>
      </c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2"/>
    </row>
    <row r="293" spans="1:58" s="82" customFormat="1" ht="15.75" customHeight="1">
      <c r="A293" s="1271"/>
      <c r="B293" s="1261"/>
      <c r="C293" s="1225"/>
      <c r="D293" s="84">
        <v>2020</v>
      </c>
      <c r="E293" s="85">
        <f t="shared" si="104"/>
        <v>1.92</v>
      </c>
      <c r="F293" s="85">
        <v>1.92</v>
      </c>
      <c r="G293" s="85">
        <v>0</v>
      </c>
      <c r="H293" s="85">
        <v>0</v>
      </c>
      <c r="I293" s="85">
        <v>0</v>
      </c>
      <c r="J293" s="85">
        <v>0</v>
      </c>
      <c r="K293" s="148">
        <v>0</v>
      </c>
      <c r="L293" s="497">
        <f t="shared" si="103"/>
        <v>1.92</v>
      </c>
      <c r="M293" s="99"/>
      <c r="N293" s="88"/>
      <c r="O293" s="89"/>
      <c r="P293" s="1240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2"/>
    </row>
    <row r="294" spans="1:58" s="82" customFormat="1">
      <c r="A294" s="1271"/>
      <c r="B294" s="1261"/>
      <c r="C294" s="1225"/>
      <c r="D294" s="84">
        <v>2021</v>
      </c>
      <c r="E294" s="85">
        <f t="shared" si="104"/>
        <v>0.72</v>
      </c>
      <c r="F294" s="85">
        <v>0.72</v>
      </c>
      <c r="G294" s="85">
        <v>0</v>
      </c>
      <c r="H294" s="85">
        <v>0</v>
      </c>
      <c r="I294" s="85">
        <v>0</v>
      </c>
      <c r="J294" s="85">
        <v>0</v>
      </c>
      <c r="K294" s="148">
        <v>0</v>
      </c>
      <c r="L294" s="497">
        <f t="shared" si="103"/>
        <v>0.72</v>
      </c>
      <c r="M294" s="99"/>
      <c r="N294" s="88"/>
      <c r="O294" s="89"/>
      <c r="P294" s="124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2"/>
    </row>
    <row r="295" spans="1:58" s="82" customFormat="1">
      <c r="A295" s="1271"/>
      <c r="B295" s="1261"/>
      <c r="C295" s="1225"/>
      <c r="D295" s="84">
        <v>2022</v>
      </c>
      <c r="E295" s="85">
        <f t="shared" si="104"/>
        <v>0.72</v>
      </c>
      <c r="F295" s="85">
        <v>0.72</v>
      </c>
      <c r="G295" s="85">
        <v>0</v>
      </c>
      <c r="H295" s="85">
        <v>0</v>
      </c>
      <c r="I295" s="85">
        <v>0</v>
      </c>
      <c r="J295" s="85">
        <v>0</v>
      </c>
      <c r="K295" s="148">
        <v>0</v>
      </c>
      <c r="L295" s="497">
        <f t="shared" si="103"/>
        <v>0.72</v>
      </c>
      <c r="M295" s="99"/>
      <c r="N295" s="88"/>
      <c r="O295" s="89"/>
      <c r="P295" s="626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2"/>
    </row>
    <row r="296" spans="1:58" s="82" customFormat="1">
      <c r="A296" s="1271"/>
      <c r="B296" s="1261"/>
      <c r="C296" s="1225"/>
      <c r="D296" s="84">
        <v>2023</v>
      </c>
      <c r="E296" s="85">
        <f t="shared" si="104"/>
        <v>0.72</v>
      </c>
      <c r="F296" s="85">
        <v>0.72</v>
      </c>
      <c r="G296" s="85">
        <v>0</v>
      </c>
      <c r="H296" s="85">
        <v>0</v>
      </c>
      <c r="I296" s="85">
        <v>0</v>
      </c>
      <c r="J296" s="85">
        <v>0</v>
      </c>
      <c r="K296" s="148">
        <v>0</v>
      </c>
      <c r="L296" s="497">
        <f t="shared" si="103"/>
        <v>0.72</v>
      </c>
      <c r="M296" s="99"/>
      <c r="N296" s="88"/>
      <c r="O296" s="89"/>
      <c r="P296" s="626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2"/>
    </row>
    <row r="297" spans="1:58" s="82" customFormat="1">
      <c r="A297" s="1271"/>
      <c r="B297" s="1261"/>
      <c r="C297" s="1225"/>
      <c r="D297" s="84">
        <v>2024</v>
      </c>
      <c r="E297" s="85">
        <f t="shared" si="104"/>
        <v>0.72</v>
      </c>
      <c r="F297" s="85">
        <v>0.72</v>
      </c>
      <c r="G297" s="85">
        <v>0</v>
      </c>
      <c r="H297" s="85">
        <v>0</v>
      </c>
      <c r="I297" s="85">
        <v>0</v>
      </c>
      <c r="J297" s="85">
        <v>0</v>
      </c>
      <c r="K297" s="148">
        <v>0</v>
      </c>
      <c r="L297" s="497">
        <f t="shared" si="103"/>
        <v>0.72</v>
      </c>
      <c r="M297" s="99"/>
      <c r="N297" s="88"/>
      <c r="O297" s="89"/>
      <c r="P297" s="626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2"/>
    </row>
    <row r="298" spans="1:58" s="82" customFormat="1">
      <c r="A298" s="1271"/>
      <c r="B298" s="1261"/>
      <c r="C298" s="1226"/>
      <c r="D298" s="84">
        <v>2025</v>
      </c>
      <c r="E298" s="85">
        <f t="shared" si="104"/>
        <v>0.72</v>
      </c>
      <c r="F298" s="85">
        <v>0.72</v>
      </c>
      <c r="G298" s="85">
        <v>0</v>
      </c>
      <c r="H298" s="85">
        <v>0</v>
      </c>
      <c r="I298" s="85">
        <v>0</v>
      </c>
      <c r="J298" s="85">
        <v>0</v>
      </c>
      <c r="K298" s="148">
        <v>0</v>
      </c>
      <c r="L298" s="497">
        <f t="shared" si="103"/>
        <v>0.72</v>
      </c>
      <c r="M298" s="99"/>
      <c r="N298" s="88"/>
      <c r="O298" s="89"/>
      <c r="P298" s="626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2"/>
    </row>
    <row r="299" spans="1:58" s="82" customFormat="1">
      <c r="A299" s="926" t="s">
        <v>528</v>
      </c>
      <c r="B299" s="929" t="s">
        <v>529</v>
      </c>
      <c r="C299" s="1000"/>
      <c r="D299" s="84" t="s">
        <v>16</v>
      </c>
      <c r="E299" s="136">
        <f t="shared" ref="E299:J299" si="105">SUM(E300:E311)</f>
        <v>872.04922999999997</v>
      </c>
      <c r="F299" s="136">
        <f t="shared" si="105"/>
        <v>253.10953000000001</v>
      </c>
      <c r="G299" s="136">
        <f t="shared" si="105"/>
        <v>4.0339</v>
      </c>
      <c r="H299" s="136">
        <f t="shared" si="105"/>
        <v>545.67780000000005</v>
      </c>
      <c r="I299" s="136">
        <f t="shared" si="105"/>
        <v>40.599000000000004</v>
      </c>
      <c r="J299" s="313">
        <f t="shared" si="105"/>
        <v>28.628999999999998</v>
      </c>
      <c r="K299" s="148">
        <v>0</v>
      </c>
      <c r="L299" s="497">
        <f t="shared" si="103"/>
        <v>872.04923000000008</v>
      </c>
      <c r="M299" s="99"/>
      <c r="N299" s="88"/>
      <c r="O299" s="89"/>
      <c r="P299" s="477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2"/>
    </row>
    <row r="300" spans="1:58" s="82" customFormat="1">
      <c r="A300" s="927"/>
      <c r="B300" s="960"/>
      <c r="C300" s="1218"/>
      <c r="D300" s="84">
        <v>2019</v>
      </c>
      <c r="E300" s="85">
        <f t="shared" ref="E300:J300" si="106">E360+E373+E339+E330</f>
        <v>2.2943799999999999</v>
      </c>
      <c r="F300" s="85">
        <f t="shared" si="106"/>
        <v>1.3040799999999999</v>
      </c>
      <c r="G300" s="85">
        <f t="shared" si="106"/>
        <v>3.39E-2</v>
      </c>
      <c r="H300" s="85">
        <f t="shared" si="106"/>
        <v>0.85640000000000005</v>
      </c>
      <c r="I300" s="85">
        <f t="shared" si="106"/>
        <v>0</v>
      </c>
      <c r="J300" s="85">
        <f t="shared" si="106"/>
        <v>0.1</v>
      </c>
      <c r="K300" s="148">
        <v>0</v>
      </c>
      <c r="L300" s="473">
        <f>L360+L373+L339+L330</f>
        <v>2.2943799999999999</v>
      </c>
      <c r="M300" s="99"/>
      <c r="N300" s="88"/>
      <c r="O300" s="89"/>
      <c r="P300" s="477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2"/>
    </row>
    <row r="301" spans="1:58" s="82" customFormat="1">
      <c r="A301" s="927"/>
      <c r="B301" s="960"/>
      <c r="C301" s="1218"/>
      <c r="D301" s="84">
        <v>2020</v>
      </c>
      <c r="E301" s="85">
        <f t="shared" ref="E301:J301" si="107">E321+E345+E374+E359+E376+E382+E340+E337+E378</f>
        <v>48.549300000000002</v>
      </c>
      <c r="F301" s="85">
        <f t="shared" si="107"/>
        <v>0.22970000000000002</v>
      </c>
      <c r="G301" s="85">
        <f t="shared" si="107"/>
        <v>4</v>
      </c>
      <c r="H301" s="85">
        <f t="shared" si="107"/>
        <v>22.361600000000003</v>
      </c>
      <c r="I301" s="85">
        <f t="shared" si="107"/>
        <v>20.599</v>
      </c>
      <c r="J301" s="85">
        <f t="shared" si="107"/>
        <v>1.359</v>
      </c>
      <c r="K301" s="148">
        <v>0</v>
      </c>
      <c r="L301" s="497">
        <f t="shared" ref="L301:L330" si="108">F301+G301+H301+I301+J301</f>
        <v>48.549300000000009</v>
      </c>
      <c r="M301" s="99"/>
      <c r="N301" s="88"/>
      <c r="O301" s="89"/>
      <c r="P301" s="477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2"/>
    </row>
    <row r="302" spans="1:58" s="82" customFormat="1">
      <c r="A302" s="927"/>
      <c r="B302" s="960"/>
      <c r="C302" s="1218"/>
      <c r="D302" s="84">
        <v>2021</v>
      </c>
      <c r="E302" s="85">
        <f t="shared" ref="E302:J302" si="109">E322+E341+E346+E357+E379+E389</f>
        <v>34.0839</v>
      </c>
      <c r="F302" s="85">
        <f t="shared" si="109"/>
        <v>1.1469</v>
      </c>
      <c r="G302" s="85">
        <f t="shared" si="109"/>
        <v>0</v>
      </c>
      <c r="H302" s="85">
        <f t="shared" si="109"/>
        <v>22.097000000000001</v>
      </c>
      <c r="I302" s="85">
        <f t="shared" si="109"/>
        <v>10</v>
      </c>
      <c r="J302" s="85">
        <f t="shared" si="109"/>
        <v>0.84</v>
      </c>
      <c r="K302" s="148">
        <v>0</v>
      </c>
      <c r="L302" s="497">
        <f t="shared" si="108"/>
        <v>34.0839</v>
      </c>
      <c r="M302" s="99"/>
      <c r="N302" s="88"/>
      <c r="O302" s="89"/>
      <c r="P302" s="477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2"/>
    </row>
    <row r="303" spans="1:58" s="82" customFormat="1">
      <c r="A303" s="927"/>
      <c r="B303" s="960"/>
      <c r="C303" s="1218"/>
      <c r="D303" s="84">
        <v>2022</v>
      </c>
      <c r="E303" s="85">
        <f t="shared" ref="E303:J303" si="110">E324+E334+E342+E347+E380</f>
        <v>15.290600000000001</v>
      </c>
      <c r="F303" s="85">
        <f t="shared" si="110"/>
        <v>0.24359999999999998</v>
      </c>
      <c r="G303" s="85">
        <f t="shared" si="110"/>
        <v>0</v>
      </c>
      <c r="H303" s="85">
        <f t="shared" si="110"/>
        <v>4.7969999999999997</v>
      </c>
      <c r="I303" s="85">
        <f t="shared" si="110"/>
        <v>10</v>
      </c>
      <c r="J303" s="85">
        <f t="shared" si="110"/>
        <v>0.25</v>
      </c>
      <c r="K303" s="148">
        <v>0</v>
      </c>
      <c r="L303" s="497">
        <f t="shared" si="108"/>
        <v>15.2906</v>
      </c>
      <c r="M303" s="99"/>
      <c r="N303" s="88"/>
      <c r="O303" s="89"/>
      <c r="P303" s="477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2"/>
    </row>
    <row r="304" spans="1:58" s="82" customFormat="1">
      <c r="A304" s="927"/>
      <c r="B304" s="960"/>
      <c r="C304" s="1218"/>
      <c r="D304" s="84">
        <v>2023</v>
      </c>
      <c r="E304" s="85">
        <f t="shared" ref="E304:J304" si="111">E313+E315+E335+E343+E348+E367</f>
        <v>256.87389999999999</v>
      </c>
      <c r="F304" s="85">
        <f t="shared" si="111"/>
        <v>2.81E-2</v>
      </c>
      <c r="G304" s="85">
        <f t="shared" si="111"/>
        <v>0</v>
      </c>
      <c r="H304" s="85">
        <f t="shared" si="111"/>
        <v>244.00580000000002</v>
      </c>
      <c r="I304" s="85">
        <f t="shared" si="111"/>
        <v>0</v>
      </c>
      <c r="J304" s="85">
        <f t="shared" si="111"/>
        <v>12.84</v>
      </c>
      <c r="K304" s="148">
        <v>0</v>
      </c>
      <c r="L304" s="497">
        <f t="shared" si="108"/>
        <v>256.87389999999999</v>
      </c>
      <c r="M304" s="99"/>
      <c r="N304" s="88"/>
      <c r="O304" s="89"/>
      <c r="P304" s="477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2"/>
    </row>
    <row r="305" spans="1:58" s="82" customFormat="1">
      <c r="A305" s="927"/>
      <c r="B305" s="960"/>
      <c r="C305" s="1218"/>
      <c r="D305" s="84">
        <v>2024</v>
      </c>
      <c r="E305" s="85">
        <f t="shared" ref="E305:J305" si="112">E319+E326+E349+E332</f>
        <v>19.820600000000002</v>
      </c>
      <c r="F305" s="85">
        <f t="shared" si="112"/>
        <v>2.06E-2</v>
      </c>
      <c r="G305" s="85">
        <f t="shared" si="112"/>
        <v>0</v>
      </c>
      <c r="H305" s="85">
        <f t="shared" si="112"/>
        <v>18.810000000000002</v>
      </c>
      <c r="I305" s="85">
        <f t="shared" si="112"/>
        <v>0</v>
      </c>
      <c r="J305" s="85">
        <f t="shared" si="112"/>
        <v>0.99</v>
      </c>
      <c r="K305" s="148">
        <v>0</v>
      </c>
      <c r="L305" s="497">
        <f t="shared" si="108"/>
        <v>19.820600000000002</v>
      </c>
      <c r="M305" s="99"/>
      <c r="N305" s="88"/>
      <c r="O305" s="89"/>
      <c r="P305" s="477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2"/>
    </row>
    <row r="306" spans="1:58" s="82" customFormat="1">
      <c r="A306" s="927"/>
      <c r="B306" s="960"/>
      <c r="C306" s="1218"/>
      <c r="D306" s="84">
        <v>2025</v>
      </c>
      <c r="E306" s="85">
        <f t="shared" ref="E306:J306" si="113">E328+E350+E371</f>
        <v>125.0206</v>
      </c>
      <c r="F306" s="85">
        <f t="shared" si="113"/>
        <v>2.06E-2</v>
      </c>
      <c r="G306" s="85">
        <f t="shared" si="113"/>
        <v>0</v>
      </c>
      <c r="H306" s="85">
        <f t="shared" si="113"/>
        <v>118.75</v>
      </c>
      <c r="I306" s="85">
        <f t="shared" si="113"/>
        <v>0</v>
      </c>
      <c r="J306" s="85">
        <f t="shared" si="113"/>
        <v>6.25</v>
      </c>
      <c r="K306" s="148">
        <v>0</v>
      </c>
      <c r="L306" s="497">
        <f t="shared" si="108"/>
        <v>125.0206</v>
      </c>
      <c r="M306" s="99"/>
      <c r="N306" s="88"/>
      <c r="O306" s="89"/>
      <c r="P306" s="477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2"/>
    </row>
    <row r="307" spans="1:58" s="82" customFormat="1" ht="16.5" customHeight="1">
      <c r="A307" s="927"/>
      <c r="B307" s="960"/>
      <c r="C307" s="1218"/>
      <c r="D307" s="84">
        <v>2026</v>
      </c>
      <c r="E307" s="85">
        <f t="shared" ref="E307:J307" si="114">E369+E351</f>
        <v>120.0214</v>
      </c>
      <c r="F307" s="85">
        <f t="shared" si="114"/>
        <v>2.1399999999999999E-2</v>
      </c>
      <c r="G307" s="85">
        <f t="shared" si="114"/>
        <v>0</v>
      </c>
      <c r="H307" s="85">
        <f t="shared" si="114"/>
        <v>114</v>
      </c>
      <c r="I307" s="85">
        <f t="shared" si="114"/>
        <v>0</v>
      </c>
      <c r="J307" s="85">
        <f t="shared" si="114"/>
        <v>6</v>
      </c>
      <c r="K307" s="148">
        <v>0</v>
      </c>
      <c r="L307" s="497">
        <f t="shared" si="108"/>
        <v>120.0214</v>
      </c>
      <c r="M307" s="99"/>
      <c r="N307" s="88"/>
      <c r="O307" s="89"/>
      <c r="P307" s="477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2"/>
    </row>
    <row r="308" spans="1:58" s="82" customFormat="1">
      <c r="A308" s="927"/>
      <c r="B308" s="960"/>
      <c r="C308" s="1218"/>
      <c r="D308" s="84">
        <v>2027</v>
      </c>
      <c r="E308" s="85">
        <f t="shared" ref="E308:J308" si="115">E352</f>
        <v>2.23E-2</v>
      </c>
      <c r="F308" s="85">
        <f t="shared" si="115"/>
        <v>2.23E-2</v>
      </c>
      <c r="G308" s="85">
        <f t="shared" si="115"/>
        <v>0</v>
      </c>
      <c r="H308" s="85">
        <f t="shared" si="115"/>
        <v>0</v>
      </c>
      <c r="I308" s="85">
        <f t="shared" si="115"/>
        <v>0</v>
      </c>
      <c r="J308" s="85">
        <f t="shared" si="115"/>
        <v>0</v>
      </c>
      <c r="K308" s="148">
        <v>0</v>
      </c>
      <c r="L308" s="497">
        <f t="shared" si="108"/>
        <v>2.23E-2</v>
      </c>
      <c r="M308" s="99"/>
      <c r="N308" s="88"/>
      <c r="O308" s="89"/>
      <c r="P308" s="477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2"/>
    </row>
    <row r="309" spans="1:58" s="82" customFormat="1">
      <c r="A309" s="927"/>
      <c r="B309" s="960"/>
      <c r="C309" s="1218"/>
      <c r="D309" s="84">
        <v>2028</v>
      </c>
      <c r="E309" s="85">
        <f t="shared" ref="E309:J311" si="116">E353+E363</f>
        <v>24.023150000000001</v>
      </c>
      <c r="F309" s="85">
        <f t="shared" si="116"/>
        <v>24.023150000000001</v>
      </c>
      <c r="G309" s="85">
        <f t="shared" si="116"/>
        <v>0</v>
      </c>
      <c r="H309" s="85">
        <f t="shared" si="116"/>
        <v>0</v>
      </c>
      <c r="I309" s="85">
        <f t="shared" si="116"/>
        <v>0</v>
      </c>
      <c r="J309" s="85">
        <f t="shared" si="116"/>
        <v>0</v>
      </c>
      <c r="K309" s="148">
        <v>0</v>
      </c>
      <c r="L309" s="497">
        <f t="shared" si="108"/>
        <v>24.023150000000001</v>
      </c>
      <c r="M309" s="99"/>
      <c r="N309" s="88"/>
      <c r="O309" s="89"/>
      <c r="P309" s="477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2"/>
    </row>
    <row r="310" spans="1:58" s="82" customFormat="1">
      <c r="A310" s="927"/>
      <c r="B310" s="960"/>
      <c r="C310" s="1218"/>
      <c r="D310" s="84">
        <v>2029</v>
      </c>
      <c r="E310" s="85">
        <f t="shared" si="116"/>
        <v>110.0241</v>
      </c>
      <c r="F310" s="85">
        <f t="shared" si="116"/>
        <v>110.0241</v>
      </c>
      <c r="G310" s="85">
        <f t="shared" si="116"/>
        <v>0</v>
      </c>
      <c r="H310" s="85">
        <f t="shared" si="116"/>
        <v>0</v>
      </c>
      <c r="I310" s="85">
        <f t="shared" si="116"/>
        <v>0</v>
      </c>
      <c r="J310" s="85">
        <f t="shared" si="116"/>
        <v>0</v>
      </c>
      <c r="K310" s="148">
        <v>0</v>
      </c>
      <c r="L310" s="497">
        <f t="shared" si="108"/>
        <v>110.0241</v>
      </c>
      <c r="M310" s="99"/>
      <c r="N310" s="88"/>
      <c r="O310" s="89"/>
      <c r="P310" s="477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2"/>
    </row>
    <row r="311" spans="1:58" s="82" customFormat="1">
      <c r="A311" s="927"/>
      <c r="B311" s="961"/>
      <c r="C311" s="1218"/>
      <c r="D311" s="84">
        <v>2030</v>
      </c>
      <c r="E311" s="85">
        <f t="shared" si="116"/>
        <v>116.02500000000001</v>
      </c>
      <c r="F311" s="85">
        <f t="shared" si="116"/>
        <v>116.02500000000001</v>
      </c>
      <c r="G311" s="85">
        <f t="shared" si="116"/>
        <v>0</v>
      </c>
      <c r="H311" s="85">
        <f t="shared" si="116"/>
        <v>0</v>
      </c>
      <c r="I311" s="85">
        <f t="shared" si="116"/>
        <v>0</v>
      </c>
      <c r="J311" s="85">
        <f t="shared" si="116"/>
        <v>0</v>
      </c>
      <c r="K311" s="148">
        <v>0</v>
      </c>
      <c r="L311" s="497">
        <f t="shared" si="108"/>
        <v>116.02500000000001</v>
      </c>
      <c r="M311" s="99"/>
      <c r="N311" s="88"/>
      <c r="O311" s="89"/>
      <c r="P311" s="477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2"/>
    </row>
    <row r="312" spans="1:58" s="82" customFormat="1" ht="36" customHeight="1">
      <c r="A312" s="1128" t="s">
        <v>530</v>
      </c>
      <c r="B312" s="1080" t="s">
        <v>531</v>
      </c>
      <c r="C312" s="1224" t="s">
        <v>532</v>
      </c>
      <c r="D312" s="84" t="s">
        <v>16</v>
      </c>
      <c r="E312" s="136">
        <f t="shared" ref="E312:J312" si="117">E313</f>
        <v>120</v>
      </c>
      <c r="F312" s="527">
        <f t="shared" si="117"/>
        <v>0</v>
      </c>
      <c r="G312" s="527">
        <f t="shared" si="117"/>
        <v>0</v>
      </c>
      <c r="H312" s="527">
        <f t="shared" si="117"/>
        <v>114</v>
      </c>
      <c r="I312" s="527">
        <f t="shared" si="117"/>
        <v>0</v>
      </c>
      <c r="J312" s="528">
        <f t="shared" si="117"/>
        <v>6</v>
      </c>
      <c r="K312" s="148">
        <v>0</v>
      </c>
      <c r="L312" s="497">
        <f t="shared" si="108"/>
        <v>120</v>
      </c>
      <c r="M312" s="99"/>
      <c r="N312" s="88"/>
      <c r="O312" s="89"/>
      <c r="P312" s="1286" t="s">
        <v>533</v>
      </c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2"/>
    </row>
    <row r="313" spans="1:58" s="82" customFormat="1" ht="30" customHeight="1">
      <c r="A313" s="942"/>
      <c r="B313" s="961"/>
      <c r="C313" s="1219"/>
      <c r="D313" s="84">
        <v>2023</v>
      </c>
      <c r="E313" s="85">
        <f>F313+G313+H313+I313+J313</f>
        <v>120</v>
      </c>
      <c r="F313" s="529">
        <v>0</v>
      </c>
      <c r="G313" s="529">
        <v>0</v>
      </c>
      <c r="H313" s="529">
        <v>114</v>
      </c>
      <c r="I313" s="529">
        <v>0</v>
      </c>
      <c r="J313" s="529">
        <v>6</v>
      </c>
      <c r="K313" s="148">
        <v>0</v>
      </c>
      <c r="L313" s="497">
        <f t="shared" si="108"/>
        <v>120</v>
      </c>
      <c r="M313" s="287" t="s">
        <v>534</v>
      </c>
      <c r="N313" s="88"/>
      <c r="O313" s="400"/>
      <c r="P313" s="1287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2"/>
    </row>
    <row r="314" spans="1:58" s="82" customFormat="1" ht="15.75" customHeight="1">
      <c r="A314" s="1128" t="s">
        <v>535</v>
      </c>
      <c r="B314" s="1080" t="s">
        <v>536</v>
      </c>
      <c r="C314" s="1224" t="s">
        <v>537</v>
      </c>
      <c r="D314" s="84" t="s">
        <v>16</v>
      </c>
      <c r="E314" s="85">
        <f t="shared" ref="E314:J314" si="118">E315</f>
        <v>120</v>
      </c>
      <c r="F314" s="529">
        <f t="shared" si="118"/>
        <v>0</v>
      </c>
      <c r="G314" s="529">
        <f t="shared" si="118"/>
        <v>0</v>
      </c>
      <c r="H314" s="529">
        <f t="shared" si="118"/>
        <v>114</v>
      </c>
      <c r="I314" s="529">
        <f t="shared" si="118"/>
        <v>0</v>
      </c>
      <c r="J314" s="529">
        <f t="shared" si="118"/>
        <v>6</v>
      </c>
      <c r="K314" s="148">
        <v>0</v>
      </c>
      <c r="L314" s="497">
        <f t="shared" si="108"/>
        <v>120</v>
      </c>
      <c r="M314" s="235" t="s">
        <v>538</v>
      </c>
      <c r="N314" s="88"/>
      <c r="O314" s="89"/>
      <c r="P314" s="1286" t="s">
        <v>539</v>
      </c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2"/>
    </row>
    <row r="315" spans="1:58" s="82" customFormat="1" ht="33.75" customHeight="1">
      <c r="A315" s="1184"/>
      <c r="B315" s="1288"/>
      <c r="C315" s="1226"/>
      <c r="D315" s="84">
        <v>2023</v>
      </c>
      <c r="E315" s="85">
        <f>F315+G315+H315+I315+J315</f>
        <v>120</v>
      </c>
      <c r="F315" s="529">
        <v>0</v>
      </c>
      <c r="G315" s="529">
        <v>0</v>
      </c>
      <c r="H315" s="529">
        <v>114</v>
      </c>
      <c r="I315" s="529">
        <v>0</v>
      </c>
      <c r="J315" s="529">
        <v>6</v>
      </c>
      <c r="K315" s="148">
        <v>0</v>
      </c>
      <c r="L315" s="497">
        <f t="shared" si="108"/>
        <v>120</v>
      </c>
      <c r="M315" s="238"/>
      <c r="N315" s="88"/>
      <c r="O315" s="111"/>
      <c r="P315" s="1289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2"/>
    </row>
    <row r="316" spans="1:58" s="82" customFormat="1">
      <c r="A316" s="1128" t="s">
        <v>540</v>
      </c>
      <c r="B316" s="1080" t="s">
        <v>541</v>
      </c>
      <c r="C316" s="1224" t="s">
        <v>542</v>
      </c>
      <c r="D316" s="84" t="s">
        <v>16</v>
      </c>
      <c r="E316" s="85">
        <f t="shared" ref="E316:J316" si="119">E317</f>
        <v>16.8</v>
      </c>
      <c r="F316" s="529">
        <f t="shared" si="119"/>
        <v>0</v>
      </c>
      <c r="G316" s="529">
        <f t="shared" si="119"/>
        <v>0</v>
      </c>
      <c r="H316" s="529">
        <f t="shared" si="119"/>
        <v>15.96</v>
      </c>
      <c r="I316" s="529">
        <f t="shared" si="119"/>
        <v>0</v>
      </c>
      <c r="J316" s="529">
        <f t="shared" si="119"/>
        <v>0.84</v>
      </c>
      <c r="K316" s="148">
        <v>0</v>
      </c>
      <c r="L316" s="497">
        <f t="shared" si="108"/>
        <v>16.8</v>
      </c>
      <c r="M316" s="895"/>
      <c r="N316" s="88"/>
      <c r="O316" s="875"/>
      <c r="P316" s="1289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2"/>
    </row>
    <row r="317" spans="1:58" s="82" customFormat="1" ht="26.25" customHeight="1">
      <c r="A317" s="1151"/>
      <c r="B317" s="961"/>
      <c r="C317" s="1219"/>
      <c r="D317" s="84">
        <v>2025</v>
      </c>
      <c r="E317" s="85">
        <f>F317+G317+H317+I317+J317</f>
        <v>16.8</v>
      </c>
      <c r="F317" s="529">
        <v>0</v>
      </c>
      <c r="G317" s="529">
        <v>0</v>
      </c>
      <c r="H317" s="529">
        <v>15.96</v>
      </c>
      <c r="I317" s="529">
        <v>0</v>
      </c>
      <c r="J317" s="529">
        <v>0.84</v>
      </c>
      <c r="K317" s="148">
        <v>0</v>
      </c>
      <c r="L317" s="497">
        <f t="shared" si="108"/>
        <v>16.8</v>
      </c>
      <c r="M317" s="897"/>
      <c r="N317" s="88"/>
      <c r="O317" s="876"/>
      <c r="P317" s="1287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2"/>
    </row>
    <row r="318" spans="1:58" s="82" customFormat="1">
      <c r="A318" s="1128" t="s">
        <v>543</v>
      </c>
      <c r="B318" s="1080" t="s">
        <v>544</v>
      </c>
      <c r="C318" s="1224" t="s">
        <v>1398</v>
      </c>
      <c r="D318" s="84" t="s">
        <v>16</v>
      </c>
      <c r="E318" s="85">
        <f t="shared" ref="E318:J318" si="120">E319</f>
        <v>16.8</v>
      </c>
      <c r="F318" s="529">
        <f t="shared" si="120"/>
        <v>0</v>
      </c>
      <c r="G318" s="529">
        <f t="shared" si="120"/>
        <v>0</v>
      </c>
      <c r="H318" s="529">
        <f t="shared" si="120"/>
        <v>15.96</v>
      </c>
      <c r="I318" s="529">
        <f t="shared" si="120"/>
        <v>0</v>
      </c>
      <c r="J318" s="529">
        <f t="shared" si="120"/>
        <v>0.84</v>
      </c>
      <c r="K318" s="148">
        <v>0</v>
      </c>
      <c r="L318" s="497">
        <f t="shared" si="108"/>
        <v>16.8</v>
      </c>
      <c r="M318" s="895"/>
      <c r="N318" s="88"/>
      <c r="O318" s="875"/>
      <c r="P318" s="1239" t="s">
        <v>545</v>
      </c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2"/>
    </row>
    <row r="319" spans="1:58" s="82" customFormat="1" ht="25.5" customHeight="1">
      <c r="A319" s="1184"/>
      <c r="B319" s="961"/>
      <c r="C319" s="1219"/>
      <c r="D319" s="84">
        <v>2024</v>
      </c>
      <c r="E319" s="85">
        <f>F319+G319+H319+I319+J319</f>
        <v>16.8</v>
      </c>
      <c r="F319" s="529">
        <v>0</v>
      </c>
      <c r="G319" s="529">
        <v>0</v>
      </c>
      <c r="H319" s="529">
        <v>15.96</v>
      </c>
      <c r="I319" s="529">
        <v>0</v>
      </c>
      <c r="J319" s="529">
        <v>0.84</v>
      </c>
      <c r="K319" s="148">
        <v>0</v>
      </c>
      <c r="L319" s="497">
        <f t="shared" si="108"/>
        <v>16.8</v>
      </c>
      <c r="M319" s="897"/>
      <c r="N319" s="88"/>
      <c r="O319" s="876"/>
      <c r="P319" s="124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2"/>
    </row>
    <row r="320" spans="1:58" s="82" customFormat="1" ht="12.75" customHeight="1">
      <c r="A320" s="1128" t="s">
        <v>546</v>
      </c>
      <c r="B320" s="1224" t="s">
        <v>547</v>
      </c>
      <c r="C320" s="1224" t="s">
        <v>1399</v>
      </c>
      <c r="D320" s="84" t="s">
        <v>16</v>
      </c>
      <c r="E320" s="85">
        <f t="shared" ref="E320:J320" si="121">E321+E322</f>
        <v>33.6</v>
      </c>
      <c r="F320" s="529">
        <f t="shared" si="121"/>
        <v>0</v>
      </c>
      <c r="G320" s="529">
        <f t="shared" si="121"/>
        <v>0</v>
      </c>
      <c r="H320" s="529">
        <f t="shared" si="121"/>
        <v>31.92</v>
      </c>
      <c r="I320" s="529">
        <f t="shared" si="121"/>
        <v>0</v>
      </c>
      <c r="J320" s="529">
        <f t="shared" si="121"/>
        <v>1.68</v>
      </c>
      <c r="K320" s="148">
        <v>0</v>
      </c>
      <c r="L320" s="497">
        <f t="shared" si="108"/>
        <v>33.6</v>
      </c>
      <c r="M320" s="895"/>
      <c r="N320" s="88"/>
      <c r="O320" s="875"/>
      <c r="P320" s="1224" t="s">
        <v>549</v>
      </c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2"/>
    </row>
    <row r="321" spans="1:58" s="82" customFormat="1" ht="23.25" customHeight="1">
      <c r="A321" s="1183"/>
      <c r="B321" s="1225"/>
      <c r="C321" s="1225"/>
      <c r="D321" s="84">
        <v>2020</v>
      </c>
      <c r="E321" s="85">
        <f>F321+G321+H321+I321+J321</f>
        <v>16.8</v>
      </c>
      <c r="F321" s="529">
        <v>0</v>
      </c>
      <c r="G321" s="529">
        <v>0</v>
      </c>
      <c r="H321" s="529">
        <v>15.96</v>
      </c>
      <c r="I321" s="529">
        <v>0</v>
      </c>
      <c r="J321" s="529">
        <v>0.84</v>
      </c>
      <c r="K321" s="148">
        <v>0</v>
      </c>
      <c r="L321" s="497">
        <f t="shared" si="108"/>
        <v>16.8</v>
      </c>
      <c r="M321" s="897"/>
      <c r="N321" s="88"/>
      <c r="O321" s="876"/>
      <c r="P321" s="1225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2"/>
    </row>
    <row r="322" spans="1:58" s="82" customFormat="1" ht="23.25" customHeight="1">
      <c r="A322" s="1184"/>
      <c r="B322" s="1226"/>
      <c r="C322" s="1226"/>
      <c r="D322" s="84">
        <v>2021</v>
      </c>
      <c r="E322" s="85">
        <f>F322+G322+H322+I322+J322</f>
        <v>16.8</v>
      </c>
      <c r="F322" s="529">
        <v>0</v>
      </c>
      <c r="G322" s="529">
        <v>0</v>
      </c>
      <c r="H322" s="529">
        <v>15.96</v>
      </c>
      <c r="I322" s="529">
        <v>0</v>
      </c>
      <c r="J322" s="529">
        <v>0.84</v>
      </c>
      <c r="K322" s="148">
        <v>0</v>
      </c>
      <c r="L322" s="497">
        <f t="shared" si="108"/>
        <v>16.8</v>
      </c>
      <c r="M322" s="217"/>
      <c r="N322" s="88"/>
      <c r="O322" s="200"/>
      <c r="P322" s="1226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2"/>
    </row>
    <row r="323" spans="1:58" s="82" customFormat="1">
      <c r="A323" s="1210" t="s">
        <v>550</v>
      </c>
      <c r="B323" s="1080" t="s">
        <v>551</v>
      </c>
      <c r="C323" s="1224" t="s">
        <v>1399</v>
      </c>
      <c r="D323" s="84" t="s">
        <v>16</v>
      </c>
      <c r="E323" s="85">
        <f t="shared" ref="E323:J323" si="122">E324</f>
        <v>5</v>
      </c>
      <c r="F323" s="529">
        <f t="shared" si="122"/>
        <v>0</v>
      </c>
      <c r="G323" s="529">
        <f t="shared" si="122"/>
        <v>0</v>
      </c>
      <c r="H323" s="529">
        <f t="shared" si="122"/>
        <v>4.75</v>
      </c>
      <c r="I323" s="529">
        <f t="shared" si="122"/>
        <v>0</v>
      </c>
      <c r="J323" s="529">
        <f t="shared" si="122"/>
        <v>0.25</v>
      </c>
      <c r="K323" s="148">
        <v>0</v>
      </c>
      <c r="L323" s="497">
        <f t="shared" si="108"/>
        <v>5</v>
      </c>
      <c r="M323" s="895"/>
      <c r="N323" s="88"/>
      <c r="O323" s="200"/>
      <c r="P323" s="1224" t="s">
        <v>552</v>
      </c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2"/>
    </row>
    <row r="324" spans="1:58" s="82" customFormat="1" ht="21.75" customHeight="1">
      <c r="A324" s="1210"/>
      <c r="B324" s="1288"/>
      <c r="C324" s="1226"/>
      <c r="D324" s="84">
        <v>2022</v>
      </c>
      <c r="E324" s="85">
        <f>F324+G324+H324+I324+J324</f>
        <v>5</v>
      </c>
      <c r="F324" s="529">
        <v>0</v>
      </c>
      <c r="G324" s="529">
        <v>0</v>
      </c>
      <c r="H324" s="529">
        <v>4.75</v>
      </c>
      <c r="I324" s="529">
        <v>0</v>
      </c>
      <c r="J324" s="529">
        <v>0.25</v>
      </c>
      <c r="K324" s="148">
        <v>0</v>
      </c>
      <c r="L324" s="497">
        <f t="shared" si="108"/>
        <v>5</v>
      </c>
      <c r="M324" s="897"/>
      <c r="N324" s="88"/>
      <c r="O324" s="200"/>
      <c r="P324" s="1225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2"/>
    </row>
    <row r="325" spans="1:58" s="82" customFormat="1">
      <c r="A325" s="1210" t="s">
        <v>553</v>
      </c>
      <c r="B325" s="1080" t="s">
        <v>554</v>
      </c>
      <c r="C325" s="1224" t="s">
        <v>1399</v>
      </c>
      <c r="D325" s="84" t="s">
        <v>16</v>
      </c>
      <c r="E325" s="85">
        <f t="shared" ref="E325:J325" si="123">E326</f>
        <v>3</v>
      </c>
      <c r="F325" s="529">
        <f t="shared" si="123"/>
        <v>0</v>
      </c>
      <c r="G325" s="529">
        <f t="shared" si="123"/>
        <v>0</v>
      </c>
      <c r="H325" s="529">
        <f t="shared" si="123"/>
        <v>2.85</v>
      </c>
      <c r="I325" s="529">
        <f t="shared" si="123"/>
        <v>0</v>
      </c>
      <c r="J325" s="529">
        <f t="shared" si="123"/>
        <v>0.15</v>
      </c>
      <c r="K325" s="148">
        <v>0</v>
      </c>
      <c r="L325" s="497">
        <f t="shared" si="108"/>
        <v>3</v>
      </c>
      <c r="M325" s="895"/>
      <c r="N325" s="88"/>
      <c r="O325" s="200"/>
      <c r="P325" s="1225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2"/>
    </row>
    <row r="326" spans="1:58" s="82" customFormat="1" ht="22.5" customHeight="1">
      <c r="A326" s="1210"/>
      <c r="B326" s="1288"/>
      <c r="C326" s="1226"/>
      <c r="D326" s="84">
        <v>2024</v>
      </c>
      <c r="E326" s="85">
        <f>F326+G326+H326+I326+J326</f>
        <v>3</v>
      </c>
      <c r="F326" s="529">
        <v>0</v>
      </c>
      <c r="G326" s="529">
        <v>0</v>
      </c>
      <c r="H326" s="529">
        <v>2.85</v>
      </c>
      <c r="I326" s="529">
        <v>0</v>
      </c>
      <c r="J326" s="529">
        <v>0.15</v>
      </c>
      <c r="K326" s="148">
        <v>0</v>
      </c>
      <c r="L326" s="497">
        <f t="shared" si="108"/>
        <v>3</v>
      </c>
      <c r="M326" s="897"/>
      <c r="N326" s="88"/>
      <c r="O326" s="200"/>
      <c r="P326" s="1226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2"/>
    </row>
    <row r="327" spans="1:58" s="82" customFormat="1">
      <c r="A327" s="1128" t="s">
        <v>555</v>
      </c>
      <c r="B327" s="1080" t="s">
        <v>556</v>
      </c>
      <c r="C327" s="1224" t="s">
        <v>548</v>
      </c>
      <c r="D327" s="84" t="s">
        <v>16</v>
      </c>
      <c r="E327" s="85">
        <f t="shared" ref="E327:J327" si="124">E328</f>
        <v>5</v>
      </c>
      <c r="F327" s="529">
        <f t="shared" si="124"/>
        <v>0</v>
      </c>
      <c r="G327" s="529">
        <f t="shared" si="124"/>
        <v>0</v>
      </c>
      <c r="H327" s="529">
        <f t="shared" si="124"/>
        <v>4.75</v>
      </c>
      <c r="I327" s="529">
        <f t="shared" si="124"/>
        <v>0</v>
      </c>
      <c r="J327" s="529">
        <f t="shared" si="124"/>
        <v>0.25</v>
      </c>
      <c r="K327" s="148">
        <v>0</v>
      </c>
      <c r="L327" s="497">
        <f t="shared" si="108"/>
        <v>5</v>
      </c>
      <c r="M327" s="895"/>
      <c r="N327" s="88"/>
      <c r="O327" s="875"/>
      <c r="P327" s="1239" t="s">
        <v>557</v>
      </c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2"/>
    </row>
    <row r="328" spans="1:58" s="82" customFormat="1" ht="18" customHeight="1">
      <c r="A328" s="1184"/>
      <c r="B328" s="1288"/>
      <c r="C328" s="1226"/>
      <c r="D328" s="84">
        <v>2025</v>
      </c>
      <c r="E328" s="85">
        <f>F328+G328+H328+I328+J328</f>
        <v>5</v>
      </c>
      <c r="F328" s="529">
        <v>0</v>
      </c>
      <c r="G328" s="529">
        <v>0</v>
      </c>
      <c r="H328" s="529">
        <v>4.75</v>
      </c>
      <c r="I328" s="529">
        <v>0</v>
      </c>
      <c r="J328" s="529">
        <v>0.25</v>
      </c>
      <c r="K328" s="148">
        <v>0</v>
      </c>
      <c r="L328" s="497">
        <f t="shared" si="108"/>
        <v>5</v>
      </c>
      <c r="M328" s="897"/>
      <c r="N328" s="88"/>
      <c r="O328" s="876"/>
      <c r="P328" s="124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2"/>
    </row>
    <row r="329" spans="1:58" s="82" customFormat="1" ht="27.75" customHeight="1">
      <c r="A329" s="1128" t="s">
        <v>558</v>
      </c>
      <c r="B329" s="1256" t="s">
        <v>559</v>
      </c>
      <c r="C329" s="611"/>
      <c r="D329" s="84" t="s">
        <v>16</v>
      </c>
      <c r="E329" s="85">
        <f t="shared" ref="E329:J329" si="125">E330</f>
        <v>0.58674999999999999</v>
      </c>
      <c r="F329" s="529">
        <f t="shared" si="125"/>
        <v>5.8500000000000002E-3</v>
      </c>
      <c r="G329" s="529">
        <f t="shared" si="125"/>
        <v>0</v>
      </c>
      <c r="H329" s="529">
        <f t="shared" si="125"/>
        <v>0.58089999999999997</v>
      </c>
      <c r="I329" s="529">
        <f t="shared" si="125"/>
        <v>0</v>
      </c>
      <c r="J329" s="529">
        <f t="shared" si="125"/>
        <v>0</v>
      </c>
      <c r="K329" s="148">
        <v>0</v>
      </c>
      <c r="L329" s="497">
        <f t="shared" si="108"/>
        <v>0.58674999999999999</v>
      </c>
      <c r="M329" s="943"/>
      <c r="N329" s="88"/>
      <c r="O329" s="875"/>
      <c r="P329" s="1239" t="s">
        <v>561</v>
      </c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2"/>
    </row>
    <row r="330" spans="1:58" s="82" customFormat="1" ht="21" customHeight="1">
      <c r="A330" s="1183"/>
      <c r="B330" s="1259"/>
      <c r="C330" s="634" t="s">
        <v>351</v>
      </c>
      <c r="D330" s="84">
        <v>2019</v>
      </c>
      <c r="E330" s="85">
        <f>F330+G330+H330+I330+J330</f>
        <v>0.58674999999999999</v>
      </c>
      <c r="F330" s="529">
        <v>5.8500000000000002E-3</v>
      </c>
      <c r="G330" s="529">
        <v>0</v>
      </c>
      <c r="H330" s="529">
        <v>0.58089999999999997</v>
      </c>
      <c r="I330" s="529">
        <v>0</v>
      </c>
      <c r="J330" s="529">
        <v>0</v>
      </c>
      <c r="K330" s="148">
        <v>0</v>
      </c>
      <c r="L330" s="497">
        <f t="shared" si="108"/>
        <v>0.58674999999999999</v>
      </c>
      <c r="M330" s="970"/>
      <c r="N330" s="88"/>
      <c r="O330" s="877"/>
      <c r="P330" s="1289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2"/>
    </row>
    <row r="331" spans="1:58" s="82" customFormat="1">
      <c r="A331" s="1183"/>
      <c r="B331" s="1259"/>
      <c r="C331" s="1225" t="s">
        <v>1400</v>
      </c>
      <c r="D331" s="84">
        <v>2020</v>
      </c>
      <c r="E331" s="85">
        <v>0</v>
      </c>
      <c r="F331" s="529">
        <v>0</v>
      </c>
      <c r="G331" s="529">
        <v>0</v>
      </c>
      <c r="H331" s="529">
        <v>0</v>
      </c>
      <c r="I331" s="529">
        <v>0</v>
      </c>
      <c r="J331" s="529">
        <v>0</v>
      </c>
      <c r="K331" s="148">
        <v>0</v>
      </c>
      <c r="L331" s="497"/>
      <c r="M331" s="970"/>
      <c r="N331" s="88"/>
      <c r="O331" s="877"/>
      <c r="P331" s="1289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2"/>
    </row>
    <row r="332" spans="1:58" s="82" customFormat="1" ht="30" customHeight="1">
      <c r="A332" s="1184"/>
      <c r="B332" s="1260"/>
      <c r="C332" s="1226"/>
      <c r="D332" s="84">
        <v>2024</v>
      </c>
      <c r="E332" s="85">
        <f>F332+G332+H332+I332+J332</f>
        <v>0</v>
      </c>
      <c r="F332" s="529">
        <v>0</v>
      </c>
      <c r="G332" s="529">
        <v>0</v>
      </c>
      <c r="H332" s="529">
        <v>0</v>
      </c>
      <c r="I332" s="529">
        <v>0</v>
      </c>
      <c r="J332" s="529">
        <v>0</v>
      </c>
      <c r="K332" s="148">
        <v>0</v>
      </c>
      <c r="L332" s="497">
        <f t="shared" ref="L332:L367" si="126">F332+G332+H332+I332+J332</f>
        <v>0</v>
      </c>
      <c r="M332" s="970"/>
      <c r="N332" s="88"/>
      <c r="O332" s="877"/>
      <c r="P332" s="1289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2"/>
    </row>
    <row r="333" spans="1:58" s="82" customFormat="1" ht="12.75" customHeight="1">
      <c r="A333" s="1128" t="s">
        <v>562</v>
      </c>
      <c r="B333" s="1080" t="s">
        <v>563</v>
      </c>
      <c r="C333" s="1224" t="s">
        <v>1400</v>
      </c>
      <c r="D333" s="84" t="s">
        <v>429</v>
      </c>
      <c r="E333" s="85">
        <f t="shared" ref="E333:J333" si="127">E334</f>
        <v>0</v>
      </c>
      <c r="F333" s="529">
        <f t="shared" si="127"/>
        <v>0</v>
      </c>
      <c r="G333" s="529">
        <f t="shared" si="127"/>
        <v>0</v>
      </c>
      <c r="H333" s="529">
        <f t="shared" si="127"/>
        <v>0</v>
      </c>
      <c r="I333" s="529">
        <f t="shared" si="127"/>
        <v>0</v>
      </c>
      <c r="J333" s="529">
        <f t="shared" si="127"/>
        <v>0</v>
      </c>
      <c r="K333" s="148">
        <v>0</v>
      </c>
      <c r="L333" s="497">
        <f t="shared" si="126"/>
        <v>0</v>
      </c>
      <c r="M333" s="970"/>
      <c r="N333" s="88"/>
      <c r="O333" s="877"/>
      <c r="P333" s="1289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2"/>
    </row>
    <row r="334" spans="1:58" s="82" customFormat="1" ht="21.75" customHeight="1">
      <c r="A334" s="1183"/>
      <c r="B334" s="1261"/>
      <c r="C334" s="1225"/>
      <c r="D334" s="84">
        <v>2022</v>
      </c>
      <c r="E334" s="85">
        <v>0</v>
      </c>
      <c r="F334" s="529">
        <v>0</v>
      </c>
      <c r="G334" s="529">
        <v>0</v>
      </c>
      <c r="H334" s="529">
        <v>0</v>
      </c>
      <c r="I334" s="529">
        <v>0</v>
      </c>
      <c r="J334" s="529">
        <v>0</v>
      </c>
      <c r="K334" s="148">
        <v>0</v>
      </c>
      <c r="L334" s="497">
        <f t="shared" si="126"/>
        <v>0</v>
      </c>
      <c r="M334" s="970"/>
      <c r="N334" s="88"/>
      <c r="O334" s="877"/>
      <c r="P334" s="1289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2"/>
    </row>
    <row r="335" spans="1:58" s="82" customFormat="1" ht="23.25" customHeight="1">
      <c r="A335" s="1184"/>
      <c r="B335" s="1288"/>
      <c r="C335" s="1226"/>
      <c r="D335" s="84">
        <v>2023</v>
      </c>
      <c r="E335" s="85">
        <v>0</v>
      </c>
      <c r="F335" s="529">
        <v>0</v>
      </c>
      <c r="G335" s="529">
        <v>0</v>
      </c>
      <c r="H335" s="529">
        <v>0</v>
      </c>
      <c r="I335" s="529">
        <v>0</v>
      </c>
      <c r="J335" s="529">
        <v>0</v>
      </c>
      <c r="K335" s="148">
        <v>0</v>
      </c>
      <c r="L335" s="497">
        <f t="shared" si="126"/>
        <v>0</v>
      </c>
      <c r="M335" s="295"/>
      <c r="N335" s="88"/>
      <c r="O335" s="669"/>
      <c r="P335" s="668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2"/>
    </row>
    <row r="336" spans="1:58" s="82" customFormat="1">
      <c r="A336" s="1128" t="s">
        <v>566</v>
      </c>
      <c r="B336" s="1224" t="s">
        <v>564</v>
      </c>
      <c r="C336" s="1224" t="s">
        <v>1400</v>
      </c>
      <c r="D336" s="84" t="s">
        <v>429</v>
      </c>
      <c r="E336" s="85">
        <f>F336+G336+H336+I336+J336</f>
        <v>0.95000000000000007</v>
      </c>
      <c r="F336" s="529">
        <f>F337</f>
        <v>8.9999999999999998E-4</v>
      </c>
      <c r="G336" s="529">
        <v>0</v>
      </c>
      <c r="H336" s="529">
        <v>0.94910000000000005</v>
      </c>
      <c r="I336" s="529">
        <v>0</v>
      </c>
      <c r="J336" s="529">
        <v>0</v>
      </c>
      <c r="K336" s="148">
        <v>0</v>
      </c>
      <c r="L336" s="497">
        <f t="shared" si="126"/>
        <v>0.95000000000000007</v>
      </c>
      <c r="M336" s="295"/>
      <c r="N336" s="88"/>
      <c r="O336" s="669"/>
      <c r="P336" s="668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2"/>
    </row>
    <row r="337" spans="1:58" s="82" customFormat="1" ht="84.75" customHeight="1">
      <c r="A337" s="1184"/>
      <c r="B337" s="1226"/>
      <c r="C337" s="1226"/>
      <c r="D337" s="84">
        <v>2020</v>
      </c>
      <c r="E337" s="85">
        <f>F337+G337+H337+I337+J337</f>
        <v>0.95000000000000007</v>
      </c>
      <c r="F337" s="529">
        <v>8.9999999999999998E-4</v>
      </c>
      <c r="G337" s="529">
        <f>G336</f>
        <v>0</v>
      </c>
      <c r="H337" s="529">
        <f>H336</f>
        <v>0.94910000000000005</v>
      </c>
      <c r="I337" s="529">
        <f>I336</f>
        <v>0</v>
      </c>
      <c r="J337" s="529">
        <f>J336</f>
        <v>0</v>
      </c>
      <c r="K337" s="148">
        <v>0</v>
      </c>
      <c r="L337" s="497">
        <f t="shared" si="126"/>
        <v>0.95000000000000007</v>
      </c>
      <c r="M337" s="295"/>
      <c r="N337" s="88"/>
      <c r="O337" s="669"/>
      <c r="P337" s="668" t="s">
        <v>352</v>
      </c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2"/>
    </row>
    <row r="338" spans="1:58" s="82" customFormat="1" ht="12.75" customHeight="1">
      <c r="A338" s="553"/>
      <c r="B338" s="1224" t="s">
        <v>565</v>
      </c>
      <c r="C338" s="621"/>
      <c r="D338" s="84" t="s">
        <v>429</v>
      </c>
      <c r="E338" s="85">
        <f t="shared" ref="E338:J338" si="128">E340+E341+E342+E339</f>
        <v>0.54252999999999996</v>
      </c>
      <c r="F338" s="529">
        <f t="shared" si="128"/>
        <v>7.0629999999999998E-2</v>
      </c>
      <c r="G338" s="529">
        <f t="shared" si="128"/>
        <v>3.39E-2</v>
      </c>
      <c r="H338" s="529">
        <f t="shared" si="128"/>
        <v>0.43800000000000006</v>
      </c>
      <c r="I338" s="529">
        <f t="shared" si="128"/>
        <v>0</v>
      </c>
      <c r="J338" s="529">
        <f t="shared" si="128"/>
        <v>0</v>
      </c>
      <c r="K338" s="148">
        <v>0</v>
      </c>
      <c r="L338" s="497">
        <f t="shared" si="126"/>
        <v>0.54253000000000007</v>
      </c>
      <c r="M338" s="295"/>
      <c r="N338" s="88"/>
      <c r="O338" s="669"/>
      <c r="P338" s="668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2"/>
    </row>
    <row r="339" spans="1:58" s="82" customFormat="1" ht="12.75" customHeight="1">
      <c r="A339" s="553"/>
      <c r="B339" s="1225"/>
      <c r="C339" s="621" t="s">
        <v>351</v>
      </c>
      <c r="D339" s="84">
        <v>2019</v>
      </c>
      <c r="E339" s="85">
        <f>F339+G339+H339+I339+J339</f>
        <v>0.35563</v>
      </c>
      <c r="F339" s="529">
        <v>4.623E-2</v>
      </c>
      <c r="G339" s="529">
        <v>3.39E-2</v>
      </c>
      <c r="H339" s="529">
        <v>0.27550000000000002</v>
      </c>
      <c r="I339" s="529">
        <v>0</v>
      </c>
      <c r="J339" s="529">
        <v>0</v>
      </c>
      <c r="K339" s="148">
        <v>0</v>
      </c>
      <c r="L339" s="497">
        <f t="shared" si="126"/>
        <v>0.35563</v>
      </c>
      <c r="M339" s="295"/>
      <c r="N339" s="88"/>
      <c r="O339" s="669"/>
      <c r="P339" s="668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2"/>
    </row>
    <row r="340" spans="1:58" s="82" customFormat="1" ht="25.5" customHeight="1">
      <c r="A340" s="553" t="s">
        <v>569</v>
      </c>
      <c r="B340" s="1225"/>
      <c r="C340" s="1224" t="s">
        <v>1400</v>
      </c>
      <c r="D340" s="84">
        <v>2020</v>
      </c>
      <c r="E340" s="85">
        <f>F340+G340+H340+I340+J340</f>
        <v>7.8700000000000006E-2</v>
      </c>
      <c r="F340" s="529">
        <v>1.0200000000000001E-2</v>
      </c>
      <c r="G340" s="529">
        <v>0</v>
      </c>
      <c r="H340" s="529">
        <v>6.8500000000000005E-2</v>
      </c>
      <c r="I340" s="529">
        <v>0</v>
      </c>
      <c r="J340" s="529">
        <v>0</v>
      </c>
      <c r="K340" s="148">
        <v>0</v>
      </c>
      <c r="L340" s="497">
        <f t="shared" si="126"/>
        <v>7.8700000000000006E-2</v>
      </c>
      <c r="M340" s="295"/>
      <c r="N340" s="88"/>
      <c r="O340" s="669"/>
      <c r="P340" s="668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2"/>
    </row>
    <row r="341" spans="1:58" s="82" customFormat="1">
      <c r="A341" s="553"/>
      <c r="B341" s="1225"/>
      <c r="C341" s="1225"/>
      <c r="D341" s="84">
        <v>2021</v>
      </c>
      <c r="E341" s="85">
        <f>F341+G341+H341+I341+J341</f>
        <v>5.4100000000000002E-2</v>
      </c>
      <c r="F341" s="529">
        <v>7.1000000000000004E-3</v>
      </c>
      <c r="G341" s="529">
        <v>0</v>
      </c>
      <c r="H341" s="529">
        <v>4.7E-2</v>
      </c>
      <c r="I341" s="529">
        <v>0</v>
      </c>
      <c r="J341" s="529">
        <v>0</v>
      </c>
      <c r="K341" s="148">
        <v>0</v>
      </c>
      <c r="L341" s="497">
        <f t="shared" si="126"/>
        <v>5.4100000000000002E-2</v>
      </c>
      <c r="M341" s="295"/>
      <c r="N341" s="88"/>
      <c r="O341" s="669"/>
      <c r="P341" s="668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2"/>
    </row>
    <row r="342" spans="1:58" s="82" customFormat="1">
      <c r="A342" s="553"/>
      <c r="B342" s="1225"/>
      <c r="C342" s="1226"/>
      <c r="D342" s="84">
        <v>2022</v>
      </c>
      <c r="E342" s="85">
        <f>F342+G342+H342+I342+J342</f>
        <v>5.4100000000000002E-2</v>
      </c>
      <c r="F342" s="529">
        <v>7.1000000000000004E-3</v>
      </c>
      <c r="G342" s="529">
        <v>0</v>
      </c>
      <c r="H342" s="529">
        <v>4.7E-2</v>
      </c>
      <c r="I342" s="529">
        <v>0</v>
      </c>
      <c r="J342" s="529">
        <v>0</v>
      </c>
      <c r="K342" s="148">
        <v>0</v>
      </c>
      <c r="L342" s="497">
        <f t="shared" si="126"/>
        <v>5.4100000000000002E-2</v>
      </c>
      <c r="M342" s="295"/>
      <c r="N342" s="88"/>
      <c r="O342" s="669"/>
      <c r="P342" s="668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2"/>
    </row>
    <row r="343" spans="1:58" s="82" customFormat="1">
      <c r="A343" s="553"/>
      <c r="B343" s="1226"/>
      <c r="C343" s="583"/>
      <c r="D343" s="84">
        <v>2023</v>
      </c>
      <c r="E343" s="85">
        <f>F343+G343+H343+I343+J343</f>
        <v>5.33E-2</v>
      </c>
      <c r="F343" s="529">
        <v>7.4999999999999997E-3</v>
      </c>
      <c r="G343" s="529">
        <v>0</v>
      </c>
      <c r="H343" s="529">
        <v>4.58E-2</v>
      </c>
      <c r="I343" s="529">
        <v>0</v>
      </c>
      <c r="J343" s="529">
        <v>0</v>
      </c>
      <c r="K343" s="148">
        <v>0</v>
      </c>
      <c r="L343" s="497">
        <f t="shared" si="126"/>
        <v>5.33E-2</v>
      </c>
      <c r="M343" s="295"/>
      <c r="N343" s="88"/>
      <c r="O343" s="669"/>
      <c r="P343" s="668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2"/>
    </row>
    <row r="344" spans="1:58" s="82" customFormat="1" ht="12.75" customHeight="1">
      <c r="A344" s="1284" t="s">
        <v>572</v>
      </c>
      <c r="B344" s="1256" t="s">
        <v>567</v>
      </c>
      <c r="C344" s="1224" t="s">
        <v>1400</v>
      </c>
      <c r="D344" s="84" t="s">
        <v>16</v>
      </c>
      <c r="E344" s="85">
        <f t="shared" ref="E344:J344" si="129">E345+E346+E347+E348+E349+E350+E351+E352+E353+E354+E355</f>
        <v>0.86264999999999992</v>
      </c>
      <c r="F344" s="85">
        <f t="shared" si="129"/>
        <v>0.86264999999999992</v>
      </c>
      <c r="G344" s="529">
        <f t="shared" si="129"/>
        <v>0</v>
      </c>
      <c r="H344" s="529">
        <f t="shared" si="129"/>
        <v>0</v>
      </c>
      <c r="I344" s="529">
        <f t="shared" si="129"/>
        <v>0</v>
      </c>
      <c r="J344" s="529">
        <f t="shared" si="129"/>
        <v>0</v>
      </c>
      <c r="K344" s="148">
        <v>0</v>
      </c>
      <c r="L344" s="497">
        <f t="shared" si="126"/>
        <v>0.86264999999999992</v>
      </c>
      <c r="M344" s="99"/>
      <c r="N344" s="88"/>
      <c r="O344" s="89"/>
      <c r="P344" s="1224" t="s">
        <v>352</v>
      </c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2"/>
    </row>
    <row r="345" spans="1:58" s="82" customFormat="1" ht="12.75" customHeight="1">
      <c r="A345" s="1296"/>
      <c r="B345" s="1259"/>
      <c r="C345" s="1225"/>
      <c r="D345" s="84">
        <v>2020</v>
      </c>
      <c r="E345" s="85">
        <f t="shared" ref="E345:E355" si="130">F345+G345+H345+I345+J345</f>
        <v>0.21859999999999999</v>
      </c>
      <c r="F345" s="85">
        <v>0.21859999999999999</v>
      </c>
      <c r="G345" s="529">
        <v>0</v>
      </c>
      <c r="H345" s="529">
        <v>0</v>
      </c>
      <c r="I345" s="529">
        <v>0</v>
      </c>
      <c r="J345" s="529">
        <v>0</v>
      </c>
      <c r="K345" s="148">
        <v>0</v>
      </c>
      <c r="L345" s="497">
        <f t="shared" si="126"/>
        <v>0.21859999999999999</v>
      </c>
      <c r="M345" s="99"/>
      <c r="N345" s="88"/>
      <c r="O345" s="89"/>
      <c r="P345" s="1218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2"/>
    </row>
    <row r="346" spans="1:58" s="82" customFormat="1" ht="12.75" customHeight="1">
      <c r="A346" s="1296"/>
      <c r="B346" s="1259"/>
      <c r="C346" s="1225"/>
      <c r="D346" s="84">
        <v>2021</v>
      </c>
      <c r="E346" s="85">
        <f t="shared" si="130"/>
        <v>0.2298</v>
      </c>
      <c r="F346" s="85">
        <v>0.2298</v>
      </c>
      <c r="G346" s="529">
        <v>0</v>
      </c>
      <c r="H346" s="529">
        <v>0</v>
      </c>
      <c r="I346" s="529">
        <v>0</v>
      </c>
      <c r="J346" s="529">
        <v>0</v>
      </c>
      <c r="K346" s="148">
        <v>0</v>
      </c>
      <c r="L346" s="497">
        <f t="shared" si="126"/>
        <v>0.2298</v>
      </c>
      <c r="M346" s="99"/>
      <c r="N346" s="88"/>
      <c r="O346" s="89"/>
      <c r="P346" s="1218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2"/>
    </row>
    <row r="347" spans="1:58" s="82" customFormat="1" ht="12.75" customHeight="1">
      <c r="A347" s="1296"/>
      <c r="B347" s="1259"/>
      <c r="C347" s="1225"/>
      <c r="D347" s="84">
        <v>2022</v>
      </c>
      <c r="E347" s="85">
        <f t="shared" si="130"/>
        <v>0.23649999999999999</v>
      </c>
      <c r="F347" s="85">
        <v>0.23649999999999999</v>
      </c>
      <c r="G347" s="529">
        <f>G345</f>
        <v>0</v>
      </c>
      <c r="H347" s="529">
        <v>0</v>
      </c>
      <c r="I347" s="529">
        <f>I345</f>
        <v>0</v>
      </c>
      <c r="J347" s="529">
        <f>J345</f>
        <v>0</v>
      </c>
      <c r="K347" s="148">
        <v>0</v>
      </c>
      <c r="L347" s="497">
        <f t="shared" si="126"/>
        <v>0.23649999999999999</v>
      </c>
      <c r="M347" s="99"/>
      <c r="N347" s="88"/>
      <c r="O347" s="89"/>
      <c r="P347" s="1218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2"/>
    </row>
    <row r="348" spans="1:58" s="82" customFormat="1" ht="12.75" customHeight="1">
      <c r="A348" s="1296"/>
      <c r="B348" s="1259"/>
      <c r="C348" s="1225"/>
      <c r="D348" s="84">
        <v>2023</v>
      </c>
      <c r="E348" s="85">
        <f t="shared" si="130"/>
        <v>2.06E-2</v>
      </c>
      <c r="F348" s="85">
        <v>2.06E-2</v>
      </c>
      <c r="G348" s="529">
        <v>0</v>
      </c>
      <c r="H348" s="529">
        <v>0</v>
      </c>
      <c r="I348" s="529">
        <v>0</v>
      </c>
      <c r="J348" s="529">
        <v>0</v>
      </c>
      <c r="K348" s="148">
        <v>0</v>
      </c>
      <c r="L348" s="497">
        <f t="shared" si="126"/>
        <v>2.06E-2</v>
      </c>
      <c r="M348" s="671"/>
      <c r="N348" s="88"/>
      <c r="O348" s="111"/>
      <c r="P348" s="1218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2"/>
    </row>
    <row r="349" spans="1:58" s="82" customFormat="1" ht="12.75" customHeight="1">
      <c r="A349" s="1296"/>
      <c r="B349" s="1259"/>
      <c r="C349" s="1225"/>
      <c r="D349" s="84">
        <v>2024</v>
      </c>
      <c r="E349" s="85">
        <f t="shared" si="130"/>
        <v>2.06E-2</v>
      </c>
      <c r="F349" s="85">
        <v>2.06E-2</v>
      </c>
      <c r="G349" s="529">
        <v>0</v>
      </c>
      <c r="H349" s="529">
        <v>0</v>
      </c>
      <c r="I349" s="529">
        <v>0</v>
      </c>
      <c r="J349" s="529">
        <v>0</v>
      </c>
      <c r="K349" s="148">
        <v>0</v>
      </c>
      <c r="L349" s="497">
        <f t="shared" si="126"/>
        <v>2.06E-2</v>
      </c>
      <c r="M349" s="671"/>
      <c r="N349" s="88"/>
      <c r="O349" s="111"/>
      <c r="P349" s="1218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2"/>
    </row>
    <row r="350" spans="1:58" s="82" customFormat="1" ht="12.75" customHeight="1">
      <c r="A350" s="1296"/>
      <c r="B350" s="1259"/>
      <c r="C350" s="1226"/>
      <c r="D350" s="84">
        <v>2025</v>
      </c>
      <c r="E350" s="85">
        <f t="shared" si="130"/>
        <v>2.06E-2</v>
      </c>
      <c r="F350" s="85">
        <v>2.06E-2</v>
      </c>
      <c r="G350" s="529">
        <v>0</v>
      </c>
      <c r="H350" s="529">
        <v>0</v>
      </c>
      <c r="I350" s="529">
        <v>0</v>
      </c>
      <c r="J350" s="529">
        <v>0</v>
      </c>
      <c r="K350" s="148">
        <v>0</v>
      </c>
      <c r="L350" s="497">
        <f t="shared" si="126"/>
        <v>2.06E-2</v>
      </c>
      <c r="M350" s="671"/>
      <c r="N350" s="88"/>
      <c r="O350" s="111"/>
      <c r="P350" s="1218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2"/>
    </row>
    <row r="351" spans="1:58" s="82" customFormat="1" ht="14.25" customHeight="1">
      <c r="A351" s="1296"/>
      <c r="B351" s="1259"/>
      <c r="C351" s="1245" t="s">
        <v>354</v>
      </c>
      <c r="D351" s="84">
        <v>2026</v>
      </c>
      <c r="E351" s="85">
        <f t="shared" si="130"/>
        <v>2.1399999999999999E-2</v>
      </c>
      <c r="F351" s="85">
        <v>2.1399999999999999E-2</v>
      </c>
      <c r="G351" s="529">
        <v>0</v>
      </c>
      <c r="H351" s="529">
        <v>0</v>
      </c>
      <c r="I351" s="529">
        <v>0</v>
      </c>
      <c r="J351" s="529">
        <v>0</v>
      </c>
      <c r="K351" s="148">
        <v>0</v>
      </c>
      <c r="L351" s="497">
        <f t="shared" si="126"/>
        <v>2.1399999999999999E-2</v>
      </c>
      <c r="M351" s="671"/>
      <c r="N351" s="88"/>
      <c r="O351" s="111"/>
      <c r="P351" s="1218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2"/>
    </row>
    <row r="352" spans="1:58" s="82" customFormat="1" ht="12.75" customHeight="1">
      <c r="A352" s="1296"/>
      <c r="B352" s="1259"/>
      <c r="C352" s="1245"/>
      <c r="D352" s="84">
        <v>2027</v>
      </c>
      <c r="E352" s="85">
        <f t="shared" si="130"/>
        <v>2.23E-2</v>
      </c>
      <c r="F352" s="85">
        <v>2.23E-2</v>
      </c>
      <c r="G352" s="529">
        <v>0</v>
      </c>
      <c r="H352" s="529">
        <v>0</v>
      </c>
      <c r="I352" s="529">
        <v>0</v>
      </c>
      <c r="J352" s="529">
        <v>0</v>
      </c>
      <c r="K352" s="148">
        <v>0</v>
      </c>
      <c r="L352" s="497">
        <f t="shared" si="126"/>
        <v>2.23E-2</v>
      </c>
      <c r="M352" s="671"/>
      <c r="N352" s="88"/>
      <c r="O352" s="111"/>
      <c r="P352" s="1218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2"/>
    </row>
    <row r="353" spans="1:58" s="82" customFormat="1" ht="12.75" customHeight="1">
      <c r="A353" s="1296"/>
      <c r="B353" s="1257"/>
      <c r="C353" s="1245"/>
      <c r="D353" s="84">
        <v>2028</v>
      </c>
      <c r="E353" s="85">
        <f t="shared" si="130"/>
        <v>2.315E-2</v>
      </c>
      <c r="F353" s="85">
        <v>2.315E-2</v>
      </c>
      <c r="G353" s="529">
        <v>0</v>
      </c>
      <c r="H353" s="529">
        <v>0</v>
      </c>
      <c r="I353" s="529">
        <v>0</v>
      </c>
      <c r="J353" s="529">
        <v>0</v>
      </c>
      <c r="K353" s="148">
        <v>0</v>
      </c>
      <c r="L353" s="497">
        <f t="shared" si="126"/>
        <v>2.315E-2</v>
      </c>
      <c r="M353" s="671"/>
      <c r="N353" s="88"/>
      <c r="O353" s="111"/>
      <c r="P353" s="1218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2"/>
    </row>
    <row r="354" spans="1:58" s="82" customFormat="1">
      <c r="A354" s="1296"/>
      <c r="B354" s="1257"/>
      <c r="C354" s="1245"/>
      <c r="D354" s="84">
        <v>2029</v>
      </c>
      <c r="E354" s="85">
        <f t="shared" si="130"/>
        <v>2.41E-2</v>
      </c>
      <c r="F354" s="85">
        <v>2.41E-2</v>
      </c>
      <c r="G354" s="529">
        <v>0</v>
      </c>
      <c r="H354" s="529">
        <v>0</v>
      </c>
      <c r="I354" s="529">
        <v>0</v>
      </c>
      <c r="J354" s="529">
        <v>0</v>
      </c>
      <c r="K354" s="148">
        <v>0</v>
      </c>
      <c r="L354" s="497">
        <f t="shared" si="126"/>
        <v>2.41E-2</v>
      </c>
      <c r="M354" s="671"/>
      <c r="N354" s="88"/>
      <c r="O354" s="111"/>
      <c r="P354" s="1218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2"/>
    </row>
    <row r="355" spans="1:58" s="82" customFormat="1" ht="21" customHeight="1">
      <c r="A355" s="1285"/>
      <c r="B355" s="1258"/>
      <c r="C355" s="1245"/>
      <c r="D355" s="84">
        <v>2030</v>
      </c>
      <c r="E355" s="85">
        <f t="shared" si="130"/>
        <v>2.5000000000000001E-2</v>
      </c>
      <c r="F355" s="85">
        <v>2.5000000000000001E-2</v>
      </c>
      <c r="G355" s="529">
        <v>0</v>
      </c>
      <c r="H355" s="529">
        <v>0</v>
      </c>
      <c r="I355" s="529">
        <v>0</v>
      </c>
      <c r="J355" s="529">
        <v>0</v>
      </c>
      <c r="K355" s="148">
        <v>0</v>
      </c>
      <c r="L355" s="497">
        <f t="shared" si="126"/>
        <v>2.5000000000000001E-2</v>
      </c>
      <c r="M355" s="671"/>
      <c r="N355" s="88"/>
      <c r="O355" s="111"/>
      <c r="P355" s="1219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2"/>
    </row>
    <row r="356" spans="1:58" s="82" customFormat="1">
      <c r="A356" s="670"/>
      <c r="B356" s="1224" t="s">
        <v>568</v>
      </c>
      <c r="C356" s="1224" t="s">
        <v>1400</v>
      </c>
      <c r="D356" s="84" t="s">
        <v>429</v>
      </c>
      <c r="E356" s="85">
        <f t="shared" ref="E356:J356" si="131">E357</f>
        <v>7</v>
      </c>
      <c r="F356" s="529">
        <f t="shared" si="131"/>
        <v>0.91</v>
      </c>
      <c r="G356" s="529">
        <f t="shared" si="131"/>
        <v>0</v>
      </c>
      <c r="H356" s="529">
        <f t="shared" si="131"/>
        <v>6.09</v>
      </c>
      <c r="I356" s="529">
        <f t="shared" si="131"/>
        <v>0</v>
      </c>
      <c r="J356" s="529">
        <f t="shared" si="131"/>
        <v>0</v>
      </c>
      <c r="K356" s="148">
        <v>0</v>
      </c>
      <c r="L356" s="497">
        <f t="shared" si="126"/>
        <v>7</v>
      </c>
      <c r="M356" s="671"/>
      <c r="N356" s="88"/>
      <c r="O356" s="111"/>
      <c r="P356" s="57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2"/>
    </row>
    <row r="357" spans="1:58" s="82" customFormat="1">
      <c r="A357" s="670" t="s">
        <v>575</v>
      </c>
      <c r="B357" s="1226"/>
      <c r="C357" s="1226"/>
      <c r="D357" s="84">
        <v>2021</v>
      </c>
      <c r="E357" s="85">
        <f>F357+G357+H357+I357+J357</f>
        <v>7</v>
      </c>
      <c r="F357" s="529">
        <v>0.91</v>
      </c>
      <c r="G357" s="529">
        <v>0</v>
      </c>
      <c r="H357" s="529">
        <v>6.09</v>
      </c>
      <c r="I357" s="529">
        <v>0</v>
      </c>
      <c r="J357" s="529">
        <v>0</v>
      </c>
      <c r="K357" s="148">
        <v>0</v>
      </c>
      <c r="L357" s="497">
        <f t="shared" si="126"/>
        <v>7</v>
      </c>
      <c r="M357" s="671"/>
      <c r="N357" s="88"/>
      <c r="O357" s="111"/>
      <c r="P357" s="57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2"/>
    </row>
    <row r="358" spans="1:58" s="82" customFormat="1" ht="24.75" customHeight="1">
      <c r="A358" s="1201" t="s">
        <v>578</v>
      </c>
      <c r="B358" s="425" t="s">
        <v>576</v>
      </c>
      <c r="C358" s="1224" t="s">
        <v>1400</v>
      </c>
      <c r="D358" s="84" t="s">
        <v>16</v>
      </c>
      <c r="E358" s="85">
        <f t="shared" ref="E358:J358" si="132">E359</f>
        <v>0</v>
      </c>
      <c r="F358" s="85">
        <f t="shared" si="132"/>
        <v>0</v>
      </c>
      <c r="G358" s="85">
        <f t="shared" si="132"/>
        <v>0</v>
      </c>
      <c r="H358" s="85">
        <f t="shared" si="132"/>
        <v>0</v>
      </c>
      <c r="I358" s="85">
        <f t="shared" si="132"/>
        <v>0</v>
      </c>
      <c r="J358" s="85">
        <f t="shared" si="132"/>
        <v>0</v>
      </c>
      <c r="K358" s="148">
        <v>0</v>
      </c>
      <c r="L358" s="497">
        <f t="shared" si="126"/>
        <v>0</v>
      </c>
      <c r="M358" s="235" t="s">
        <v>577</v>
      </c>
      <c r="N358" s="88"/>
      <c r="O358" s="89"/>
      <c r="P358" s="1262" t="s">
        <v>405</v>
      </c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2"/>
    </row>
    <row r="359" spans="1:58" s="82" customFormat="1" ht="18" customHeight="1">
      <c r="A359" s="1290"/>
      <c r="B359" s="650"/>
      <c r="C359" s="1225"/>
      <c r="D359" s="84">
        <v>2020</v>
      </c>
      <c r="E359" s="85">
        <f>F359+G359+H359+I359+J359</f>
        <v>0</v>
      </c>
      <c r="F359" s="529">
        <v>0</v>
      </c>
      <c r="G359" s="529">
        <v>0</v>
      </c>
      <c r="H359" s="529">
        <v>0</v>
      </c>
      <c r="I359" s="529">
        <v>0</v>
      </c>
      <c r="J359" s="529">
        <v>0</v>
      </c>
      <c r="K359" s="148">
        <v>0</v>
      </c>
      <c r="L359" s="497">
        <f t="shared" si="126"/>
        <v>0</v>
      </c>
      <c r="M359" s="294"/>
      <c r="N359" s="88"/>
      <c r="O359" s="111"/>
      <c r="P359" s="1282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2"/>
    </row>
    <row r="360" spans="1:58" s="82" customFormat="1" ht="12.75" customHeight="1">
      <c r="A360" s="1292" t="s">
        <v>581</v>
      </c>
      <c r="B360" s="1080" t="s">
        <v>579</v>
      </c>
      <c r="C360" s="1294" t="s">
        <v>351</v>
      </c>
      <c r="D360" s="533" t="s">
        <v>16</v>
      </c>
      <c r="E360" s="85">
        <f t="shared" ref="E360:J360" si="133">E361</f>
        <v>1.252</v>
      </c>
      <c r="F360" s="529">
        <f t="shared" si="133"/>
        <v>1.252</v>
      </c>
      <c r="G360" s="529">
        <f t="shared" si="133"/>
        <v>0</v>
      </c>
      <c r="H360" s="529">
        <f t="shared" si="133"/>
        <v>0</v>
      </c>
      <c r="I360" s="529">
        <f t="shared" si="133"/>
        <v>0</v>
      </c>
      <c r="J360" s="529">
        <f t="shared" si="133"/>
        <v>0</v>
      </c>
      <c r="K360" s="148">
        <v>0</v>
      </c>
      <c r="L360" s="497">
        <f t="shared" si="126"/>
        <v>1.252</v>
      </c>
      <c r="M360" s="943"/>
      <c r="N360" s="88"/>
      <c r="O360" s="875"/>
      <c r="P360" s="1282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2"/>
    </row>
    <row r="361" spans="1:58" s="82" customFormat="1" ht="19.5" customHeight="1">
      <c r="A361" s="1293"/>
      <c r="B361" s="1261"/>
      <c r="C361" s="1295"/>
      <c r="D361" s="84">
        <v>2019</v>
      </c>
      <c r="E361" s="85">
        <f>F361+G361+H361+I361+J361</f>
        <v>1.252</v>
      </c>
      <c r="F361" s="529">
        <v>1.252</v>
      </c>
      <c r="G361" s="529">
        <v>0</v>
      </c>
      <c r="H361" s="529">
        <v>0</v>
      </c>
      <c r="I361" s="529">
        <v>0</v>
      </c>
      <c r="J361" s="529">
        <v>0</v>
      </c>
      <c r="K361" s="148">
        <v>0</v>
      </c>
      <c r="L361" s="497">
        <f t="shared" si="126"/>
        <v>1.252</v>
      </c>
      <c r="M361" s="990"/>
      <c r="N361" s="88"/>
      <c r="O361" s="876"/>
      <c r="P361" s="1282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2"/>
    </row>
    <row r="362" spans="1:58" s="82" customFormat="1" ht="12.75" customHeight="1">
      <c r="A362" s="1210" t="s">
        <v>584</v>
      </c>
      <c r="B362" s="1223" t="s">
        <v>582</v>
      </c>
      <c r="C362" s="1224" t="s">
        <v>1400</v>
      </c>
      <c r="D362" s="84" t="s">
        <v>16</v>
      </c>
      <c r="E362" s="141">
        <f t="shared" ref="E362:J362" si="134">E364+E365+E363</f>
        <v>250</v>
      </c>
      <c r="F362" s="673">
        <f t="shared" si="134"/>
        <v>250</v>
      </c>
      <c r="G362" s="673">
        <f t="shared" si="134"/>
        <v>0</v>
      </c>
      <c r="H362" s="673">
        <f t="shared" si="134"/>
        <v>0</v>
      </c>
      <c r="I362" s="673">
        <f t="shared" si="134"/>
        <v>0</v>
      </c>
      <c r="J362" s="673">
        <f t="shared" si="134"/>
        <v>0</v>
      </c>
      <c r="K362" s="148">
        <v>0</v>
      </c>
      <c r="L362" s="497">
        <f t="shared" si="126"/>
        <v>250</v>
      </c>
      <c r="M362" s="313"/>
      <c r="N362" s="88"/>
      <c r="O362" s="89"/>
      <c r="P362" s="1282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2"/>
    </row>
    <row r="363" spans="1:58" s="82" customFormat="1">
      <c r="A363" s="1210"/>
      <c r="B363" s="1223"/>
      <c r="C363" s="1225"/>
      <c r="D363" s="140">
        <v>2028</v>
      </c>
      <c r="E363" s="141">
        <f>F363+G363+H363+I363+J363</f>
        <v>24</v>
      </c>
      <c r="F363" s="673">
        <v>24</v>
      </c>
      <c r="G363" s="673">
        <v>0</v>
      </c>
      <c r="H363" s="673">
        <v>0</v>
      </c>
      <c r="I363" s="673">
        <v>0</v>
      </c>
      <c r="J363" s="673">
        <v>0</v>
      </c>
      <c r="K363" s="148">
        <v>0</v>
      </c>
      <c r="L363" s="497">
        <f t="shared" si="126"/>
        <v>24</v>
      </c>
      <c r="M363" s="313"/>
      <c r="N363" s="88"/>
      <c r="O363" s="89"/>
      <c r="P363" s="1282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2"/>
    </row>
    <row r="364" spans="1:58" s="82" customFormat="1">
      <c r="A364" s="1210"/>
      <c r="B364" s="1223"/>
      <c r="C364" s="1225"/>
      <c r="D364" s="140">
        <v>2029</v>
      </c>
      <c r="E364" s="141">
        <f>F364+G364+H364+I364+J364</f>
        <v>110</v>
      </c>
      <c r="F364" s="673">
        <v>110</v>
      </c>
      <c r="G364" s="673">
        <v>0</v>
      </c>
      <c r="H364" s="673">
        <v>0</v>
      </c>
      <c r="I364" s="673">
        <v>0</v>
      </c>
      <c r="J364" s="673">
        <v>0</v>
      </c>
      <c r="K364" s="148">
        <v>0</v>
      </c>
      <c r="L364" s="497">
        <f t="shared" si="126"/>
        <v>110</v>
      </c>
      <c r="M364" s="313"/>
      <c r="N364" s="88"/>
      <c r="O364" s="89"/>
      <c r="P364" s="1282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2"/>
    </row>
    <row r="365" spans="1:58" s="82" customFormat="1">
      <c r="A365" s="1210"/>
      <c r="B365" s="1223"/>
      <c r="C365" s="1226"/>
      <c r="D365" s="140">
        <v>2030</v>
      </c>
      <c r="E365" s="141">
        <f>F365</f>
        <v>116</v>
      </c>
      <c r="F365" s="673">
        <v>116</v>
      </c>
      <c r="G365" s="529">
        <v>0</v>
      </c>
      <c r="H365" s="529">
        <v>0</v>
      </c>
      <c r="I365" s="529">
        <v>0</v>
      </c>
      <c r="J365" s="529">
        <v>0</v>
      </c>
      <c r="K365" s="148">
        <v>0</v>
      </c>
      <c r="L365" s="497">
        <f t="shared" si="126"/>
        <v>116</v>
      </c>
      <c r="M365" s="313" t="s">
        <v>583</v>
      </c>
      <c r="N365" s="88"/>
      <c r="O365" s="89"/>
      <c r="P365" s="12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2"/>
    </row>
    <row r="366" spans="1:58" s="82" customFormat="1">
      <c r="A366" s="1128" t="s">
        <v>1159</v>
      </c>
      <c r="B366" s="1080" t="s">
        <v>570</v>
      </c>
      <c r="C366" s="1224" t="s">
        <v>1398</v>
      </c>
      <c r="D366" s="84" t="s">
        <v>16</v>
      </c>
      <c r="E366" s="85">
        <f t="shared" ref="E366:J366" si="135">E367</f>
        <v>16.8</v>
      </c>
      <c r="F366" s="529">
        <f t="shared" si="135"/>
        <v>0</v>
      </c>
      <c r="G366" s="529">
        <f t="shared" si="135"/>
        <v>0</v>
      </c>
      <c r="H366" s="529">
        <f t="shared" si="135"/>
        <v>15.96</v>
      </c>
      <c r="I366" s="529">
        <f t="shared" si="135"/>
        <v>0</v>
      </c>
      <c r="J366" s="529">
        <f t="shared" si="135"/>
        <v>0.84</v>
      </c>
      <c r="K366" s="148">
        <v>0</v>
      </c>
      <c r="L366" s="497">
        <f t="shared" si="126"/>
        <v>16.8</v>
      </c>
      <c r="M366" s="349"/>
      <c r="N366" s="88"/>
      <c r="O366" s="674"/>
      <c r="P366" s="1286" t="s">
        <v>571</v>
      </c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2"/>
    </row>
    <row r="367" spans="1:58" s="82" customFormat="1" ht="21.75" customHeight="1">
      <c r="A367" s="942"/>
      <c r="B367" s="961"/>
      <c r="C367" s="1219"/>
      <c r="D367" s="84">
        <v>2023</v>
      </c>
      <c r="E367" s="85">
        <f>F367+G367+H367+I367+J367</f>
        <v>16.8</v>
      </c>
      <c r="F367" s="529">
        <v>0</v>
      </c>
      <c r="G367" s="529">
        <v>0</v>
      </c>
      <c r="H367" s="529">
        <v>15.96</v>
      </c>
      <c r="I367" s="529">
        <v>0</v>
      </c>
      <c r="J367" s="529">
        <v>0.84</v>
      </c>
      <c r="K367" s="148">
        <v>0</v>
      </c>
      <c r="L367" s="497">
        <f t="shared" si="126"/>
        <v>16.8</v>
      </c>
      <c r="M367" s="90"/>
      <c r="N367" s="88"/>
      <c r="O367" s="675"/>
      <c r="P367" s="1287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2"/>
    </row>
    <row r="368" spans="1:58" s="82" customFormat="1">
      <c r="A368" s="1128" t="s">
        <v>1160</v>
      </c>
      <c r="B368" s="1224" t="s">
        <v>585</v>
      </c>
      <c r="C368" s="1255" t="s">
        <v>537</v>
      </c>
      <c r="D368" s="140" t="s">
        <v>429</v>
      </c>
      <c r="E368" s="141">
        <f t="shared" ref="E368:J368" si="136">E369</f>
        <v>120</v>
      </c>
      <c r="F368" s="673">
        <f t="shared" si="136"/>
        <v>0</v>
      </c>
      <c r="G368" s="673">
        <f t="shared" si="136"/>
        <v>0</v>
      </c>
      <c r="H368" s="673">
        <f t="shared" si="136"/>
        <v>114</v>
      </c>
      <c r="I368" s="673">
        <f t="shared" si="136"/>
        <v>0</v>
      </c>
      <c r="J368" s="673">
        <f t="shared" si="136"/>
        <v>6</v>
      </c>
      <c r="K368" s="148">
        <v>0</v>
      </c>
      <c r="L368" s="625">
        <f>L369</f>
        <v>120</v>
      </c>
      <c r="M368" s="235"/>
      <c r="N368" s="88"/>
      <c r="O368" s="89"/>
      <c r="P368" s="643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2"/>
    </row>
    <row r="369" spans="1:58" s="82" customFormat="1" ht="37.5" customHeight="1">
      <c r="A369" s="1184"/>
      <c r="B369" s="1226"/>
      <c r="C369" s="1255"/>
      <c r="D369" s="84">
        <v>2029</v>
      </c>
      <c r="E369" s="85">
        <f>F369+G369+H369+I369+J369</f>
        <v>120</v>
      </c>
      <c r="F369" s="529">
        <v>0</v>
      </c>
      <c r="G369" s="529">
        <v>0</v>
      </c>
      <c r="H369" s="529">
        <v>114</v>
      </c>
      <c r="I369" s="529">
        <v>0</v>
      </c>
      <c r="J369" s="529">
        <v>6</v>
      </c>
      <c r="K369" s="148">
        <v>0</v>
      </c>
      <c r="L369" s="497">
        <f t="shared" ref="L369:L377" si="137">F369+G369+H369+I369+J369</f>
        <v>120</v>
      </c>
      <c r="M369" s="216" t="s">
        <v>538</v>
      </c>
      <c r="N369" s="88"/>
      <c r="O369" s="89"/>
      <c r="P369" s="676" t="s">
        <v>586</v>
      </c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2"/>
    </row>
    <row r="370" spans="1:58" s="82" customFormat="1" ht="28.5" customHeight="1">
      <c r="A370" s="1128" t="s">
        <v>593</v>
      </c>
      <c r="B370" s="1080" t="s">
        <v>588</v>
      </c>
      <c r="C370" s="1255" t="s">
        <v>537</v>
      </c>
      <c r="D370" s="84" t="s">
        <v>16</v>
      </c>
      <c r="E370" s="85">
        <f t="shared" ref="E370:J370" si="138">E371</f>
        <v>120</v>
      </c>
      <c r="F370" s="529">
        <f t="shared" si="138"/>
        <v>0</v>
      </c>
      <c r="G370" s="529">
        <f t="shared" si="138"/>
        <v>0</v>
      </c>
      <c r="H370" s="529">
        <f t="shared" si="138"/>
        <v>114</v>
      </c>
      <c r="I370" s="529">
        <f t="shared" si="138"/>
        <v>0</v>
      </c>
      <c r="J370" s="529">
        <f t="shared" si="138"/>
        <v>6</v>
      </c>
      <c r="K370" s="148">
        <v>0</v>
      </c>
      <c r="L370" s="497">
        <f t="shared" si="137"/>
        <v>120</v>
      </c>
      <c r="M370" s="216"/>
      <c r="N370" s="88"/>
      <c r="O370" s="89"/>
      <c r="P370" s="1297" t="s">
        <v>589</v>
      </c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2"/>
    </row>
    <row r="371" spans="1:58" s="82" customFormat="1" ht="28.5" customHeight="1">
      <c r="A371" s="1280"/>
      <c r="B371" s="1288"/>
      <c r="C371" s="1255"/>
      <c r="D371" s="84">
        <v>2025</v>
      </c>
      <c r="E371" s="85">
        <f>F371+G371+H371+I371+J371</f>
        <v>120</v>
      </c>
      <c r="F371" s="529">
        <v>0</v>
      </c>
      <c r="G371" s="529">
        <v>0</v>
      </c>
      <c r="H371" s="529">
        <v>114</v>
      </c>
      <c r="I371" s="529">
        <v>0</v>
      </c>
      <c r="J371" s="529">
        <v>6</v>
      </c>
      <c r="K371" s="148">
        <v>0</v>
      </c>
      <c r="L371" s="497">
        <f t="shared" si="137"/>
        <v>120</v>
      </c>
      <c r="M371" s="136" t="s">
        <v>538</v>
      </c>
      <c r="N371" s="88"/>
      <c r="O371" s="89"/>
      <c r="P371" s="1245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2"/>
    </row>
    <row r="372" spans="1:58" s="82" customFormat="1">
      <c r="A372" s="1210" t="s">
        <v>597</v>
      </c>
      <c r="B372" s="1223" t="s">
        <v>591</v>
      </c>
      <c r="C372" s="1245" t="s">
        <v>592</v>
      </c>
      <c r="D372" s="84" t="s">
        <v>16</v>
      </c>
      <c r="E372" s="85">
        <f t="shared" ref="E372:J372" si="139">E373+E374</f>
        <v>5.0999999999999996</v>
      </c>
      <c r="F372" s="529">
        <f t="shared" si="139"/>
        <v>0</v>
      </c>
      <c r="G372" s="529">
        <f t="shared" si="139"/>
        <v>4</v>
      </c>
      <c r="H372" s="529">
        <f t="shared" si="139"/>
        <v>0.75</v>
      </c>
      <c r="I372" s="529">
        <f t="shared" si="139"/>
        <v>0</v>
      </c>
      <c r="J372" s="529">
        <f t="shared" si="139"/>
        <v>0.35</v>
      </c>
      <c r="K372" s="148">
        <v>0</v>
      </c>
      <c r="L372" s="497">
        <f t="shared" si="137"/>
        <v>5.0999999999999996</v>
      </c>
      <c r="M372" s="217"/>
      <c r="N372" s="88"/>
      <c r="O372" s="89"/>
      <c r="P372" s="62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2"/>
    </row>
    <row r="373" spans="1:58" s="82" customFormat="1">
      <c r="A373" s="1210"/>
      <c r="B373" s="1223"/>
      <c r="C373" s="1245"/>
      <c r="D373" s="84">
        <v>2019</v>
      </c>
      <c r="E373" s="85">
        <f>F373+G373+H373+I373+J373</f>
        <v>0.1</v>
      </c>
      <c r="F373" s="529">
        <v>0</v>
      </c>
      <c r="G373" s="529">
        <v>0</v>
      </c>
      <c r="H373" s="529">
        <v>0</v>
      </c>
      <c r="I373" s="529">
        <v>0</v>
      </c>
      <c r="J373" s="529">
        <v>0.1</v>
      </c>
      <c r="K373" s="148">
        <v>0</v>
      </c>
      <c r="L373" s="497">
        <f t="shared" si="137"/>
        <v>0.1</v>
      </c>
      <c r="M373" s="136"/>
      <c r="N373" s="88"/>
      <c r="O373" s="89"/>
      <c r="P373" s="1224" t="s">
        <v>574</v>
      </c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2"/>
    </row>
    <row r="374" spans="1:58" s="82" customFormat="1" ht="42.75" customHeight="1">
      <c r="A374" s="1210"/>
      <c r="B374" s="1223"/>
      <c r="C374" s="1245"/>
      <c r="D374" s="84">
        <v>2020</v>
      </c>
      <c r="E374" s="85">
        <f>F374+G374+H374+I374+J374</f>
        <v>5</v>
      </c>
      <c r="F374" s="529">
        <v>0</v>
      </c>
      <c r="G374" s="529">
        <v>4</v>
      </c>
      <c r="H374" s="529">
        <v>0.75</v>
      </c>
      <c r="I374" s="529">
        <v>0</v>
      </c>
      <c r="J374" s="529">
        <v>0.25</v>
      </c>
      <c r="K374" s="148">
        <v>0</v>
      </c>
      <c r="L374" s="497">
        <f t="shared" si="137"/>
        <v>5</v>
      </c>
      <c r="M374" s="223"/>
      <c r="N374" s="88"/>
      <c r="O374" s="89"/>
      <c r="P374" s="1219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2"/>
    </row>
    <row r="375" spans="1:58" s="82" customFormat="1" ht="20.25" customHeight="1">
      <c r="A375" s="1210" t="s">
        <v>602</v>
      </c>
      <c r="B375" s="1223" t="s">
        <v>594</v>
      </c>
      <c r="C375" s="1245" t="s">
        <v>1401</v>
      </c>
      <c r="D375" s="84" t="s">
        <v>16</v>
      </c>
      <c r="E375" s="85">
        <f t="shared" ref="E375:J375" si="140">E376</f>
        <v>1.996</v>
      </c>
      <c r="F375" s="529">
        <f t="shared" si="140"/>
        <v>0</v>
      </c>
      <c r="G375" s="529">
        <f t="shared" si="140"/>
        <v>0</v>
      </c>
      <c r="H375" s="529">
        <f t="shared" si="140"/>
        <v>1.198</v>
      </c>
      <c r="I375" s="529">
        <f t="shared" si="140"/>
        <v>0.59899999999999998</v>
      </c>
      <c r="J375" s="529">
        <f t="shared" si="140"/>
        <v>0.19900000000000001</v>
      </c>
      <c r="K375" s="148">
        <v>0</v>
      </c>
      <c r="L375" s="497">
        <f t="shared" si="137"/>
        <v>1.996</v>
      </c>
      <c r="M375" s="223"/>
      <c r="N375" s="88"/>
      <c r="O375" s="89"/>
      <c r="P375" s="57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2"/>
    </row>
    <row r="376" spans="1:58" s="82" customFormat="1" ht="54" customHeight="1">
      <c r="A376" s="1210"/>
      <c r="B376" s="1223"/>
      <c r="C376" s="1245"/>
      <c r="D376" s="84">
        <v>2020</v>
      </c>
      <c r="E376" s="85">
        <f>F376+G376+H376+I376+J376</f>
        <v>1.996</v>
      </c>
      <c r="F376" s="529">
        <v>0</v>
      </c>
      <c r="G376" s="529">
        <v>0</v>
      </c>
      <c r="H376" s="529">
        <v>1.198</v>
      </c>
      <c r="I376" s="529">
        <v>0.59899999999999998</v>
      </c>
      <c r="J376" s="529">
        <v>0.19900000000000001</v>
      </c>
      <c r="K376" s="148">
        <v>0</v>
      </c>
      <c r="L376" s="497">
        <f t="shared" si="137"/>
        <v>1.996</v>
      </c>
      <c r="M376" s="322" t="s">
        <v>595</v>
      </c>
      <c r="N376" s="88"/>
      <c r="O376" s="89"/>
      <c r="P376" s="583" t="s">
        <v>596</v>
      </c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2"/>
    </row>
    <row r="377" spans="1:58" s="82" customFormat="1">
      <c r="A377" s="1128" t="s">
        <v>1162</v>
      </c>
      <c r="B377" s="1224" t="s">
        <v>598</v>
      </c>
      <c r="C377" s="1224" t="s">
        <v>599</v>
      </c>
      <c r="D377" s="84" t="s">
        <v>16</v>
      </c>
      <c r="E377" s="412">
        <f>E378+E379+E380</f>
        <v>40</v>
      </c>
      <c r="F377" s="529">
        <f>F379</f>
        <v>0</v>
      </c>
      <c r="G377" s="529">
        <f>G379</f>
        <v>0</v>
      </c>
      <c r="H377" s="529">
        <f>H379</f>
        <v>0</v>
      </c>
      <c r="I377" s="677">
        <f>I379</f>
        <v>10</v>
      </c>
      <c r="J377" s="529">
        <f>J379</f>
        <v>0</v>
      </c>
      <c r="K377" s="148">
        <v>0</v>
      </c>
      <c r="L377" s="497">
        <f t="shared" si="137"/>
        <v>10</v>
      </c>
      <c r="M377" s="895" t="s">
        <v>600</v>
      </c>
      <c r="N377" s="88"/>
      <c r="O377" s="89"/>
      <c r="P377" s="1224" t="s">
        <v>601</v>
      </c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2"/>
    </row>
    <row r="378" spans="1:58" s="82" customFormat="1">
      <c r="A378" s="1183"/>
      <c r="B378" s="1225"/>
      <c r="C378" s="1225"/>
      <c r="D378" s="84">
        <v>2020</v>
      </c>
      <c r="E378" s="412">
        <v>20</v>
      </c>
      <c r="F378" s="529">
        <v>0</v>
      </c>
      <c r="G378" s="529">
        <v>0</v>
      </c>
      <c r="H378" s="529">
        <v>0</v>
      </c>
      <c r="I378" s="677">
        <v>20</v>
      </c>
      <c r="J378" s="529">
        <v>0</v>
      </c>
      <c r="K378" s="148">
        <v>0</v>
      </c>
      <c r="L378" s="497"/>
      <c r="M378" s="896"/>
      <c r="N378" s="88"/>
      <c r="O378" s="89"/>
      <c r="P378" s="1225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2"/>
    </row>
    <row r="379" spans="1:58" s="82" customFormat="1">
      <c r="A379" s="1183"/>
      <c r="B379" s="1225"/>
      <c r="C379" s="1225"/>
      <c r="D379" s="84">
        <v>2021</v>
      </c>
      <c r="E379" s="412">
        <f>F379+G379+H379+I379+J379</f>
        <v>10</v>
      </c>
      <c r="F379" s="529">
        <v>0</v>
      </c>
      <c r="G379" s="529">
        <v>0</v>
      </c>
      <c r="H379" s="529">
        <v>0</v>
      </c>
      <c r="I379" s="677">
        <v>10</v>
      </c>
      <c r="J379" s="529">
        <v>0</v>
      </c>
      <c r="K379" s="148">
        <v>0</v>
      </c>
      <c r="L379" s="497">
        <f>F379+G379+H379+I379+J379</f>
        <v>10</v>
      </c>
      <c r="M379" s="897"/>
      <c r="N379" s="88"/>
      <c r="O379" s="89"/>
      <c r="P379" s="1225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2"/>
    </row>
    <row r="380" spans="1:58" s="82" customFormat="1">
      <c r="A380" s="1184"/>
      <c r="B380" s="1226"/>
      <c r="C380" s="1226"/>
      <c r="D380" s="84">
        <v>2022</v>
      </c>
      <c r="E380" s="412">
        <f>F380+G380+H380+I380+J380</f>
        <v>10</v>
      </c>
      <c r="F380" s="529">
        <v>0</v>
      </c>
      <c r="G380" s="529">
        <v>0</v>
      </c>
      <c r="H380" s="529">
        <v>0</v>
      </c>
      <c r="I380" s="677">
        <v>10</v>
      </c>
      <c r="J380" s="529">
        <v>0</v>
      </c>
      <c r="K380" s="148">
        <v>0</v>
      </c>
      <c r="L380" s="497"/>
      <c r="M380" s="223"/>
      <c r="N380" s="88"/>
      <c r="O380" s="89"/>
      <c r="P380" s="1226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2"/>
    </row>
    <row r="381" spans="1:58" s="82" customFormat="1">
      <c r="A381" s="1128" t="s">
        <v>1163</v>
      </c>
      <c r="B381" s="1080" t="s">
        <v>603</v>
      </c>
      <c r="C381" s="1245" t="s">
        <v>1398</v>
      </c>
      <c r="D381" s="84" t="s">
        <v>16</v>
      </c>
      <c r="E381" s="85">
        <f t="shared" ref="E381:J381" si="141">E382</f>
        <v>3.5059999999999998</v>
      </c>
      <c r="F381" s="529">
        <f t="shared" si="141"/>
        <v>0</v>
      </c>
      <c r="G381" s="529">
        <f t="shared" si="141"/>
        <v>0</v>
      </c>
      <c r="H381" s="529">
        <f t="shared" si="141"/>
        <v>3.4359999999999999</v>
      </c>
      <c r="I381" s="529">
        <f t="shared" si="141"/>
        <v>0</v>
      </c>
      <c r="J381" s="529">
        <f t="shared" si="141"/>
        <v>7.0000000000000007E-2</v>
      </c>
      <c r="K381" s="148">
        <v>0</v>
      </c>
      <c r="L381" s="497">
        <f>F381+G381+H381+I381+J381</f>
        <v>3.5059999999999998</v>
      </c>
      <c r="M381" s="223"/>
      <c r="N381" s="88"/>
      <c r="O381" s="89"/>
      <c r="P381" s="1224" t="s">
        <v>604</v>
      </c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2"/>
    </row>
    <row r="382" spans="1:58" s="82" customFormat="1" ht="30" customHeight="1">
      <c r="A382" s="1184"/>
      <c r="B382" s="1288"/>
      <c r="C382" s="1298"/>
      <c r="D382" s="84">
        <v>2020</v>
      </c>
      <c r="E382" s="85">
        <f>F382+G382+H382+I382+J382</f>
        <v>3.5059999999999998</v>
      </c>
      <c r="F382" s="529">
        <v>0</v>
      </c>
      <c r="G382" s="529">
        <v>0</v>
      </c>
      <c r="H382" s="529">
        <v>3.4359999999999999</v>
      </c>
      <c r="I382" s="529">
        <v>0</v>
      </c>
      <c r="J382" s="529">
        <v>7.0000000000000007E-2</v>
      </c>
      <c r="K382" s="148">
        <v>0</v>
      </c>
      <c r="L382" s="497">
        <f>F382+G382+H382+I382+J382</f>
        <v>3.5059999999999998</v>
      </c>
      <c r="M382" s="223" t="s">
        <v>605</v>
      </c>
      <c r="N382" s="88"/>
      <c r="O382" s="89"/>
      <c r="P382" s="1226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2"/>
    </row>
    <row r="383" spans="1:58" s="82" customFormat="1" ht="12.75" customHeight="1">
      <c r="A383" s="1210" t="s">
        <v>1164</v>
      </c>
      <c r="B383" s="1224" t="s">
        <v>1165</v>
      </c>
      <c r="C383" s="1224" t="s">
        <v>1402</v>
      </c>
      <c r="D383" s="84" t="s">
        <v>16</v>
      </c>
      <c r="E383" s="85">
        <f t="shared" ref="E383:J383" si="142">E384</f>
        <v>120</v>
      </c>
      <c r="F383" s="529">
        <f t="shared" si="142"/>
        <v>0</v>
      </c>
      <c r="G383" s="529">
        <f t="shared" si="142"/>
        <v>0</v>
      </c>
      <c r="H383" s="529">
        <f t="shared" si="142"/>
        <v>114</v>
      </c>
      <c r="I383" s="529">
        <f t="shared" si="142"/>
        <v>0</v>
      </c>
      <c r="J383" s="529">
        <f t="shared" si="142"/>
        <v>6</v>
      </c>
      <c r="K383" s="148">
        <v>0</v>
      </c>
      <c r="L383" s="497"/>
      <c r="M383" s="223"/>
      <c r="N383" s="88"/>
      <c r="O383" s="89"/>
      <c r="P383" s="1245" t="s">
        <v>715</v>
      </c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2"/>
    </row>
    <row r="384" spans="1:58" s="82" customFormat="1">
      <c r="A384" s="1210"/>
      <c r="B384" s="1226"/>
      <c r="C384" s="1225"/>
      <c r="D384" s="84">
        <v>2028</v>
      </c>
      <c r="E384" s="85">
        <f>F384+G384+H384+I384+J384</f>
        <v>120</v>
      </c>
      <c r="F384" s="529">
        <v>0</v>
      </c>
      <c r="G384" s="529">
        <v>0</v>
      </c>
      <c r="H384" s="529">
        <v>114</v>
      </c>
      <c r="I384" s="529">
        <v>0</v>
      </c>
      <c r="J384" s="529">
        <v>6</v>
      </c>
      <c r="K384" s="148">
        <v>0</v>
      </c>
      <c r="L384" s="497"/>
      <c r="M384" s="223" t="s">
        <v>1167</v>
      </c>
      <c r="N384" s="88"/>
      <c r="O384" s="89"/>
      <c r="P384" s="1245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2"/>
    </row>
    <row r="385" spans="1:138" s="82" customFormat="1">
      <c r="A385" s="1210" t="s">
        <v>1168</v>
      </c>
      <c r="B385" s="1224" t="s">
        <v>1169</v>
      </c>
      <c r="C385" s="1225"/>
      <c r="D385" s="84" t="s">
        <v>16</v>
      </c>
      <c r="E385" s="85">
        <f t="shared" ref="E385:J385" si="143">E386</f>
        <v>120</v>
      </c>
      <c r="F385" s="529">
        <f t="shared" si="143"/>
        <v>0</v>
      </c>
      <c r="G385" s="529">
        <f t="shared" si="143"/>
        <v>0</v>
      </c>
      <c r="H385" s="529">
        <f t="shared" si="143"/>
        <v>114</v>
      </c>
      <c r="I385" s="529">
        <f t="shared" si="143"/>
        <v>0</v>
      </c>
      <c r="J385" s="529">
        <f t="shared" si="143"/>
        <v>6</v>
      </c>
      <c r="K385" s="148">
        <v>0</v>
      </c>
      <c r="L385" s="497"/>
      <c r="M385" s="223"/>
      <c r="N385" s="88"/>
      <c r="O385" s="89"/>
      <c r="P385" s="1245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2"/>
    </row>
    <row r="386" spans="1:138" s="82" customFormat="1">
      <c r="A386" s="1210"/>
      <c r="B386" s="1226"/>
      <c r="C386" s="1226"/>
      <c r="D386" s="84">
        <v>2028</v>
      </c>
      <c r="E386" s="85">
        <f>F386+G386+H386+I386+J386</f>
        <v>120</v>
      </c>
      <c r="F386" s="529">
        <v>0</v>
      </c>
      <c r="G386" s="529">
        <v>0</v>
      </c>
      <c r="H386" s="529">
        <v>114</v>
      </c>
      <c r="I386" s="529">
        <v>0</v>
      </c>
      <c r="J386" s="529">
        <v>6</v>
      </c>
      <c r="K386" s="148">
        <v>0</v>
      </c>
      <c r="L386" s="497"/>
      <c r="M386" s="223" t="s">
        <v>1167</v>
      </c>
      <c r="N386" s="88"/>
      <c r="O386" s="89"/>
      <c r="P386" s="1245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2"/>
    </row>
    <row r="387" spans="1:138" s="82" customFormat="1" ht="12.75" customHeight="1">
      <c r="A387" s="553"/>
      <c r="B387" s="1224" t="s">
        <v>647</v>
      </c>
      <c r="C387" s="1224" t="s">
        <v>1399</v>
      </c>
      <c r="D387" s="84" t="s">
        <v>429</v>
      </c>
      <c r="E387" s="85">
        <f t="shared" ref="E387:J387" si="144">E388</f>
        <v>0</v>
      </c>
      <c r="F387" s="529">
        <f t="shared" si="144"/>
        <v>0</v>
      </c>
      <c r="G387" s="529">
        <f t="shared" si="144"/>
        <v>0</v>
      </c>
      <c r="H387" s="529">
        <f t="shared" si="144"/>
        <v>0</v>
      </c>
      <c r="I387" s="529">
        <f t="shared" si="144"/>
        <v>0</v>
      </c>
      <c r="J387" s="529">
        <f t="shared" si="144"/>
        <v>0</v>
      </c>
      <c r="K387" s="148">
        <v>0</v>
      </c>
      <c r="L387" s="497">
        <f t="shared" ref="L387:L417" si="145">F387+G387+H387+I387+J387</f>
        <v>0</v>
      </c>
      <c r="M387" s="223"/>
      <c r="N387" s="88"/>
      <c r="O387" s="89"/>
      <c r="P387" s="1224" t="s">
        <v>1171</v>
      </c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2"/>
    </row>
    <row r="388" spans="1:138" s="138" customFormat="1">
      <c r="A388" s="553" t="s">
        <v>1170</v>
      </c>
      <c r="B388" s="1225"/>
      <c r="C388" s="1225"/>
      <c r="D388" s="84">
        <v>2020</v>
      </c>
      <c r="E388" s="141">
        <f>F388+G388+H388+I388+J388</f>
        <v>0</v>
      </c>
      <c r="F388" s="673">
        <v>0</v>
      </c>
      <c r="G388" s="673">
        <v>0</v>
      </c>
      <c r="H388" s="673">
        <v>0</v>
      </c>
      <c r="I388" s="673">
        <v>0</v>
      </c>
      <c r="J388" s="673">
        <v>0</v>
      </c>
      <c r="K388" s="148">
        <v>0</v>
      </c>
      <c r="L388" s="497">
        <f t="shared" si="145"/>
        <v>0</v>
      </c>
      <c r="M388" s="337"/>
      <c r="N388" s="143"/>
      <c r="O388" s="144"/>
      <c r="P388" s="1225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146"/>
      <c r="EH388" s="138" t="s">
        <v>1172</v>
      </c>
    </row>
    <row r="389" spans="1:138" s="138" customFormat="1">
      <c r="A389" s="553"/>
      <c r="B389" s="1226"/>
      <c r="C389" s="1226"/>
      <c r="D389" s="84">
        <v>2021</v>
      </c>
      <c r="E389" s="141">
        <v>0</v>
      </c>
      <c r="F389" s="673">
        <v>0</v>
      </c>
      <c r="G389" s="673">
        <v>0</v>
      </c>
      <c r="H389" s="673">
        <v>0</v>
      </c>
      <c r="I389" s="673">
        <v>0</v>
      </c>
      <c r="J389" s="673">
        <v>0</v>
      </c>
      <c r="K389" s="148">
        <v>0</v>
      </c>
      <c r="L389" s="497">
        <f t="shared" si="145"/>
        <v>0</v>
      </c>
      <c r="M389" s="337"/>
      <c r="N389" s="143"/>
      <c r="O389" s="144"/>
      <c r="P389" s="1225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146"/>
    </row>
    <row r="390" spans="1:138" s="82" customFormat="1" ht="18.75" customHeight="1">
      <c r="A390" s="955">
        <v>5</v>
      </c>
      <c r="B390" s="929" t="s">
        <v>606</v>
      </c>
      <c r="C390" s="1170"/>
      <c r="D390" s="84" t="s">
        <v>16</v>
      </c>
      <c r="E390" s="85">
        <f t="shared" ref="E390:J390" si="146">E391+E392+E393+E394+E395+E396+E397+E399+E398</f>
        <v>110.71339999999999</v>
      </c>
      <c r="F390" s="85">
        <f t="shared" si="146"/>
        <v>4.5</v>
      </c>
      <c r="G390" s="85">
        <f t="shared" si="146"/>
        <v>4.6056999999999997</v>
      </c>
      <c r="H390" s="85">
        <f t="shared" si="146"/>
        <v>97.203999999999994</v>
      </c>
      <c r="I390" s="85">
        <f t="shared" si="146"/>
        <v>2.6</v>
      </c>
      <c r="J390" s="85">
        <f t="shared" si="146"/>
        <v>1.8037000000000001</v>
      </c>
      <c r="K390" s="148">
        <v>0</v>
      </c>
      <c r="L390" s="497">
        <f t="shared" si="145"/>
        <v>110.71339999999999</v>
      </c>
      <c r="M390" s="223"/>
      <c r="N390" s="88"/>
      <c r="O390" s="89"/>
      <c r="P390" s="1226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2"/>
    </row>
    <row r="391" spans="1:138" s="82" customFormat="1" ht="18.75" customHeight="1">
      <c r="A391" s="956"/>
      <c r="B391" s="953"/>
      <c r="C391" s="1218"/>
      <c r="D391" s="84">
        <v>2019</v>
      </c>
      <c r="E391" s="85">
        <f t="shared" ref="E391:J391" si="147">E421</f>
        <v>14.9</v>
      </c>
      <c r="F391" s="85">
        <f t="shared" si="147"/>
        <v>0</v>
      </c>
      <c r="G391" s="85">
        <f t="shared" si="147"/>
        <v>0</v>
      </c>
      <c r="H391" s="85">
        <f t="shared" si="147"/>
        <v>12.4</v>
      </c>
      <c r="I391" s="85">
        <f t="shared" si="147"/>
        <v>2.5</v>
      </c>
      <c r="J391" s="85">
        <f t="shared" si="147"/>
        <v>0</v>
      </c>
      <c r="K391" s="148">
        <v>0</v>
      </c>
      <c r="L391" s="497">
        <f t="shared" si="145"/>
        <v>14.9</v>
      </c>
      <c r="M391" s="142"/>
      <c r="N391" s="88"/>
      <c r="O391" s="89"/>
      <c r="P391" s="668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2"/>
    </row>
    <row r="392" spans="1:138" s="82" customFormat="1" ht="18.75" customHeight="1">
      <c r="A392" s="956"/>
      <c r="B392" s="953"/>
      <c r="C392" s="1218"/>
      <c r="D392" s="84">
        <v>2020</v>
      </c>
      <c r="E392" s="85">
        <f t="shared" ref="E392:K392" si="148">E407+E425</f>
        <v>6.83</v>
      </c>
      <c r="F392" s="85">
        <f t="shared" si="148"/>
        <v>0</v>
      </c>
      <c r="G392" s="85">
        <f t="shared" si="148"/>
        <v>0</v>
      </c>
      <c r="H392" s="85">
        <f t="shared" si="148"/>
        <v>6.6099999999999994</v>
      </c>
      <c r="I392" s="85">
        <f t="shared" si="148"/>
        <v>0</v>
      </c>
      <c r="J392" s="85">
        <f t="shared" si="148"/>
        <v>0.22</v>
      </c>
      <c r="K392" s="85">
        <f t="shared" si="148"/>
        <v>0</v>
      </c>
      <c r="L392" s="497">
        <f t="shared" si="145"/>
        <v>6.8299999999999992</v>
      </c>
      <c r="M392" s="142"/>
      <c r="N392" s="88"/>
      <c r="O392" s="89"/>
      <c r="P392" s="668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2"/>
    </row>
    <row r="393" spans="1:138" s="82" customFormat="1" ht="18.75" customHeight="1">
      <c r="A393" s="927"/>
      <c r="B393" s="960"/>
      <c r="C393" s="1218"/>
      <c r="D393" s="84">
        <v>2021</v>
      </c>
      <c r="E393" s="85">
        <f t="shared" ref="E393:J393" si="149">E408+E431</f>
        <v>10.574999999999999</v>
      </c>
      <c r="F393" s="85">
        <f t="shared" si="149"/>
        <v>4.5</v>
      </c>
      <c r="G393" s="85">
        <f t="shared" si="149"/>
        <v>0</v>
      </c>
      <c r="H393" s="85">
        <f t="shared" si="149"/>
        <v>6</v>
      </c>
      <c r="I393" s="85">
        <f t="shared" si="149"/>
        <v>0</v>
      </c>
      <c r="J393" s="85">
        <f t="shared" si="149"/>
        <v>7.4999999999999997E-2</v>
      </c>
      <c r="K393" s="148">
        <v>0</v>
      </c>
      <c r="L393" s="497">
        <f t="shared" si="145"/>
        <v>10.574999999999999</v>
      </c>
      <c r="M393" s="99"/>
      <c r="N393" s="88"/>
      <c r="O393" s="89"/>
      <c r="P393" s="668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2"/>
    </row>
    <row r="394" spans="1:138" s="82" customFormat="1" ht="18.75" customHeight="1">
      <c r="A394" s="927"/>
      <c r="B394" s="960"/>
      <c r="C394" s="1218"/>
      <c r="D394" s="84">
        <v>2022</v>
      </c>
      <c r="E394" s="85">
        <f t="shared" ref="E394:J394" si="150">E423+E426+E428</f>
        <v>6.3950999999999993</v>
      </c>
      <c r="F394" s="85">
        <f t="shared" si="150"/>
        <v>0</v>
      </c>
      <c r="G394" s="85">
        <f t="shared" si="150"/>
        <v>4.6056999999999997</v>
      </c>
      <c r="H394" s="85">
        <f t="shared" si="150"/>
        <v>1.6044</v>
      </c>
      <c r="I394" s="85">
        <f t="shared" si="150"/>
        <v>0.1</v>
      </c>
      <c r="J394" s="85">
        <f t="shared" si="150"/>
        <v>8.4999999999999992E-2</v>
      </c>
      <c r="K394" s="148">
        <v>0</v>
      </c>
      <c r="L394" s="497">
        <f t="shared" si="145"/>
        <v>6.3950999999999993</v>
      </c>
      <c r="M394" s="99"/>
      <c r="N394" s="88"/>
      <c r="O394" s="89"/>
      <c r="P394" s="668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2"/>
    </row>
    <row r="395" spans="1:138" s="82" customFormat="1" ht="18" customHeight="1">
      <c r="A395" s="927"/>
      <c r="B395" s="960"/>
      <c r="C395" s="1218"/>
      <c r="D395" s="84">
        <v>2023</v>
      </c>
      <c r="E395" s="85">
        <f t="shared" ref="E395:J395" si="151">E409+E429</f>
        <v>38.613300000000002</v>
      </c>
      <c r="F395" s="85">
        <f t="shared" si="151"/>
        <v>0</v>
      </c>
      <c r="G395" s="85">
        <f t="shared" si="151"/>
        <v>0</v>
      </c>
      <c r="H395" s="85">
        <f t="shared" si="151"/>
        <v>38.613300000000002</v>
      </c>
      <c r="I395" s="85">
        <f t="shared" si="151"/>
        <v>0</v>
      </c>
      <c r="J395" s="85">
        <f t="shared" si="151"/>
        <v>0</v>
      </c>
      <c r="K395" s="148">
        <v>0</v>
      </c>
      <c r="L395" s="497">
        <f t="shared" si="145"/>
        <v>38.613300000000002</v>
      </c>
      <c r="M395" s="99"/>
      <c r="N395" s="88"/>
      <c r="O395" s="89"/>
      <c r="P395" s="668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2"/>
    </row>
    <row r="396" spans="1:138" s="82" customFormat="1" ht="16.5" customHeight="1">
      <c r="A396" s="927"/>
      <c r="B396" s="960"/>
      <c r="C396" s="1218"/>
      <c r="D396" s="84">
        <v>2024</v>
      </c>
      <c r="E396" s="85">
        <f t="shared" ref="E396:J396" si="152">E401+E403+E411+E419</f>
        <v>16.099999999999998</v>
      </c>
      <c r="F396" s="85">
        <f t="shared" si="152"/>
        <v>0</v>
      </c>
      <c r="G396" s="85">
        <f t="shared" si="152"/>
        <v>0</v>
      </c>
      <c r="H396" s="85">
        <f t="shared" si="152"/>
        <v>15.33</v>
      </c>
      <c r="I396" s="85">
        <f t="shared" si="152"/>
        <v>0</v>
      </c>
      <c r="J396" s="85">
        <f t="shared" si="152"/>
        <v>0.77</v>
      </c>
      <c r="K396" s="148">
        <v>0</v>
      </c>
      <c r="L396" s="497">
        <f t="shared" si="145"/>
        <v>16.100000000000001</v>
      </c>
      <c r="M396" s="99"/>
      <c r="N396" s="88"/>
      <c r="O396" s="89"/>
      <c r="P396" s="668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2"/>
    </row>
    <row r="397" spans="1:138" s="82" customFormat="1" ht="21" customHeight="1">
      <c r="A397" s="927"/>
      <c r="B397" s="960"/>
      <c r="C397" s="1218"/>
      <c r="D397" s="84">
        <v>2025</v>
      </c>
      <c r="E397" s="85">
        <f t="shared" ref="E397:J397" si="153">E405+E413</f>
        <v>8.5</v>
      </c>
      <c r="F397" s="85">
        <f t="shared" si="153"/>
        <v>0</v>
      </c>
      <c r="G397" s="85">
        <f t="shared" si="153"/>
        <v>0</v>
      </c>
      <c r="H397" s="85">
        <f t="shared" si="153"/>
        <v>8.11</v>
      </c>
      <c r="I397" s="85">
        <f t="shared" si="153"/>
        <v>0</v>
      </c>
      <c r="J397" s="85">
        <f t="shared" si="153"/>
        <v>0.39</v>
      </c>
      <c r="K397" s="148">
        <v>0</v>
      </c>
      <c r="L397" s="497">
        <f t="shared" si="145"/>
        <v>8.5</v>
      </c>
      <c r="M397" s="99"/>
      <c r="N397" s="88"/>
      <c r="O397" s="89"/>
      <c r="P397" s="668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2"/>
    </row>
    <row r="398" spans="1:138" s="82" customFormat="1" ht="21" customHeight="1">
      <c r="A398" s="927"/>
      <c r="B398" s="960"/>
      <c r="C398" s="1218"/>
      <c r="D398" s="84">
        <v>2026</v>
      </c>
      <c r="E398" s="85">
        <f t="shared" ref="E398:J398" si="154">E415</f>
        <v>3.8</v>
      </c>
      <c r="F398" s="85">
        <f t="shared" si="154"/>
        <v>0</v>
      </c>
      <c r="G398" s="85">
        <f t="shared" si="154"/>
        <v>0</v>
      </c>
      <c r="H398" s="85">
        <f t="shared" si="154"/>
        <v>3.61</v>
      </c>
      <c r="I398" s="85">
        <f t="shared" si="154"/>
        <v>0</v>
      </c>
      <c r="J398" s="85">
        <f t="shared" si="154"/>
        <v>0.19</v>
      </c>
      <c r="K398" s="148"/>
      <c r="L398" s="497">
        <f t="shared" si="145"/>
        <v>3.8</v>
      </c>
      <c r="M398" s="99"/>
      <c r="N398" s="88"/>
      <c r="O398" s="89"/>
      <c r="P398" s="668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2"/>
    </row>
    <row r="399" spans="1:138" s="82" customFormat="1" ht="21" customHeight="1">
      <c r="A399" s="927"/>
      <c r="B399" s="960"/>
      <c r="C399" s="1218"/>
      <c r="D399" s="84">
        <v>2027</v>
      </c>
      <c r="E399" s="85">
        <f t="shared" ref="E399:J399" si="155">E417</f>
        <v>5</v>
      </c>
      <c r="F399" s="85">
        <f t="shared" si="155"/>
        <v>0</v>
      </c>
      <c r="G399" s="85">
        <f t="shared" si="155"/>
        <v>0</v>
      </c>
      <c r="H399" s="85">
        <f t="shared" si="155"/>
        <v>4.9263000000000003</v>
      </c>
      <c r="I399" s="85">
        <f t="shared" si="155"/>
        <v>0</v>
      </c>
      <c r="J399" s="85">
        <f t="shared" si="155"/>
        <v>7.3700000000000002E-2</v>
      </c>
      <c r="K399" s="148">
        <v>0</v>
      </c>
      <c r="L399" s="497">
        <f t="shared" si="145"/>
        <v>5</v>
      </c>
      <c r="M399" s="99"/>
      <c r="N399" s="88"/>
      <c r="O399" s="89"/>
      <c r="P399" s="668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2"/>
    </row>
    <row r="400" spans="1:138" s="82" customFormat="1">
      <c r="A400" s="1128" t="s">
        <v>146</v>
      </c>
      <c r="B400" s="1080" t="s">
        <v>615</v>
      </c>
      <c r="C400" s="1224" t="s">
        <v>616</v>
      </c>
      <c r="D400" s="84" t="s">
        <v>16</v>
      </c>
      <c r="E400" s="85">
        <f t="shared" ref="E400:J400" si="156">E401</f>
        <v>3.8</v>
      </c>
      <c r="F400" s="85">
        <f t="shared" si="156"/>
        <v>0</v>
      </c>
      <c r="G400" s="85">
        <f t="shared" si="156"/>
        <v>0</v>
      </c>
      <c r="H400" s="85">
        <f t="shared" si="156"/>
        <v>3.61</v>
      </c>
      <c r="I400" s="85">
        <f t="shared" si="156"/>
        <v>0</v>
      </c>
      <c r="J400" s="85">
        <f t="shared" si="156"/>
        <v>0.19</v>
      </c>
      <c r="K400" s="148">
        <v>0</v>
      </c>
      <c r="L400" s="497">
        <f t="shared" si="145"/>
        <v>3.8</v>
      </c>
      <c r="M400" s="533"/>
      <c r="N400" s="88"/>
      <c r="O400" s="875">
        <v>1</v>
      </c>
      <c r="P400" s="1286" t="s">
        <v>617</v>
      </c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2"/>
    </row>
    <row r="401" spans="1:58" s="82" customFormat="1" ht="51.75" customHeight="1">
      <c r="A401" s="1184"/>
      <c r="B401" s="961"/>
      <c r="C401" s="1219"/>
      <c r="D401" s="84">
        <v>2024</v>
      </c>
      <c r="E401" s="85">
        <f>F401+G401+H401+I401+J401</f>
        <v>3.8</v>
      </c>
      <c r="F401" s="85">
        <v>0</v>
      </c>
      <c r="G401" s="85">
        <v>0</v>
      </c>
      <c r="H401" s="85">
        <v>3.61</v>
      </c>
      <c r="I401" s="85">
        <v>0</v>
      </c>
      <c r="J401" s="85">
        <v>0.19</v>
      </c>
      <c r="K401" s="148">
        <v>0</v>
      </c>
      <c r="L401" s="497">
        <f t="shared" si="145"/>
        <v>3.8</v>
      </c>
      <c r="M401" s="235" t="s">
        <v>618</v>
      </c>
      <c r="N401" s="88"/>
      <c r="O401" s="989"/>
      <c r="P401" s="1299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2"/>
    </row>
    <row r="402" spans="1:58" s="82" customFormat="1">
      <c r="A402" s="1128" t="s">
        <v>148</v>
      </c>
      <c r="B402" s="1080" t="s">
        <v>620</v>
      </c>
      <c r="C402" s="1224" t="s">
        <v>532</v>
      </c>
      <c r="D402" s="84" t="s">
        <v>16</v>
      </c>
      <c r="E402" s="85">
        <f t="shared" ref="E402:J402" si="157">E403</f>
        <v>3.8</v>
      </c>
      <c r="F402" s="85">
        <f t="shared" si="157"/>
        <v>0</v>
      </c>
      <c r="G402" s="85">
        <f t="shared" si="157"/>
        <v>0</v>
      </c>
      <c r="H402" s="85">
        <f t="shared" si="157"/>
        <v>3.61</v>
      </c>
      <c r="I402" s="85">
        <f t="shared" si="157"/>
        <v>0</v>
      </c>
      <c r="J402" s="85">
        <f t="shared" si="157"/>
        <v>0.19</v>
      </c>
      <c r="K402" s="148">
        <v>0</v>
      </c>
      <c r="L402" s="497">
        <f t="shared" si="145"/>
        <v>3.8</v>
      </c>
      <c r="M402" s="943" t="s">
        <v>618</v>
      </c>
      <c r="N402" s="88"/>
      <c r="O402" s="875">
        <v>1</v>
      </c>
      <c r="P402" s="1286" t="s">
        <v>539</v>
      </c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2"/>
    </row>
    <row r="403" spans="1:58" s="82" customFormat="1" ht="47.25" customHeight="1">
      <c r="A403" s="1184"/>
      <c r="B403" s="961"/>
      <c r="C403" s="1219"/>
      <c r="D403" s="84">
        <v>2024</v>
      </c>
      <c r="E403" s="85">
        <f>F403+G403+H403+I403+J403</f>
        <v>3.8</v>
      </c>
      <c r="F403" s="85">
        <v>0</v>
      </c>
      <c r="G403" s="85">
        <v>0</v>
      </c>
      <c r="H403" s="85">
        <v>3.61</v>
      </c>
      <c r="I403" s="85">
        <v>0</v>
      </c>
      <c r="J403" s="85">
        <v>0.19</v>
      </c>
      <c r="K403" s="148">
        <v>0</v>
      </c>
      <c r="L403" s="497">
        <f t="shared" si="145"/>
        <v>3.8</v>
      </c>
      <c r="M403" s="846"/>
      <c r="N403" s="88"/>
      <c r="O403" s="989"/>
      <c r="P403" s="1300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2"/>
    </row>
    <row r="404" spans="1:58" s="82" customFormat="1" ht="12.75" customHeight="1">
      <c r="A404" s="1128" t="s">
        <v>150</v>
      </c>
      <c r="B404" s="1080" t="s">
        <v>622</v>
      </c>
      <c r="C404" s="1224" t="s">
        <v>532</v>
      </c>
      <c r="D404" s="84" t="s">
        <v>16</v>
      </c>
      <c r="E404" s="85">
        <f t="shared" ref="E404:J404" si="158">E405</f>
        <v>4.7</v>
      </c>
      <c r="F404" s="85">
        <f t="shared" si="158"/>
        <v>0</v>
      </c>
      <c r="G404" s="85">
        <f t="shared" si="158"/>
        <v>0</v>
      </c>
      <c r="H404" s="85">
        <f t="shared" si="158"/>
        <v>4.5</v>
      </c>
      <c r="I404" s="85">
        <f t="shared" si="158"/>
        <v>0</v>
      </c>
      <c r="J404" s="85">
        <f t="shared" si="158"/>
        <v>0.2</v>
      </c>
      <c r="K404" s="148">
        <v>0</v>
      </c>
      <c r="L404" s="497">
        <f t="shared" si="145"/>
        <v>4.7</v>
      </c>
      <c r="M404" s="533"/>
      <c r="N404" s="88"/>
      <c r="O404" s="844">
        <v>2</v>
      </c>
      <c r="P404" s="1286" t="s">
        <v>571</v>
      </c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2"/>
    </row>
    <row r="405" spans="1:58" s="82" customFormat="1" ht="45" customHeight="1">
      <c r="A405" s="1184"/>
      <c r="B405" s="961"/>
      <c r="C405" s="1219"/>
      <c r="D405" s="84">
        <v>2025</v>
      </c>
      <c r="E405" s="85">
        <f>F405+G405+H405+I405+J405</f>
        <v>4.7</v>
      </c>
      <c r="F405" s="85">
        <v>0</v>
      </c>
      <c r="G405" s="85">
        <v>0</v>
      </c>
      <c r="H405" s="85">
        <v>4.5</v>
      </c>
      <c r="I405" s="85">
        <v>0</v>
      </c>
      <c r="J405" s="85">
        <v>0.2</v>
      </c>
      <c r="K405" s="148">
        <v>0</v>
      </c>
      <c r="L405" s="497">
        <f t="shared" si="145"/>
        <v>4.7</v>
      </c>
      <c r="M405" s="235" t="s">
        <v>442</v>
      </c>
      <c r="N405" s="88"/>
      <c r="O405" s="989"/>
      <c r="P405" s="1300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2"/>
    </row>
    <row r="406" spans="1:58" s="82" customFormat="1" ht="19.5" customHeight="1">
      <c r="A406" s="1128" t="s">
        <v>152</v>
      </c>
      <c r="B406" s="1224" t="s">
        <v>624</v>
      </c>
      <c r="C406" s="1224" t="s">
        <v>609</v>
      </c>
      <c r="D406" s="84" t="s">
        <v>16</v>
      </c>
      <c r="E406" s="85">
        <f t="shared" ref="E406:J406" si="159">E407+E408+E409</f>
        <v>47.718299999999999</v>
      </c>
      <c r="F406" s="85">
        <f t="shared" si="159"/>
        <v>0</v>
      </c>
      <c r="G406" s="85">
        <f t="shared" si="159"/>
        <v>0</v>
      </c>
      <c r="H406" s="85">
        <f t="shared" si="159"/>
        <v>47.613300000000002</v>
      </c>
      <c r="I406" s="85">
        <f t="shared" si="159"/>
        <v>0</v>
      </c>
      <c r="J406" s="85">
        <f t="shared" si="159"/>
        <v>0.105</v>
      </c>
      <c r="K406" s="148">
        <v>0</v>
      </c>
      <c r="L406" s="497">
        <f t="shared" si="145"/>
        <v>47.718299999999999</v>
      </c>
      <c r="M406" s="943" t="s">
        <v>1175</v>
      </c>
      <c r="N406" s="88"/>
      <c r="O406" s="321"/>
      <c r="P406" s="1286" t="s">
        <v>1176</v>
      </c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2"/>
    </row>
    <row r="407" spans="1:58" s="82" customFormat="1">
      <c r="A407" s="1183"/>
      <c r="B407" s="1225"/>
      <c r="C407" s="1225"/>
      <c r="D407" s="84">
        <v>2020</v>
      </c>
      <c r="E407" s="85">
        <f>F407+G407+H407+I407+J407</f>
        <v>3.03</v>
      </c>
      <c r="F407" s="85">
        <v>0</v>
      </c>
      <c r="G407" s="85">
        <v>0</v>
      </c>
      <c r="H407" s="85">
        <v>3</v>
      </c>
      <c r="I407" s="85">
        <v>0</v>
      </c>
      <c r="J407" s="85">
        <v>0.03</v>
      </c>
      <c r="K407" s="148">
        <v>0</v>
      </c>
      <c r="L407" s="497">
        <f t="shared" si="145"/>
        <v>3.03</v>
      </c>
      <c r="M407" s="970"/>
      <c r="N407" s="88"/>
      <c r="O407" s="680"/>
      <c r="P407" s="1300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2"/>
    </row>
    <row r="408" spans="1:58" s="82" customFormat="1">
      <c r="A408" s="1183"/>
      <c r="B408" s="1225"/>
      <c r="C408" s="1225"/>
      <c r="D408" s="84">
        <v>2021</v>
      </c>
      <c r="E408" s="85">
        <f>F408+G408+H408+I408+J408</f>
        <v>6.0750000000000002</v>
      </c>
      <c r="F408" s="85">
        <v>0</v>
      </c>
      <c r="G408" s="85">
        <v>0</v>
      </c>
      <c r="H408" s="85">
        <v>6</v>
      </c>
      <c r="I408" s="85">
        <v>0</v>
      </c>
      <c r="J408" s="655">
        <v>7.4999999999999997E-2</v>
      </c>
      <c r="K408" s="148">
        <v>0</v>
      </c>
      <c r="L408" s="497">
        <f t="shared" si="145"/>
        <v>6.0750000000000002</v>
      </c>
      <c r="M408" s="970"/>
      <c r="N408" s="88"/>
      <c r="O408" s="681"/>
      <c r="P408" s="1300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2"/>
    </row>
    <row r="409" spans="1:58" s="82" customFormat="1" ht="26.25" customHeight="1">
      <c r="A409" s="1184"/>
      <c r="B409" s="1226"/>
      <c r="C409" s="1226"/>
      <c r="D409" s="84">
        <v>2023</v>
      </c>
      <c r="E409" s="85">
        <f>F409+G409+H409+I409+J409</f>
        <v>38.613300000000002</v>
      </c>
      <c r="F409" s="85">
        <v>0</v>
      </c>
      <c r="G409" s="85">
        <v>0</v>
      </c>
      <c r="H409" s="85">
        <v>38.613300000000002</v>
      </c>
      <c r="I409" s="85">
        <v>0</v>
      </c>
      <c r="J409" s="655">
        <v>0</v>
      </c>
      <c r="K409" s="148">
        <v>0</v>
      </c>
      <c r="L409" s="497">
        <f t="shared" si="145"/>
        <v>38.613300000000002</v>
      </c>
      <c r="M409" s="990"/>
      <c r="N409" s="88"/>
      <c r="O409" s="681"/>
      <c r="P409" s="1299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2"/>
    </row>
    <row r="410" spans="1:58" s="82" customFormat="1" ht="18.75" customHeight="1">
      <c r="A410" s="1128" t="s">
        <v>154</v>
      </c>
      <c r="B410" s="1080" t="s">
        <v>1177</v>
      </c>
      <c r="C410" s="1224" t="s">
        <v>532</v>
      </c>
      <c r="D410" s="84" t="s">
        <v>16</v>
      </c>
      <c r="E410" s="85">
        <f t="shared" ref="E410:J410" si="160">E411</f>
        <v>3.8</v>
      </c>
      <c r="F410" s="85">
        <f t="shared" si="160"/>
        <v>0</v>
      </c>
      <c r="G410" s="85">
        <f t="shared" si="160"/>
        <v>0</v>
      </c>
      <c r="H410" s="85">
        <f t="shared" si="160"/>
        <v>3.61</v>
      </c>
      <c r="I410" s="85">
        <f t="shared" si="160"/>
        <v>0</v>
      </c>
      <c r="J410" s="85">
        <f t="shared" si="160"/>
        <v>0.19</v>
      </c>
      <c r="K410" s="148">
        <v>0</v>
      </c>
      <c r="L410" s="497">
        <f t="shared" si="145"/>
        <v>3.8</v>
      </c>
      <c r="M410" s="943" t="s">
        <v>618</v>
      </c>
      <c r="N410" s="88"/>
      <c r="O410" s="875">
        <v>1</v>
      </c>
      <c r="P410" s="1286" t="s">
        <v>586</v>
      </c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2"/>
    </row>
    <row r="411" spans="1:58" s="82" customFormat="1" ht="33.75" customHeight="1">
      <c r="A411" s="1184"/>
      <c r="B411" s="961"/>
      <c r="C411" s="1219"/>
      <c r="D411" s="84">
        <v>2024</v>
      </c>
      <c r="E411" s="85">
        <f>F411+G411+H411+I411+J411</f>
        <v>3.8</v>
      </c>
      <c r="F411" s="85">
        <v>0</v>
      </c>
      <c r="G411" s="85">
        <v>0</v>
      </c>
      <c r="H411" s="85">
        <v>3.61</v>
      </c>
      <c r="I411" s="85">
        <v>0</v>
      </c>
      <c r="J411" s="85">
        <v>0.19</v>
      </c>
      <c r="K411" s="148">
        <v>0</v>
      </c>
      <c r="L411" s="497">
        <f t="shared" si="145"/>
        <v>3.8</v>
      </c>
      <c r="M411" s="846"/>
      <c r="N411" s="88"/>
      <c r="O411" s="989"/>
      <c r="P411" s="1300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2"/>
    </row>
    <row r="412" spans="1:58" s="82" customFormat="1" ht="18.75" customHeight="1">
      <c r="A412" s="1128" t="s">
        <v>627</v>
      </c>
      <c r="B412" s="1080" t="s">
        <v>628</v>
      </c>
      <c r="C412" s="1224" t="s">
        <v>532</v>
      </c>
      <c r="D412" s="84" t="s">
        <v>16</v>
      </c>
      <c r="E412" s="85">
        <f t="shared" ref="E412:J412" si="161">E413</f>
        <v>3.8</v>
      </c>
      <c r="F412" s="85">
        <f t="shared" si="161"/>
        <v>0</v>
      </c>
      <c r="G412" s="85">
        <f t="shared" si="161"/>
        <v>0</v>
      </c>
      <c r="H412" s="85">
        <f t="shared" si="161"/>
        <v>3.61</v>
      </c>
      <c r="I412" s="85">
        <f t="shared" si="161"/>
        <v>0</v>
      </c>
      <c r="J412" s="85">
        <f t="shared" si="161"/>
        <v>0.19</v>
      </c>
      <c r="K412" s="148">
        <v>0</v>
      </c>
      <c r="L412" s="497">
        <f t="shared" si="145"/>
        <v>3.8</v>
      </c>
      <c r="M412" s="943" t="s">
        <v>618</v>
      </c>
      <c r="N412" s="88"/>
      <c r="O412" s="875">
        <v>1</v>
      </c>
      <c r="P412" s="1300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2"/>
    </row>
    <row r="413" spans="1:58" s="82" customFormat="1" ht="42" customHeight="1">
      <c r="A413" s="1184"/>
      <c r="B413" s="961"/>
      <c r="C413" s="1219"/>
      <c r="D413" s="84">
        <v>2025</v>
      </c>
      <c r="E413" s="85">
        <f>F413+G413+H413+I413+J413</f>
        <v>3.8</v>
      </c>
      <c r="F413" s="85">
        <v>0</v>
      </c>
      <c r="G413" s="85">
        <v>0</v>
      </c>
      <c r="H413" s="85">
        <v>3.61</v>
      </c>
      <c r="I413" s="85">
        <v>0</v>
      </c>
      <c r="J413" s="85">
        <v>0.19</v>
      </c>
      <c r="K413" s="148">
        <v>0</v>
      </c>
      <c r="L413" s="497">
        <f t="shared" si="145"/>
        <v>3.8</v>
      </c>
      <c r="M413" s="846"/>
      <c r="N413" s="88"/>
      <c r="O413" s="989"/>
      <c r="P413" s="1300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2"/>
    </row>
    <row r="414" spans="1:58" s="82" customFormat="1" ht="21" customHeight="1">
      <c r="A414" s="1128" t="s">
        <v>629</v>
      </c>
      <c r="B414" s="1080" t="s">
        <v>630</v>
      </c>
      <c r="C414" s="1224" t="s">
        <v>532</v>
      </c>
      <c r="D414" s="84" t="s">
        <v>16</v>
      </c>
      <c r="E414" s="85">
        <f t="shared" ref="E414:J414" si="162">E415</f>
        <v>3.8</v>
      </c>
      <c r="F414" s="85">
        <f t="shared" si="162"/>
        <v>0</v>
      </c>
      <c r="G414" s="85">
        <f t="shared" si="162"/>
        <v>0</v>
      </c>
      <c r="H414" s="85">
        <f t="shared" si="162"/>
        <v>3.61</v>
      </c>
      <c r="I414" s="85">
        <f t="shared" si="162"/>
        <v>0</v>
      </c>
      <c r="J414" s="85">
        <f t="shared" si="162"/>
        <v>0.19</v>
      </c>
      <c r="K414" s="148">
        <v>0</v>
      </c>
      <c r="L414" s="497">
        <f t="shared" si="145"/>
        <v>3.8</v>
      </c>
      <c r="M414" s="313" t="s">
        <v>618</v>
      </c>
      <c r="N414" s="88"/>
      <c r="O414" s="875">
        <v>1</v>
      </c>
      <c r="P414" s="1286" t="s">
        <v>589</v>
      </c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2"/>
    </row>
    <row r="415" spans="1:58" s="82" customFormat="1" ht="31.5" customHeight="1">
      <c r="A415" s="1184"/>
      <c r="B415" s="961"/>
      <c r="C415" s="1219"/>
      <c r="D415" s="84">
        <v>2026</v>
      </c>
      <c r="E415" s="85">
        <f>F415+G415+H415+I415+J415</f>
        <v>3.8</v>
      </c>
      <c r="F415" s="85">
        <v>0</v>
      </c>
      <c r="G415" s="85">
        <v>0</v>
      </c>
      <c r="H415" s="85">
        <v>3.61</v>
      </c>
      <c r="I415" s="85">
        <v>0</v>
      </c>
      <c r="J415" s="85">
        <v>0.19</v>
      </c>
      <c r="K415" s="148">
        <v>0</v>
      </c>
      <c r="L415" s="497">
        <f t="shared" si="145"/>
        <v>3.8</v>
      </c>
      <c r="M415" s="240"/>
      <c r="N415" s="88"/>
      <c r="O415" s="989"/>
      <c r="P415" s="1300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2"/>
    </row>
    <row r="416" spans="1:58" s="82" customFormat="1" ht="19.5" customHeight="1">
      <c r="A416" s="1128" t="s">
        <v>631</v>
      </c>
      <c r="B416" s="1080" t="s">
        <v>632</v>
      </c>
      <c r="C416" s="1224" t="s">
        <v>532</v>
      </c>
      <c r="D416" s="84" t="s">
        <v>16</v>
      </c>
      <c r="E416" s="85">
        <f t="shared" ref="E416:J416" si="163">E417</f>
        <v>5</v>
      </c>
      <c r="F416" s="85">
        <f t="shared" si="163"/>
        <v>0</v>
      </c>
      <c r="G416" s="85">
        <f t="shared" si="163"/>
        <v>0</v>
      </c>
      <c r="H416" s="85">
        <f t="shared" si="163"/>
        <v>4.9263000000000003</v>
      </c>
      <c r="I416" s="85">
        <f t="shared" si="163"/>
        <v>0</v>
      </c>
      <c r="J416" s="85">
        <f t="shared" si="163"/>
        <v>7.3700000000000002E-2</v>
      </c>
      <c r="K416" s="148">
        <v>0</v>
      </c>
      <c r="L416" s="497">
        <f t="shared" si="145"/>
        <v>5</v>
      </c>
      <c r="M416" s="943" t="s">
        <v>618</v>
      </c>
      <c r="N416" s="895"/>
      <c r="O416" s="875">
        <v>1</v>
      </c>
      <c r="P416" s="1286" t="s">
        <v>633</v>
      </c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2"/>
    </row>
    <row r="417" spans="1:58" s="82" customFormat="1" ht="34.5" customHeight="1">
      <c r="A417" s="1184"/>
      <c r="B417" s="1288"/>
      <c r="C417" s="1219"/>
      <c r="D417" s="84">
        <v>2027</v>
      </c>
      <c r="E417" s="85">
        <f>F417+G417+H417+I417+J417</f>
        <v>5</v>
      </c>
      <c r="F417" s="85">
        <v>0</v>
      </c>
      <c r="G417" s="85">
        <v>0</v>
      </c>
      <c r="H417" s="85">
        <v>4.9263000000000003</v>
      </c>
      <c r="I417" s="85">
        <v>0</v>
      </c>
      <c r="J417" s="85">
        <v>7.3700000000000002E-2</v>
      </c>
      <c r="K417" s="148">
        <v>0</v>
      </c>
      <c r="L417" s="497">
        <f t="shared" si="145"/>
        <v>5</v>
      </c>
      <c r="M417" s="846"/>
      <c r="N417" s="897"/>
      <c r="O417" s="989"/>
      <c r="P417" s="1299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2"/>
    </row>
    <row r="418" spans="1:58" s="82" customFormat="1" ht="24" customHeight="1">
      <c r="A418" s="553"/>
      <c r="B418" s="1080" t="s">
        <v>1178</v>
      </c>
      <c r="C418" s="1224" t="s">
        <v>532</v>
      </c>
      <c r="D418" s="84" t="s">
        <v>16</v>
      </c>
      <c r="E418" s="85">
        <f t="shared" ref="E418:J418" si="164">E419</f>
        <v>4.7</v>
      </c>
      <c r="F418" s="85">
        <f t="shared" si="164"/>
        <v>0</v>
      </c>
      <c r="G418" s="85">
        <f t="shared" si="164"/>
        <v>0</v>
      </c>
      <c r="H418" s="85">
        <f t="shared" si="164"/>
        <v>4.5</v>
      </c>
      <c r="I418" s="85">
        <f t="shared" si="164"/>
        <v>0</v>
      </c>
      <c r="J418" s="85">
        <f t="shared" si="164"/>
        <v>0.2</v>
      </c>
      <c r="K418" s="148">
        <v>0</v>
      </c>
      <c r="L418" s="497"/>
      <c r="M418" s="943" t="s">
        <v>442</v>
      </c>
      <c r="N418" s="88"/>
      <c r="O418" s="682">
        <v>2</v>
      </c>
      <c r="P418" s="1286" t="s">
        <v>549</v>
      </c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2"/>
    </row>
    <row r="419" spans="1:58" s="82" customFormat="1" ht="34.5" customHeight="1">
      <c r="A419" s="553"/>
      <c r="B419" s="1288"/>
      <c r="C419" s="1219"/>
      <c r="D419" s="84">
        <v>2024</v>
      </c>
      <c r="E419" s="85">
        <f>F419+G419+H419+I419+J419</f>
        <v>4.7</v>
      </c>
      <c r="F419" s="85">
        <v>0</v>
      </c>
      <c r="G419" s="85">
        <v>0</v>
      </c>
      <c r="H419" s="85">
        <v>4.5</v>
      </c>
      <c r="I419" s="85">
        <v>0</v>
      </c>
      <c r="J419" s="85">
        <v>0.2</v>
      </c>
      <c r="K419" s="148">
        <v>0</v>
      </c>
      <c r="L419" s="497"/>
      <c r="M419" s="990"/>
      <c r="N419" s="88"/>
      <c r="O419" s="682"/>
      <c r="P419" s="1300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2"/>
    </row>
    <row r="420" spans="1:58" s="82" customFormat="1">
      <c r="A420" s="1128" t="s">
        <v>637</v>
      </c>
      <c r="B420" s="1080" t="s">
        <v>638</v>
      </c>
      <c r="C420" s="1255" t="s">
        <v>639</v>
      </c>
      <c r="D420" s="84" t="s">
        <v>16</v>
      </c>
      <c r="E420" s="85">
        <f t="shared" ref="E420:J420" si="165">E421</f>
        <v>14.9</v>
      </c>
      <c r="F420" s="85">
        <f t="shared" si="165"/>
        <v>0</v>
      </c>
      <c r="G420" s="85">
        <f t="shared" si="165"/>
        <v>0</v>
      </c>
      <c r="H420" s="85">
        <f t="shared" si="165"/>
        <v>12.4</v>
      </c>
      <c r="I420" s="85">
        <f t="shared" si="165"/>
        <v>2.5</v>
      </c>
      <c r="J420" s="85">
        <f t="shared" si="165"/>
        <v>0</v>
      </c>
      <c r="K420" s="148">
        <v>0</v>
      </c>
      <c r="L420" s="497">
        <f>F420+G420+H420+I420+J420</f>
        <v>14.9</v>
      </c>
      <c r="M420" s="660"/>
      <c r="N420" s="88"/>
      <c r="O420" s="89"/>
      <c r="P420" s="1286" t="s">
        <v>640</v>
      </c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2"/>
    </row>
    <row r="421" spans="1:58" s="82" customFormat="1" ht="93" customHeight="1">
      <c r="A421" s="1288"/>
      <c r="B421" s="1288"/>
      <c r="C421" s="1255"/>
      <c r="D421" s="84">
        <v>2019</v>
      </c>
      <c r="E421" s="85">
        <f>F421+G421+H421+I421+J421</f>
        <v>14.9</v>
      </c>
      <c r="F421" s="85">
        <v>0</v>
      </c>
      <c r="G421" s="85">
        <v>0</v>
      </c>
      <c r="H421" s="85">
        <v>12.4</v>
      </c>
      <c r="I421" s="85">
        <v>2.5</v>
      </c>
      <c r="J421" s="85">
        <v>0</v>
      </c>
      <c r="K421" s="148">
        <v>0</v>
      </c>
      <c r="L421" s="497">
        <f>F421+G421+H421+I421+J421</f>
        <v>14.9</v>
      </c>
      <c r="M421" s="660"/>
      <c r="N421" s="88"/>
      <c r="O421" s="89"/>
      <c r="P421" s="1299"/>
      <c r="Q421" s="683"/>
      <c r="R421" s="683"/>
      <c r="S421" s="683"/>
      <c r="T421" s="683"/>
      <c r="U421" s="683"/>
      <c r="V421" s="683"/>
      <c r="W421" s="683"/>
      <c r="X421" s="683"/>
      <c r="Y421" s="683"/>
      <c r="Z421" s="683"/>
      <c r="AA421" s="683"/>
      <c r="AB421" s="683"/>
      <c r="AC421" s="683"/>
      <c r="AD421" s="683"/>
      <c r="AE421" s="683"/>
      <c r="AF421" s="683"/>
      <c r="AG421" s="683"/>
      <c r="AH421" s="683"/>
      <c r="AI421" s="683"/>
      <c r="AJ421" s="683"/>
      <c r="AK421" s="683"/>
      <c r="AL421" s="683"/>
      <c r="AM421" s="683"/>
      <c r="AN421" s="683"/>
      <c r="AO421" s="683"/>
      <c r="AP421" s="683"/>
      <c r="AQ421" s="683"/>
      <c r="AR421" s="683"/>
      <c r="AS421" s="683"/>
      <c r="AT421" s="683"/>
      <c r="AU421" s="683"/>
      <c r="AV421" s="683"/>
      <c r="AW421" s="683"/>
      <c r="AX421" s="683"/>
      <c r="AY421" s="683"/>
      <c r="AZ421" s="683"/>
      <c r="BA421" s="683"/>
      <c r="BB421" s="683"/>
      <c r="BC421" s="683"/>
      <c r="BD421" s="683"/>
      <c r="BE421" s="683"/>
      <c r="BF421" s="92"/>
    </row>
    <row r="422" spans="1:58" s="138" customFormat="1" ht="33" customHeight="1">
      <c r="A422" s="1069" t="s">
        <v>641</v>
      </c>
      <c r="B422" s="1224" t="s">
        <v>642</v>
      </c>
      <c r="C422" s="1255" t="s">
        <v>609</v>
      </c>
      <c r="D422" s="84" t="s">
        <v>16</v>
      </c>
      <c r="E422" s="85">
        <f t="shared" ref="E422:J422" si="166">E423</f>
        <v>1.4875</v>
      </c>
      <c r="F422" s="85">
        <f t="shared" si="166"/>
        <v>0</v>
      </c>
      <c r="G422" s="85">
        <f t="shared" si="166"/>
        <v>0</v>
      </c>
      <c r="H422" s="85">
        <f t="shared" si="166"/>
        <v>1.4125000000000001</v>
      </c>
      <c r="I422" s="85">
        <f t="shared" si="166"/>
        <v>0</v>
      </c>
      <c r="J422" s="85">
        <f t="shared" si="166"/>
        <v>7.4999999999999997E-2</v>
      </c>
      <c r="K422" s="148">
        <v>0</v>
      </c>
      <c r="L422" s="474">
        <f>F422+G422+H422+I422+J422</f>
        <v>1.4875</v>
      </c>
      <c r="M422" s="1027" t="s">
        <v>410</v>
      </c>
      <c r="N422" s="90"/>
      <c r="O422" s="137"/>
      <c r="P422" s="1286" t="s">
        <v>571</v>
      </c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146"/>
    </row>
    <row r="423" spans="1:58" s="138" customFormat="1">
      <c r="A423" s="1301"/>
      <c r="B423" s="1226"/>
      <c r="C423" s="1255"/>
      <c r="D423" s="84">
        <v>2022</v>
      </c>
      <c r="E423" s="85">
        <f>F423+G423+H423+I423+J423</f>
        <v>1.4875</v>
      </c>
      <c r="F423" s="85">
        <v>0</v>
      </c>
      <c r="G423" s="85">
        <v>0</v>
      </c>
      <c r="H423" s="85">
        <v>1.4125000000000001</v>
      </c>
      <c r="I423" s="85">
        <v>0</v>
      </c>
      <c r="J423" s="85">
        <v>7.4999999999999997E-2</v>
      </c>
      <c r="K423" s="148">
        <v>0</v>
      </c>
      <c r="L423" s="474">
        <f>F423+G423+H423+I423+J423</f>
        <v>1.4875</v>
      </c>
      <c r="M423" s="1027"/>
      <c r="N423" s="90"/>
      <c r="O423" s="137"/>
      <c r="P423" s="1299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146"/>
    </row>
    <row r="424" spans="1:58" s="138" customFormat="1" ht="24.75" customHeight="1">
      <c r="A424" s="1022" t="s">
        <v>643</v>
      </c>
      <c r="B424" s="1256" t="s">
        <v>644</v>
      </c>
      <c r="C424" s="1262" t="s">
        <v>532</v>
      </c>
      <c r="D424" s="84" t="s">
        <v>16</v>
      </c>
      <c r="E424" s="141">
        <f>E426+E425</f>
        <v>8.7075999999999993</v>
      </c>
      <c r="F424" s="141">
        <f>F426</f>
        <v>0</v>
      </c>
      <c r="G424" s="141">
        <f>G426</f>
        <v>4.6056999999999997</v>
      </c>
      <c r="H424" s="141">
        <f>G426</f>
        <v>4.6056999999999997</v>
      </c>
      <c r="I424" s="141">
        <f>I426</f>
        <v>0.1</v>
      </c>
      <c r="J424" s="141">
        <f>H426</f>
        <v>0.19189999999999999</v>
      </c>
      <c r="K424" s="148">
        <v>0</v>
      </c>
      <c r="L424" s="497">
        <f>F424+G424+H424+I424+J424</f>
        <v>9.5032999999999994</v>
      </c>
      <c r="M424" s="337"/>
      <c r="N424" s="143"/>
      <c r="O424" s="144"/>
      <c r="P424" s="1286" t="s">
        <v>645</v>
      </c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146"/>
    </row>
    <row r="425" spans="1:58" s="138" customFormat="1" ht="18.75" customHeight="1">
      <c r="A425" s="1279"/>
      <c r="B425" s="1259"/>
      <c r="C425" s="1263"/>
      <c r="D425" s="84">
        <v>2020</v>
      </c>
      <c r="E425" s="141">
        <f>F425+G425+H425+I425+J425</f>
        <v>3.8</v>
      </c>
      <c r="F425" s="141">
        <v>0</v>
      </c>
      <c r="G425" s="141">
        <v>0</v>
      </c>
      <c r="H425" s="141">
        <v>3.61</v>
      </c>
      <c r="I425" s="141">
        <v>0</v>
      </c>
      <c r="J425" s="141">
        <v>0.19</v>
      </c>
      <c r="K425" s="148">
        <v>0</v>
      </c>
      <c r="L425" s="497"/>
      <c r="M425" s="337"/>
      <c r="N425" s="143"/>
      <c r="O425" s="144"/>
      <c r="P425" s="1300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146"/>
    </row>
    <row r="426" spans="1:58" s="138" customFormat="1" ht="41.25" customHeight="1">
      <c r="A426" s="1280"/>
      <c r="B426" s="1260"/>
      <c r="C426" s="1291"/>
      <c r="D426" s="654">
        <v>2022</v>
      </c>
      <c r="E426" s="684">
        <f>F426+G426+H426+I426+J426</f>
        <v>4.9075999999999995</v>
      </c>
      <c r="F426" s="684">
        <v>0</v>
      </c>
      <c r="G426" s="684">
        <v>4.6056999999999997</v>
      </c>
      <c r="H426" s="684">
        <v>0.19189999999999999</v>
      </c>
      <c r="I426" s="684">
        <v>0.1</v>
      </c>
      <c r="J426" s="684">
        <v>0.01</v>
      </c>
      <c r="K426" s="148">
        <v>0</v>
      </c>
      <c r="L426" s="497"/>
      <c r="M426" s="337" t="s">
        <v>618</v>
      </c>
      <c r="N426" s="143"/>
      <c r="O426" s="144"/>
      <c r="P426" s="1299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146"/>
    </row>
    <row r="427" spans="1:58" s="82" customFormat="1" ht="19.5" customHeight="1">
      <c r="A427" s="1128" t="s">
        <v>634</v>
      </c>
      <c r="B427" s="1223" t="s">
        <v>635</v>
      </c>
      <c r="C427" s="1245" t="s">
        <v>1400</v>
      </c>
      <c r="D427" s="84" t="s">
        <v>16</v>
      </c>
      <c r="E427" s="85">
        <f t="shared" ref="E427:J427" si="167">E428+E429</f>
        <v>0</v>
      </c>
      <c r="F427" s="85">
        <f t="shared" si="167"/>
        <v>0</v>
      </c>
      <c r="G427" s="85">
        <f t="shared" si="167"/>
        <v>0</v>
      </c>
      <c r="H427" s="85">
        <f t="shared" si="167"/>
        <v>0</v>
      </c>
      <c r="I427" s="85">
        <f t="shared" si="167"/>
        <v>0</v>
      </c>
      <c r="J427" s="85">
        <f t="shared" si="167"/>
        <v>0</v>
      </c>
      <c r="K427" s="148">
        <v>0</v>
      </c>
      <c r="L427" s="497">
        <f>F427+G427+H427+I427+J427</f>
        <v>0</v>
      </c>
      <c r="M427" s="840" t="s">
        <v>636</v>
      </c>
      <c r="N427" s="88"/>
      <c r="O427" s="89"/>
      <c r="P427" s="1224" t="s">
        <v>352</v>
      </c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2"/>
    </row>
    <row r="428" spans="1:58" s="82" customFormat="1">
      <c r="A428" s="1183"/>
      <c r="B428" s="1223"/>
      <c r="C428" s="1245"/>
      <c r="D428" s="84">
        <v>2022</v>
      </c>
      <c r="E428" s="85">
        <f>F428+G428+H428+I428+J428</f>
        <v>0</v>
      </c>
      <c r="F428" s="85">
        <v>0</v>
      </c>
      <c r="G428" s="85">
        <v>0</v>
      </c>
      <c r="H428" s="85">
        <v>0</v>
      </c>
      <c r="I428" s="85">
        <v>0</v>
      </c>
      <c r="J428" s="85">
        <v>0</v>
      </c>
      <c r="K428" s="148">
        <v>0</v>
      </c>
      <c r="L428" s="497">
        <f>F428+G428+H428+I428+J428</f>
        <v>0</v>
      </c>
      <c r="M428" s="991"/>
      <c r="N428" s="88"/>
      <c r="O428" s="89"/>
      <c r="P428" s="1225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2"/>
    </row>
    <row r="429" spans="1:58" s="82" customFormat="1" ht="19.5" customHeight="1">
      <c r="A429" s="1184"/>
      <c r="B429" s="1223"/>
      <c r="C429" s="1245"/>
      <c r="D429" s="373">
        <v>2023</v>
      </c>
      <c r="E429" s="85">
        <f>F429+G429+H429+I429+J429</f>
        <v>0</v>
      </c>
      <c r="F429" s="85">
        <v>0</v>
      </c>
      <c r="G429" s="85">
        <v>0</v>
      </c>
      <c r="H429" s="85">
        <v>0</v>
      </c>
      <c r="I429" s="85">
        <v>0</v>
      </c>
      <c r="J429" s="85">
        <v>0</v>
      </c>
      <c r="K429" s="148">
        <v>0</v>
      </c>
      <c r="L429" s="497">
        <f>F429+G429+H429+I429+J429</f>
        <v>0</v>
      </c>
      <c r="M429" s="841"/>
      <c r="N429" s="88"/>
      <c r="O429" s="89"/>
      <c r="P429" s="1225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2"/>
    </row>
    <row r="430" spans="1:58" s="138" customFormat="1" ht="19.5" customHeight="1">
      <c r="A430" s="553"/>
      <c r="B430" s="1224" t="s">
        <v>1158</v>
      </c>
      <c r="C430" s="1245" t="s">
        <v>1400</v>
      </c>
      <c r="D430" s="84" t="s">
        <v>16</v>
      </c>
      <c r="E430" s="85">
        <f t="shared" ref="E430:J430" si="168">E431</f>
        <v>4.5</v>
      </c>
      <c r="F430" s="85">
        <f t="shared" si="168"/>
        <v>4.5</v>
      </c>
      <c r="G430" s="85">
        <f t="shared" si="168"/>
        <v>0</v>
      </c>
      <c r="H430" s="85">
        <f t="shared" si="168"/>
        <v>0</v>
      </c>
      <c r="I430" s="85">
        <f t="shared" si="168"/>
        <v>0</v>
      </c>
      <c r="J430" s="85">
        <f t="shared" si="168"/>
        <v>0</v>
      </c>
      <c r="K430" s="148">
        <v>0</v>
      </c>
      <c r="L430" s="497"/>
      <c r="M430" s="337"/>
      <c r="N430" s="143"/>
      <c r="O430" s="144"/>
      <c r="P430" s="1225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146"/>
    </row>
    <row r="431" spans="1:58" s="138" customFormat="1" ht="19.5" customHeight="1">
      <c r="A431" s="553"/>
      <c r="B431" s="1225"/>
      <c r="C431" s="1245"/>
      <c r="D431" s="84">
        <v>2021</v>
      </c>
      <c r="E431" s="85">
        <f>F431+G431+H431+I431+J431</f>
        <v>4.5</v>
      </c>
      <c r="F431" s="85">
        <v>4.5</v>
      </c>
      <c r="G431" s="85">
        <v>0</v>
      </c>
      <c r="H431" s="85">
        <v>0</v>
      </c>
      <c r="I431" s="85">
        <v>0</v>
      </c>
      <c r="J431" s="85">
        <v>0</v>
      </c>
      <c r="K431" s="148">
        <v>0</v>
      </c>
      <c r="L431" s="497"/>
      <c r="M431" s="337"/>
      <c r="N431" s="143"/>
      <c r="O431" s="144"/>
      <c r="P431" s="1225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146"/>
    </row>
    <row r="432" spans="1:58" s="138" customFormat="1" ht="12.75" customHeight="1">
      <c r="A432" s="926" t="s">
        <v>648</v>
      </c>
      <c r="B432" s="929" t="s">
        <v>127</v>
      </c>
      <c r="C432" s="1000"/>
      <c r="D432" s="550" t="s">
        <v>16</v>
      </c>
      <c r="E432" s="551">
        <f t="shared" ref="E432:J432" si="169">E433+E434+E435+E436+E437+E438+E439</f>
        <v>59.08570000000001</v>
      </c>
      <c r="F432" s="551">
        <f t="shared" si="169"/>
        <v>18.861099999999997</v>
      </c>
      <c r="G432" s="551">
        <f t="shared" si="169"/>
        <v>10.266200000000001</v>
      </c>
      <c r="H432" s="551">
        <f t="shared" si="169"/>
        <v>14.433400000000001</v>
      </c>
      <c r="I432" s="551">
        <f t="shared" si="169"/>
        <v>9.9450000000000003</v>
      </c>
      <c r="J432" s="552">
        <f t="shared" si="169"/>
        <v>5.58</v>
      </c>
      <c r="K432" s="148">
        <v>0</v>
      </c>
      <c r="L432" s="497">
        <f t="shared" ref="L432:L450" si="170">F432+G432+H432+I432+J432</f>
        <v>59.085699999999996</v>
      </c>
      <c r="M432" s="142"/>
      <c r="N432" s="143"/>
      <c r="O432" s="144"/>
      <c r="P432" s="1166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146"/>
    </row>
    <row r="433" spans="1:58" s="82" customFormat="1" ht="12.75" customHeight="1">
      <c r="A433" s="1003"/>
      <c r="B433" s="953"/>
      <c r="C433" s="1001"/>
      <c r="D433" s="84">
        <v>2019</v>
      </c>
      <c r="E433" s="85">
        <f t="shared" ref="E433:J434" si="171">E441+E449+E453</f>
        <v>28.442600000000002</v>
      </c>
      <c r="F433" s="85">
        <f t="shared" si="171"/>
        <v>2.6870000000000003</v>
      </c>
      <c r="G433" s="85">
        <f t="shared" si="171"/>
        <v>5.9143000000000008</v>
      </c>
      <c r="H433" s="85">
        <f t="shared" si="171"/>
        <v>8.0363000000000007</v>
      </c>
      <c r="I433" s="85">
        <f t="shared" si="171"/>
        <v>9.9450000000000003</v>
      </c>
      <c r="J433" s="85">
        <f t="shared" si="171"/>
        <v>1.86</v>
      </c>
      <c r="K433" s="148">
        <v>0</v>
      </c>
      <c r="L433" s="497">
        <f t="shared" si="170"/>
        <v>28.442600000000002</v>
      </c>
      <c r="M433" s="99"/>
      <c r="N433" s="88"/>
      <c r="O433" s="89"/>
      <c r="P433" s="1167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2"/>
    </row>
    <row r="434" spans="1:58" s="82" customFormat="1" ht="12.75" customHeight="1">
      <c r="A434" s="1003"/>
      <c r="B434" s="953"/>
      <c r="C434" s="1001"/>
      <c r="D434" s="84">
        <v>2020</v>
      </c>
      <c r="E434" s="85">
        <f t="shared" si="171"/>
        <v>10.2773</v>
      </c>
      <c r="F434" s="85">
        <f t="shared" si="171"/>
        <v>2.6790000000000003</v>
      </c>
      <c r="G434" s="85">
        <f t="shared" si="171"/>
        <v>2.4519000000000002</v>
      </c>
      <c r="H434" s="85">
        <f t="shared" si="171"/>
        <v>3.2864</v>
      </c>
      <c r="I434" s="85">
        <f t="shared" si="171"/>
        <v>0</v>
      </c>
      <c r="J434" s="85">
        <f t="shared" si="171"/>
        <v>1.86</v>
      </c>
      <c r="K434" s="148">
        <v>0</v>
      </c>
      <c r="L434" s="497">
        <f t="shared" si="170"/>
        <v>10.2773</v>
      </c>
      <c r="M434" s="99"/>
      <c r="N434" s="88"/>
      <c r="O434" s="89"/>
      <c r="P434" s="1167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2"/>
    </row>
    <row r="435" spans="1:58" s="82" customFormat="1" ht="12.75" customHeight="1">
      <c r="A435" s="1003"/>
      <c r="B435" s="953"/>
      <c r="C435" s="1001"/>
      <c r="D435" s="84">
        <v>2021</v>
      </c>
      <c r="E435" s="85">
        <f t="shared" ref="E435:J435" si="172">E443+E455+E451</f>
        <v>9.5946999999999996</v>
      </c>
      <c r="F435" s="85">
        <f t="shared" si="172"/>
        <v>2.7240000000000002</v>
      </c>
      <c r="G435" s="85">
        <f t="shared" si="172"/>
        <v>1.9</v>
      </c>
      <c r="H435" s="85">
        <f t="shared" si="172"/>
        <v>3.1107</v>
      </c>
      <c r="I435" s="85">
        <f t="shared" si="172"/>
        <v>0</v>
      </c>
      <c r="J435" s="85">
        <f t="shared" si="172"/>
        <v>1.86</v>
      </c>
      <c r="K435" s="148">
        <v>0</v>
      </c>
      <c r="L435" s="497">
        <f t="shared" si="170"/>
        <v>9.5946999999999996</v>
      </c>
      <c r="M435" s="99"/>
      <c r="N435" s="88"/>
      <c r="O435" s="89"/>
      <c r="P435" s="1167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2"/>
    </row>
    <row r="436" spans="1:58" s="82" customFormat="1" ht="12.75" customHeight="1">
      <c r="A436" s="1003"/>
      <c r="B436" s="953"/>
      <c r="C436" s="1001"/>
      <c r="D436" s="84">
        <v>2022</v>
      </c>
      <c r="E436" s="85">
        <f t="shared" ref="E436:J436" si="173">E444+E456</f>
        <v>2.694</v>
      </c>
      <c r="F436" s="85">
        <f t="shared" si="173"/>
        <v>2.694</v>
      </c>
      <c r="G436" s="85">
        <f t="shared" si="173"/>
        <v>0</v>
      </c>
      <c r="H436" s="85">
        <f t="shared" si="173"/>
        <v>0</v>
      </c>
      <c r="I436" s="85">
        <f t="shared" si="173"/>
        <v>0</v>
      </c>
      <c r="J436" s="85">
        <f t="shared" si="173"/>
        <v>0</v>
      </c>
      <c r="K436" s="148">
        <v>0</v>
      </c>
      <c r="L436" s="497">
        <f t="shared" si="170"/>
        <v>2.694</v>
      </c>
      <c r="M436" s="99"/>
      <c r="N436" s="88"/>
      <c r="O436" s="89"/>
      <c r="P436" s="1167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2"/>
    </row>
    <row r="437" spans="1:58" s="82" customFormat="1" ht="12.75" customHeight="1">
      <c r="A437" s="1003"/>
      <c r="B437" s="953"/>
      <c r="C437" s="1001"/>
      <c r="D437" s="84">
        <v>2023</v>
      </c>
      <c r="E437" s="85">
        <f t="shared" ref="E437:I439" si="174">E445+E457</f>
        <v>2.694</v>
      </c>
      <c r="F437" s="85">
        <f t="shared" si="174"/>
        <v>2.694</v>
      </c>
      <c r="G437" s="85">
        <f t="shared" si="174"/>
        <v>0</v>
      </c>
      <c r="H437" s="85">
        <f t="shared" si="174"/>
        <v>0</v>
      </c>
      <c r="I437" s="85">
        <f t="shared" si="174"/>
        <v>0</v>
      </c>
      <c r="J437" s="85">
        <f>J445</f>
        <v>0</v>
      </c>
      <c r="K437" s="148">
        <v>0</v>
      </c>
      <c r="L437" s="497">
        <f t="shared" si="170"/>
        <v>2.694</v>
      </c>
      <c r="M437" s="99"/>
      <c r="N437" s="88"/>
      <c r="O437" s="89"/>
      <c r="P437" s="1167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2"/>
    </row>
    <row r="438" spans="1:58" s="82" customFormat="1" ht="12.75" customHeight="1">
      <c r="A438" s="1003"/>
      <c r="B438" s="953"/>
      <c r="C438" s="1001"/>
      <c r="D438" s="84">
        <v>2024</v>
      </c>
      <c r="E438" s="85">
        <f t="shared" si="174"/>
        <v>2.6908000000000003</v>
      </c>
      <c r="F438" s="85">
        <f t="shared" si="174"/>
        <v>2.6908000000000003</v>
      </c>
      <c r="G438" s="85">
        <f t="shared" si="174"/>
        <v>0</v>
      </c>
      <c r="H438" s="85">
        <f t="shared" si="174"/>
        <v>0</v>
      </c>
      <c r="I438" s="85">
        <f t="shared" si="174"/>
        <v>0</v>
      </c>
      <c r="J438" s="85">
        <f>J446+J458</f>
        <v>0</v>
      </c>
      <c r="K438" s="148">
        <v>0</v>
      </c>
      <c r="L438" s="497">
        <f t="shared" si="170"/>
        <v>2.6908000000000003</v>
      </c>
      <c r="M438" s="99"/>
      <c r="N438" s="88"/>
      <c r="O438" s="89"/>
      <c r="P438" s="1167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2"/>
    </row>
    <row r="439" spans="1:58" s="82" customFormat="1" ht="15.75">
      <c r="A439" s="147"/>
      <c r="B439" s="285"/>
      <c r="C439" s="571"/>
      <c r="D439" s="84">
        <v>2025</v>
      </c>
      <c r="E439" s="85">
        <f t="shared" si="174"/>
        <v>2.6923000000000004</v>
      </c>
      <c r="F439" s="85">
        <f t="shared" si="174"/>
        <v>2.6923000000000004</v>
      </c>
      <c r="G439" s="85">
        <f t="shared" si="174"/>
        <v>0</v>
      </c>
      <c r="H439" s="85">
        <f t="shared" si="174"/>
        <v>0</v>
      </c>
      <c r="I439" s="85">
        <f t="shared" si="174"/>
        <v>0</v>
      </c>
      <c r="J439" s="85">
        <f>J447+J459</f>
        <v>0</v>
      </c>
      <c r="K439" s="148">
        <v>0</v>
      </c>
      <c r="L439" s="497">
        <f t="shared" si="170"/>
        <v>2.6923000000000004</v>
      </c>
      <c r="M439" s="99"/>
      <c r="N439" s="88"/>
      <c r="O439" s="89"/>
      <c r="P439" s="554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2"/>
    </row>
    <row r="440" spans="1:58" s="82" customFormat="1" ht="12.75" customHeight="1">
      <c r="A440" s="1128" t="s">
        <v>649</v>
      </c>
      <c r="B440" s="1080" t="s">
        <v>650</v>
      </c>
      <c r="C440" s="1224" t="s">
        <v>1403</v>
      </c>
      <c r="D440" s="84" t="s">
        <v>16</v>
      </c>
      <c r="E440" s="136">
        <f t="shared" ref="E440:J440" si="175">E441+E442+E443+E444+E445+E446+E447</f>
        <v>36.721300000000006</v>
      </c>
      <c r="F440" s="136">
        <f t="shared" si="175"/>
        <v>18.564000000000004</v>
      </c>
      <c r="G440" s="136">
        <f t="shared" si="175"/>
        <v>3.4624000000000001</v>
      </c>
      <c r="H440" s="136">
        <f t="shared" si="175"/>
        <v>4.7499000000000002</v>
      </c>
      <c r="I440" s="136">
        <f t="shared" si="175"/>
        <v>9.9450000000000003</v>
      </c>
      <c r="J440" s="313">
        <f t="shared" si="175"/>
        <v>0</v>
      </c>
      <c r="K440" s="148">
        <v>0</v>
      </c>
      <c r="L440" s="497">
        <f t="shared" si="170"/>
        <v>36.721299999999999</v>
      </c>
      <c r="M440" s="99"/>
      <c r="N440" s="88"/>
      <c r="O440" s="89"/>
      <c r="P440" s="1286" t="s">
        <v>352</v>
      </c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2"/>
    </row>
    <row r="441" spans="1:58" s="82" customFormat="1">
      <c r="A441" s="941"/>
      <c r="B441" s="960"/>
      <c r="C441" s="1225"/>
      <c r="D441" s="84">
        <v>2019</v>
      </c>
      <c r="E441" s="85">
        <f t="shared" ref="E441:E447" si="176">F441+G441+H441+I441+J441</f>
        <v>20.8093</v>
      </c>
      <c r="F441" s="85">
        <f t="shared" ref="F441:F447" si="177">2652/1000</f>
        <v>2.6520000000000001</v>
      </c>
      <c r="G441" s="85">
        <v>3.4624000000000001</v>
      </c>
      <c r="H441" s="85">
        <v>4.7499000000000002</v>
      </c>
      <c r="I441" s="85">
        <v>9.9450000000000003</v>
      </c>
      <c r="J441" s="313">
        <v>0</v>
      </c>
      <c r="K441" s="148">
        <v>0</v>
      </c>
      <c r="L441" s="497">
        <f t="shared" si="170"/>
        <v>20.8093</v>
      </c>
      <c r="M441" s="99"/>
      <c r="N441" s="88"/>
      <c r="O441" s="89"/>
      <c r="P441" s="1300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2"/>
    </row>
    <row r="442" spans="1:58" s="82" customFormat="1" ht="12.75" customHeight="1">
      <c r="A442" s="941"/>
      <c r="B442" s="960"/>
      <c r="C442" s="1225"/>
      <c r="D442" s="84">
        <v>2020</v>
      </c>
      <c r="E442" s="85">
        <f t="shared" si="176"/>
        <v>2.6520000000000001</v>
      </c>
      <c r="F442" s="85">
        <f t="shared" si="177"/>
        <v>2.6520000000000001</v>
      </c>
      <c r="G442" s="85">
        <v>0</v>
      </c>
      <c r="H442" s="85">
        <v>0</v>
      </c>
      <c r="I442" s="85">
        <v>0</v>
      </c>
      <c r="J442" s="313">
        <v>0</v>
      </c>
      <c r="K442" s="148">
        <v>0</v>
      </c>
      <c r="L442" s="497">
        <f t="shared" si="170"/>
        <v>2.6520000000000001</v>
      </c>
      <c r="M442" s="99"/>
      <c r="N442" s="88"/>
      <c r="O442" s="89"/>
      <c r="P442" s="1218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2"/>
    </row>
    <row r="443" spans="1:58" s="82" customFormat="1" ht="15.75" customHeight="1">
      <c r="A443" s="941"/>
      <c r="B443" s="960"/>
      <c r="C443" s="1225"/>
      <c r="D443" s="84">
        <v>2021</v>
      </c>
      <c r="E443" s="85">
        <f t="shared" si="176"/>
        <v>2.6520000000000001</v>
      </c>
      <c r="F443" s="85">
        <f t="shared" si="177"/>
        <v>2.6520000000000001</v>
      </c>
      <c r="G443" s="85">
        <v>0</v>
      </c>
      <c r="H443" s="85">
        <v>0</v>
      </c>
      <c r="I443" s="85">
        <v>0</v>
      </c>
      <c r="J443" s="313">
        <v>0</v>
      </c>
      <c r="K443" s="148">
        <v>0</v>
      </c>
      <c r="L443" s="497">
        <f t="shared" si="170"/>
        <v>2.6520000000000001</v>
      </c>
      <c r="M443" s="99"/>
      <c r="N443" s="88"/>
      <c r="O443" s="89"/>
      <c r="P443" s="1218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2"/>
    </row>
    <row r="444" spans="1:58" s="82" customFormat="1">
      <c r="A444" s="941"/>
      <c r="B444" s="960"/>
      <c r="C444" s="1225"/>
      <c r="D444" s="84">
        <v>2022</v>
      </c>
      <c r="E444" s="85">
        <f t="shared" si="176"/>
        <v>2.6520000000000001</v>
      </c>
      <c r="F444" s="85">
        <f t="shared" si="177"/>
        <v>2.6520000000000001</v>
      </c>
      <c r="G444" s="85">
        <v>0</v>
      </c>
      <c r="H444" s="85">
        <v>0</v>
      </c>
      <c r="I444" s="85">
        <v>0</v>
      </c>
      <c r="J444" s="313">
        <v>0</v>
      </c>
      <c r="K444" s="148">
        <v>0</v>
      </c>
      <c r="L444" s="497">
        <f t="shared" si="170"/>
        <v>2.6520000000000001</v>
      </c>
      <c r="M444" s="99"/>
      <c r="N444" s="88"/>
      <c r="O444" s="89"/>
      <c r="P444" s="1218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2"/>
    </row>
    <row r="445" spans="1:58" s="82" customFormat="1">
      <c r="A445" s="941"/>
      <c r="B445" s="960"/>
      <c r="C445" s="1225"/>
      <c r="D445" s="84">
        <v>2023</v>
      </c>
      <c r="E445" s="85">
        <f t="shared" si="176"/>
        <v>2.6520000000000001</v>
      </c>
      <c r="F445" s="85">
        <f t="shared" si="177"/>
        <v>2.6520000000000001</v>
      </c>
      <c r="G445" s="85">
        <v>0</v>
      </c>
      <c r="H445" s="85">
        <v>0</v>
      </c>
      <c r="I445" s="85">
        <v>0</v>
      </c>
      <c r="J445" s="313">
        <v>0</v>
      </c>
      <c r="K445" s="148">
        <v>0</v>
      </c>
      <c r="L445" s="497">
        <f t="shared" si="170"/>
        <v>2.6520000000000001</v>
      </c>
      <c r="M445" s="99"/>
      <c r="N445" s="88"/>
      <c r="O445" s="89"/>
      <c r="P445" s="1218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2"/>
    </row>
    <row r="446" spans="1:58" s="82" customFormat="1">
      <c r="A446" s="941"/>
      <c r="B446" s="960"/>
      <c r="C446" s="1225"/>
      <c r="D446" s="84">
        <v>2024</v>
      </c>
      <c r="E446" s="85">
        <f t="shared" si="176"/>
        <v>2.6520000000000001</v>
      </c>
      <c r="F446" s="85">
        <f t="shared" si="177"/>
        <v>2.6520000000000001</v>
      </c>
      <c r="G446" s="85">
        <v>0</v>
      </c>
      <c r="H446" s="85">
        <v>0</v>
      </c>
      <c r="I446" s="85">
        <v>0</v>
      </c>
      <c r="J446" s="313">
        <v>0</v>
      </c>
      <c r="K446" s="148">
        <v>0</v>
      </c>
      <c r="L446" s="497">
        <f t="shared" si="170"/>
        <v>2.6520000000000001</v>
      </c>
      <c r="M446" s="99"/>
      <c r="N446" s="88"/>
      <c r="O446" s="89"/>
      <c r="P446" s="1218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2"/>
    </row>
    <row r="447" spans="1:58" s="82" customFormat="1">
      <c r="A447" s="224"/>
      <c r="B447" s="285"/>
      <c r="C447" s="623"/>
      <c r="D447" s="84">
        <v>2025</v>
      </c>
      <c r="E447" s="85">
        <f t="shared" si="176"/>
        <v>2.6520000000000001</v>
      </c>
      <c r="F447" s="85">
        <f t="shared" si="177"/>
        <v>2.6520000000000001</v>
      </c>
      <c r="G447" s="85">
        <v>0</v>
      </c>
      <c r="H447" s="85">
        <v>0</v>
      </c>
      <c r="I447" s="85">
        <v>0</v>
      </c>
      <c r="J447" s="313">
        <v>0</v>
      </c>
      <c r="K447" s="148">
        <v>0</v>
      </c>
      <c r="L447" s="497">
        <f t="shared" si="170"/>
        <v>2.6520000000000001</v>
      </c>
      <c r="M447" s="99"/>
      <c r="N447" s="88"/>
      <c r="O447" s="89"/>
      <c r="P447" s="57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2"/>
    </row>
    <row r="448" spans="1:58" s="82" customFormat="1" ht="13.5" customHeight="1">
      <c r="A448" s="1210" t="s">
        <v>652</v>
      </c>
      <c r="B448" s="1080" t="s">
        <v>653</v>
      </c>
      <c r="C448" s="1224" t="s">
        <v>655</v>
      </c>
      <c r="D448" s="84" t="s">
        <v>16</v>
      </c>
      <c r="E448" s="136">
        <f t="shared" ref="E448:J448" si="178">E449+E450+E451</f>
        <v>22.067300000000003</v>
      </c>
      <c r="F448" s="136">
        <f t="shared" si="178"/>
        <v>0</v>
      </c>
      <c r="G448" s="136">
        <f t="shared" si="178"/>
        <v>6.8038000000000007</v>
      </c>
      <c r="H448" s="136">
        <f t="shared" si="178"/>
        <v>9.6835000000000004</v>
      </c>
      <c r="I448" s="136">
        <f t="shared" si="178"/>
        <v>0</v>
      </c>
      <c r="J448" s="313">
        <f t="shared" si="178"/>
        <v>5.58</v>
      </c>
      <c r="K448" s="148">
        <v>0</v>
      </c>
      <c r="L448" s="497">
        <f t="shared" si="170"/>
        <v>22.067300000000003</v>
      </c>
      <c r="M448" s="99"/>
      <c r="N448" s="88"/>
      <c r="O448" s="89"/>
      <c r="P448" s="1286" t="s">
        <v>1183</v>
      </c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2"/>
    </row>
    <row r="449" spans="1:58" s="82" customFormat="1" ht="25.5" customHeight="1">
      <c r="A449" s="1210"/>
      <c r="B449" s="1261"/>
      <c r="C449" s="1225"/>
      <c r="D449" s="84">
        <v>2019</v>
      </c>
      <c r="E449" s="85">
        <f>F449+G449+H449+I449+J449</f>
        <v>7.5983000000000009</v>
      </c>
      <c r="F449" s="85">
        <v>0</v>
      </c>
      <c r="G449" s="313">
        <v>2.4519000000000002</v>
      </c>
      <c r="H449" s="85">
        <v>3.2864</v>
      </c>
      <c r="I449" s="313">
        <v>0</v>
      </c>
      <c r="J449" s="313">
        <v>1.86</v>
      </c>
      <c r="K449" s="148">
        <v>0</v>
      </c>
      <c r="L449" s="497">
        <f t="shared" si="170"/>
        <v>7.5983000000000009</v>
      </c>
      <c r="M449" s="99"/>
      <c r="N449" s="88"/>
      <c r="O449" s="89"/>
      <c r="P449" s="1300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2"/>
    </row>
    <row r="450" spans="1:58" s="82" customFormat="1" ht="24.75" customHeight="1">
      <c r="A450" s="1210"/>
      <c r="B450" s="1261"/>
      <c r="C450" s="1225"/>
      <c r="D450" s="84">
        <v>2020</v>
      </c>
      <c r="E450" s="85">
        <f>F450+G450+H450+I450+J450</f>
        <v>7.5983000000000009</v>
      </c>
      <c r="F450" s="85">
        <v>0</v>
      </c>
      <c r="G450" s="313">
        <v>2.4519000000000002</v>
      </c>
      <c r="H450" s="85">
        <v>3.2864</v>
      </c>
      <c r="I450" s="313">
        <v>0</v>
      </c>
      <c r="J450" s="313">
        <v>1.86</v>
      </c>
      <c r="K450" s="148">
        <v>0</v>
      </c>
      <c r="L450" s="497">
        <f t="shared" si="170"/>
        <v>7.5983000000000009</v>
      </c>
      <c r="M450" s="99"/>
      <c r="N450" s="88"/>
      <c r="O450" s="89"/>
      <c r="P450" s="1300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2"/>
    </row>
    <row r="451" spans="1:58" s="82" customFormat="1" ht="24.75" customHeight="1">
      <c r="A451" s="1210"/>
      <c r="B451" s="650"/>
      <c r="C451" s="1226"/>
      <c r="D451" s="84">
        <v>2021</v>
      </c>
      <c r="E451" s="85">
        <f>F451+G451+H451+I451+J451</f>
        <v>6.8707000000000003</v>
      </c>
      <c r="F451" s="85">
        <v>0</v>
      </c>
      <c r="G451" s="313">
        <v>1.9</v>
      </c>
      <c r="H451" s="85">
        <v>3.1107</v>
      </c>
      <c r="I451" s="313">
        <v>0</v>
      </c>
      <c r="J451" s="313">
        <v>1.86</v>
      </c>
      <c r="K451" s="148">
        <v>0</v>
      </c>
      <c r="L451" s="497"/>
      <c r="M451" s="99"/>
      <c r="N451" s="88"/>
      <c r="O451" s="89"/>
      <c r="P451" s="1299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2"/>
    </row>
    <row r="452" spans="1:58" s="82" customFormat="1" ht="22.5" customHeight="1">
      <c r="A452" s="1069" t="s">
        <v>656</v>
      </c>
      <c r="B452" s="1080" t="s">
        <v>657</v>
      </c>
      <c r="C452" s="571"/>
      <c r="D452" s="84" t="s">
        <v>16</v>
      </c>
      <c r="E452" s="85">
        <f t="shared" ref="E452:J452" si="179">E453+E454+E455+E456+E457+E458+E459</f>
        <v>0.29710000000000003</v>
      </c>
      <c r="F452" s="85">
        <f t="shared" si="179"/>
        <v>0.29710000000000003</v>
      </c>
      <c r="G452" s="85">
        <f t="shared" si="179"/>
        <v>0</v>
      </c>
      <c r="H452" s="85">
        <f t="shared" si="179"/>
        <v>0</v>
      </c>
      <c r="I452" s="85">
        <f t="shared" si="179"/>
        <v>0</v>
      </c>
      <c r="J452" s="85">
        <f t="shared" si="179"/>
        <v>0</v>
      </c>
      <c r="K452" s="148">
        <v>0</v>
      </c>
      <c r="L452" s="497">
        <f t="shared" ref="L452:L483" si="180">F452+G452+H452+I452+J452</f>
        <v>0.29710000000000003</v>
      </c>
      <c r="M452" s="99"/>
      <c r="N452" s="88"/>
      <c r="O452" s="89"/>
      <c r="P452" s="1166" t="s">
        <v>352</v>
      </c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2"/>
    </row>
    <row r="453" spans="1:58" s="82" customFormat="1" ht="22.5" customHeight="1">
      <c r="A453" s="1271"/>
      <c r="B453" s="1261"/>
      <c r="C453" s="634" t="s">
        <v>351</v>
      </c>
      <c r="D453" s="84">
        <v>2019</v>
      </c>
      <c r="E453" s="85">
        <f t="shared" ref="E453:E459" si="181">F453+G453+H453+I453+J453</f>
        <v>3.5000000000000003E-2</v>
      </c>
      <c r="F453" s="85">
        <v>3.5000000000000003E-2</v>
      </c>
      <c r="G453" s="136">
        <v>0</v>
      </c>
      <c r="H453" s="85">
        <v>0</v>
      </c>
      <c r="I453" s="313">
        <v>0</v>
      </c>
      <c r="J453" s="313">
        <v>0</v>
      </c>
      <c r="K453" s="148">
        <v>0</v>
      </c>
      <c r="L453" s="497">
        <f t="shared" si="180"/>
        <v>3.5000000000000003E-2</v>
      </c>
      <c r="M453" s="99"/>
      <c r="N453" s="88"/>
      <c r="O453" s="89"/>
      <c r="P453" s="1167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2"/>
    </row>
    <row r="454" spans="1:58" s="82" customFormat="1">
      <c r="A454" s="1271"/>
      <c r="B454" s="1261"/>
      <c r="C454" s="1245" t="s">
        <v>560</v>
      </c>
      <c r="D454" s="84">
        <v>2020</v>
      </c>
      <c r="E454" s="85">
        <f t="shared" si="181"/>
        <v>2.7E-2</v>
      </c>
      <c r="F454" s="85">
        <v>2.7E-2</v>
      </c>
      <c r="G454" s="136">
        <v>0</v>
      </c>
      <c r="H454" s="85">
        <v>0</v>
      </c>
      <c r="I454" s="313">
        <v>0</v>
      </c>
      <c r="J454" s="313">
        <v>0</v>
      </c>
      <c r="K454" s="148">
        <v>0</v>
      </c>
      <c r="L454" s="497">
        <f t="shared" si="180"/>
        <v>2.7E-2</v>
      </c>
      <c r="M454" s="99"/>
      <c r="N454" s="88"/>
      <c r="O454" s="89"/>
      <c r="P454" s="1167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2"/>
    </row>
    <row r="455" spans="1:58" s="82" customFormat="1">
      <c r="A455" s="1271"/>
      <c r="B455" s="1261"/>
      <c r="C455" s="1245"/>
      <c r="D455" s="84">
        <v>2021</v>
      </c>
      <c r="E455" s="85">
        <f t="shared" si="181"/>
        <v>7.1999999999999995E-2</v>
      </c>
      <c r="F455" s="85">
        <v>7.1999999999999995E-2</v>
      </c>
      <c r="G455" s="313">
        <v>0</v>
      </c>
      <c r="H455" s="85">
        <v>0</v>
      </c>
      <c r="I455" s="313">
        <v>0</v>
      </c>
      <c r="J455" s="313">
        <v>0</v>
      </c>
      <c r="K455" s="148">
        <v>0</v>
      </c>
      <c r="L455" s="497">
        <f t="shared" si="180"/>
        <v>7.1999999999999995E-2</v>
      </c>
      <c r="M455" s="99"/>
      <c r="N455" s="88"/>
      <c r="O455" s="89"/>
      <c r="P455" s="1302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2"/>
    </row>
    <row r="456" spans="1:58" s="82" customFormat="1">
      <c r="A456" s="1271"/>
      <c r="B456" s="1261"/>
      <c r="C456" s="1245"/>
      <c r="D456" s="84">
        <v>2022</v>
      </c>
      <c r="E456" s="85">
        <f t="shared" si="181"/>
        <v>4.2000000000000003E-2</v>
      </c>
      <c r="F456" s="85">
        <v>4.2000000000000003E-2</v>
      </c>
      <c r="G456" s="313">
        <v>0</v>
      </c>
      <c r="H456" s="85">
        <v>0</v>
      </c>
      <c r="I456" s="313">
        <v>0</v>
      </c>
      <c r="J456" s="313">
        <v>0</v>
      </c>
      <c r="K456" s="148">
        <v>0</v>
      </c>
      <c r="L456" s="497">
        <f t="shared" si="180"/>
        <v>4.2000000000000003E-2</v>
      </c>
      <c r="M456" s="99"/>
      <c r="N456" s="88"/>
      <c r="O456" s="89"/>
      <c r="P456" s="685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2"/>
    </row>
    <row r="457" spans="1:58" s="82" customFormat="1">
      <c r="A457" s="1271"/>
      <c r="B457" s="1261"/>
      <c r="C457" s="1245"/>
      <c r="D457" s="84">
        <v>2023</v>
      </c>
      <c r="E457" s="85">
        <f t="shared" si="181"/>
        <v>4.2000000000000003E-2</v>
      </c>
      <c r="F457" s="85">
        <v>4.2000000000000003E-2</v>
      </c>
      <c r="G457" s="313">
        <v>0</v>
      </c>
      <c r="H457" s="85">
        <v>0</v>
      </c>
      <c r="I457" s="313">
        <v>0</v>
      </c>
      <c r="J457" s="313">
        <v>0</v>
      </c>
      <c r="K457" s="148">
        <v>0</v>
      </c>
      <c r="L457" s="497">
        <f t="shared" si="180"/>
        <v>4.2000000000000003E-2</v>
      </c>
      <c r="M457" s="99"/>
      <c r="N457" s="88"/>
      <c r="O457" s="89"/>
      <c r="P457" s="685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2"/>
    </row>
    <row r="458" spans="1:58" s="82" customFormat="1">
      <c r="A458" s="1271"/>
      <c r="B458" s="1261"/>
      <c r="C458" s="1245"/>
      <c r="D458" s="84">
        <v>2024</v>
      </c>
      <c r="E458" s="85">
        <f t="shared" si="181"/>
        <v>3.8800000000000001E-2</v>
      </c>
      <c r="F458" s="85">
        <v>3.8800000000000001E-2</v>
      </c>
      <c r="G458" s="313">
        <v>0</v>
      </c>
      <c r="H458" s="85">
        <v>0</v>
      </c>
      <c r="I458" s="313">
        <v>0</v>
      </c>
      <c r="J458" s="313">
        <v>0</v>
      </c>
      <c r="K458" s="148">
        <v>0</v>
      </c>
      <c r="L458" s="497">
        <f t="shared" si="180"/>
        <v>3.8800000000000001E-2</v>
      </c>
      <c r="M458" s="99"/>
      <c r="N458" s="88"/>
      <c r="O458" s="89"/>
      <c r="P458" s="685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2"/>
    </row>
    <row r="459" spans="1:58" s="82" customFormat="1">
      <c r="A459" s="1301"/>
      <c r="B459" s="1288"/>
      <c r="C459" s="1245"/>
      <c r="D459" s="84">
        <v>2025</v>
      </c>
      <c r="E459" s="85">
        <f t="shared" si="181"/>
        <v>4.0300000000000002E-2</v>
      </c>
      <c r="F459" s="85">
        <v>4.0300000000000002E-2</v>
      </c>
      <c r="G459" s="313">
        <v>0</v>
      </c>
      <c r="H459" s="85">
        <v>0</v>
      </c>
      <c r="I459" s="313">
        <v>0</v>
      </c>
      <c r="J459" s="313">
        <v>0</v>
      </c>
      <c r="K459" s="148">
        <v>0</v>
      </c>
      <c r="L459" s="497">
        <f t="shared" si="180"/>
        <v>4.0300000000000002E-2</v>
      </c>
      <c r="M459" s="99"/>
      <c r="N459" s="88"/>
      <c r="O459" s="89"/>
      <c r="P459" s="685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2"/>
    </row>
    <row r="460" spans="1:58" s="82" customFormat="1">
      <c r="A460" s="955">
        <v>7</v>
      </c>
      <c r="B460" s="929" t="s">
        <v>658</v>
      </c>
      <c r="C460" s="1170"/>
      <c r="D460" s="84" t="s">
        <v>16</v>
      </c>
      <c r="E460" s="85">
        <f t="shared" ref="E460:J460" si="182">E461+E462+E463+E464+E465+E466+E467+E468+E469+E470+E471+E472</f>
        <v>4.4945999999999993</v>
      </c>
      <c r="F460" s="85">
        <f t="shared" si="182"/>
        <v>4.4945999999999993</v>
      </c>
      <c r="G460" s="85">
        <f t="shared" si="182"/>
        <v>0</v>
      </c>
      <c r="H460" s="85">
        <f t="shared" si="182"/>
        <v>0</v>
      </c>
      <c r="I460" s="85">
        <f t="shared" si="182"/>
        <v>0</v>
      </c>
      <c r="J460" s="85">
        <f t="shared" si="182"/>
        <v>0</v>
      </c>
      <c r="K460" s="148">
        <v>0</v>
      </c>
      <c r="L460" s="497">
        <f t="shared" si="180"/>
        <v>4.4945999999999993</v>
      </c>
      <c r="M460" s="99"/>
      <c r="N460" s="88"/>
      <c r="O460" s="89"/>
      <c r="P460" s="685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2"/>
    </row>
    <row r="461" spans="1:58" s="82" customFormat="1">
      <c r="A461" s="941"/>
      <c r="B461" s="960"/>
      <c r="C461" s="1218"/>
      <c r="D461" s="84">
        <v>2019</v>
      </c>
      <c r="E461" s="85">
        <f t="shared" ref="E461:J472" si="183">E474</f>
        <v>6.7699999999999996E-2</v>
      </c>
      <c r="F461" s="85">
        <f t="shared" si="183"/>
        <v>6.7699999999999996E-2</v>
      </c>
      <c r="G461" s="85">
        <f t="shared" si="183"/>
        <v>0</v>
      </c>
      <c r="H461" s="85">
        <f t="shared" si="183"/>
        <v>0</v>
      </c>
      <c r="I461" s="85">
        <f t="shared" si="183"/>
        <v>0</v>
      </c>
      <c r="J461" s="85">
        <f t="shared" si="183"/>
        <v>0</v>
      </c>
      <c r="K461" s="148">
        <v>0</v>
      </c>
      <c r="L461" s="497">
        <f t="shared" si="180"/>
        <v>6.7699999999999996E-2</v>
      </c>
      <c r="M461" s="99"/>
      <c r="N461" s="88"/>
      <c r="O461" s="89"/>
      <c r="P461" s="685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2"/>
    </row>
    <row r="462" spans="1:58" s="82" customFormat="1">
      <c r="A462" s="941"/>
      <c r="B462" s="960"/>
      <c r="C462" s="1218"/>
      <c r="D462" s="84">
        <v>2020</v>
      </c>
      <c r="E462" s="85">
        <f t="shared" si="183"/>
        <v>0.60599999999999998</v>
      </c>
      <c r="F462" s="85">
        <f t="shared" si="183"/>
        <v>0.60599999999999998</v>
      </c>
      <c r="G462" s="85">
        <f t="shared" si="183"/>
        <v>0</v>
      </c>
      <c r="H462" s="85">
        <f t="shared" si="183"/>
        <v>0</v>
      </c>
      <c r="I462" s="85">
        <f t="shared" si="183"/>
        <v>0</v>
      </c>
      <c r="J462" s="85">
        <f t="shared" si="183"/>
        <v>0</v>
      </c>
      <c r="K462" s="148">
        <v>0</v>
      </c>
      <c r="L462" s="497">
        <f t="shared" si="180"/>
        <v>0.60599999999999998</v>
      </c>
      <c r="M462" s="99"/>
      <c r="N462" s="88"/>
      <c r="O462" s="89"/>
      <c r="P462" s="685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2"/>
    </row>
    <row r="463" spans="1:58" s="82" customFormat="1">
      <c r="A463" s="941"/>
      <c r="B463" s="960"/>
      <c r="C463" s="1218"/>
      <c r="D463" s="84">
        <v>2021</v>
      </c>
      <c r="E463" s="85">
        <f t="shared" si="183"/>
        <v>0.59</v>
      </c>
      <c r="F463" s="85">
        <f t="shared" si="183"/>
        <v>0.59</v>
      </c>
      <c r="G463" s="85">
        <f t="shared" si="183"/>
        <v>0</v>
      </c>
      <c r="H463" s="85">
        <f t="shared" si="183"/>
        <v>0</v>
      </c>
      <c r="I463" s="85">
        <f t="shared" si="183"/>
        <v>0</v>
      </c>
      <c r="J463" s="85">
        <f t="shared" si="183"/>
        <v>0</v>
      </c>
      <c r="K463" s="148">
        <v>0</v>
      </c>
      <c r="L463" s="497">
        <f t="shared" si="180"/>
        <v>0.59</v>
      </c>
      <c r="M463" s="99"/>
      <c r="N463" s="88"/>
      <c r="O463" s="89"/>
      <c r="P463" s="685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2"/>
    </row>
    <row r="464" spans="1:58" s="82" customFormat="1">
      <c r="A464" s="941"/>
      <c r="B464" s="960"/>
      <c r="C464" s="1218"/>
      <c r="D464" s="84">
        <v>2022</v>
      </c>
      <c r="E464" s="85">
        <f t="shared" si="183"/>
        <v>0.81120000000000003</v>
      </c>
      <c r="F464" s="85">
        <f t="shared" si="183"/>
        <v>0.81120000000000003</v>
      </c>
      <c r="G464" s="85">
        <f t="shared" si="183"/>
        <v>0</v>
      </c>
      <c r="H464" s="85">
        <f t="shared" si="183"/>
        <v>0</v>
      </c>
      <c r="I464" s="85">
        <f t="shared" si="183"/>
        <v>0</v>
      </c>
      <c r="J464" s="85">
        <f t="shared" si="183"/>
        <v>0</v>
      </c>
      <c r="K464" s="148">
        <v>0</v>
      </c>
      <c r="L464" s="497">
        <f t="shared" si="180"/>
        <v>0.81120000000000003</v>
      </c>
      <c r="M464" s="99"/>
      <c r="N464" s="88"/>
      <c r="O464" s="89"/>
      <c r="P464" s="685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2"/>
    </row>
    <row r="465" spans="1:58" s="82" customFormat="1">
      <c r="A465" s="941"/>
      <c r="B465" s="960"/>
      <c r="C465" s="1218"/>
      <c r="D465" s="84">
        <v>2023</v>
      </c>
      <c r="E465" s="85">
        <f t="shared" si="183"/>
        <v>0.82199999999999995</v>
      </c>
      <c r="F465" s="85">
        <f t="shared" si="183"/>
        <v>0.82199999999999995</v>
      </c>
      <c r="G465" s="85">
        <f t="shared" si="183"/>
        <v>0</v>
      </c>
      <c r="H465" s="85">
        <f t="shared" si="183"/>
        <v>0</v>
      </c>
      <c r="I465" s="85">
        <f t="shared" si="183"/>
        <v>0</v>
      </c>
      <c r="J465" s="85">
        <f t="shared" si="183"/>
        <v>0</v>
      </c>
      <c r="K465" s="148">
        <v>0</v>
      </c>
      <c r="L465" s="497">
        <f t="shared" si="180"/>
        <v>0.82199999999999995</v>
      </c>
      <c r="M465" s="99"/>
      <c r="N465" s="88"/>
      <c r="O465" s="89"/>
      <c r="P465" s="685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2"/>
    </row>
    <row r="466" spans="1:58" s="82" customFormat="1">
      <c r="A466" s="941"/>
      <c r="B466" s="960"/>
      <c r="C466" s="1218"/>
      <c r="D466" s="84">
        <v>2024</v>
      </c>
      <c r="E466" s="85">
        <f t="shared" si="183"/>
        <v>0.9274</v>
      </c>
      <c r="F466" s="85">
        <f t="shared" si="183"/>
        <v>0.9274</v>
      </c>
      <c r="G466" s="85">
        <f t="shared" si="183"/>
        <v>0</v>
      </c>
      <c r="H466" s="85">
        <f t="shared" si="183"/>
        <v>0</v>
      </c>
      <c r="I466" s="85">
        <f t="shared" si="183"/>
        <v>0</v>
      </c>
      <c r="J466" s="85">
        <f t="shared" si="183"/>
        <v>0</v>
      </c>
      <c r="K466" s="148">
        <v>0</v>
      </c>
      <c r="L466" s="497">
        <f t="shared" si="180"/>
        <v>0.9274</v>
      </c>
      <c r="M466" s="99"/>
      <c r="N466" s="88"/>
      <c r="O466" s="89"/>
      <c r="P466" s="685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2"/>
    </row>
    <row r="467" spans="1:58" s="82" customFormat="1">
      <c r="A467" s="941"/>
      <c r="B467" s="960"/>
      <c r="C467" s="1218"/>
      <c r="D467" s="84">
        <v>2025</v>
      </c>
      <c r="E467" s="85">
        <f t="shared" si="183"/>
        <v>0.1011</v>
      </c>
      <c r="F467" s="85">
        <f t="shared" si="183"/>
        <v>0.1011</v>
      </c>
      <c r="G467" s="85">
        <f t="shared" si="183"/>
        <v>0</v>
      </c>
      <c r="H467" s="85">
        <f t="shared" si="183"/>
        <v>0</v>
      </c>
      <c r="I467" s="85">
        <f t="shared" si="183"/>
        <v>0</v>
      </c>
      <c r="J467" s="85">
        <f t="shared" si="183"/>
        <v>0</v>
      </c>
      <c r="K467" s="148">
        <v>0</v>
      </c>
      <c r="L467" s="497">
        <f t="shared" si="180"/>
        <v>0.1011</v>
      </c>
      <c r="M467" s="99"/>
      <c r="N467" s="88"/>
      <c r="O467" s="89"/>
      <c r="P467" s="685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2"/>
    </row>
    <row r="468" spans="1:58" s="82" customFormat="1">
      <c r="A468" s="941"/>
      <c r="B468" s="960"/>
      <c r="C468" s="1218"/>
      <c r="D468" s="84">
        <v>2026</v>
      </c>
      <c r="E468" s="85">
        <f t="shared" si="183"/>
        <v>0.1051</v>
      </c>
      <c r="F468" s="85">
        <f t="shared" si="183"/>
        <v>0.1051</v>
      </c>
      <c r="G468" s="85">
        <f t="shared" si="183"/>
        <v>0</v>
      </c>
      <c r="H468" s="85">
        <f t="shared" si="183"/>
        <v>0</v>
      </c>
      <c r="I468" s="85">
        <f t="shared" si="183"/>
        <v>0</v>
      </c>
      <c r="J468" s="85">
        <f t="shared" si="183"/>
        <v>0</v>
      </c>
      <c r="K468" s="148">
        <v>0</v>
      </c>
      <c r="L468" s="497">
        <f t="shared" si="180"/>
        <v>0.1051</v>
      </c>
      <c r="M468" s="99"/>
      <c r="N468" s="88"/>
      <c r="O468" s="89"/>
      <c r="P468" s="685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2"/>
    </row>
    <row r="469" spans="1:58" s="82" customFormat="1">
      <c r="A469" s="941"/>
      <c r="B469" s="960"/>
      <c r="C469" s="1218"/>
      <c r="D469" s="84">
        <v>2027</v>
      </c>
      <c r="E469" s="85">
        <f t="shared" si="183"/>
        <v>0.10929999999999999</v>
      </c>
      <c r="F469" s="85">
        <f t="shared" si="183"/>
        <v>0.10929999999999999</v>
      </c>
      <c r="G469" s="85">
        <f t="shared" si="183"/>
        <v>0</v>
      </c>
      <c r="H469" s="85">
        <f t="shared" si="183"/>
        <v>0</v>
      </c>
      <c r="I469" s="85">
        <f t="shared" si="183"/>
        <v>0</v>
      </c>
      <c r="J469" s="85">
        <f t="shared" si="183"/>
        <v>0</v>
      </c>
      <c r="K469" s="148">
        <v>0</v>
      </c>
      <c r="L469" s="497">
        <f t="shared" si="180"/>
        <v>0.10929999999999999</v>
      </c>
      <c r="M469" s="99"/>
      <c r="N469" s="88"/>
      <c r="O469" s="89"/>
      <c r="P469" s="685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2"/>
    </row>
    <row r="470" spans="1:58" s="82" customFormat="1">
      <c r="A470" s="941"/>
      <c r="B470" s="960"/>
      <c r="C470" s="1218"/>
      <c r="D470" s="84">
        <v>2028</v>
      </c>
      <c r="E470" s="85">
        <f t="shared" si="183"/>
        <v>0.1137</v>
      </c>
      <c r="F470" s="85">
        <f t="shared" si="183"/>
        <v>0.1137</v>
      </c>
      <c r="G470" s="85">
        <f t="shared" si="183"/>
        <v>0</v>
      </c>
      <c r="H470" s="85">
        <f t="shared" si="183"/>
        <v>0</v>
      </c>
      <c r="I470" s="85">
        <f t="shared" si="183"/>
        <v>0</v>
      </c>
      <c r="J470" s="85">
        <f t="shared" si="183"/>
        <v>0</v>
      </c>
      <c r="K470" s="148">
        <v>0</v>
      </c>
      <c r="L470" s="497">
        <f t="shared" si="180"/>
        <v>0.1137</v>
      </c>
      <c r="M470" s="99"/>
      <c r="N470" s="88"/>
      <c r="O470" s="89"/>
      <c r="P470" s="685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2"/>
    </row>
    <row r="471" spans="1:58" s="82" customFormat="1">
      <c r="A471" s="941"/>
      <c r="B471" s="960"/>
      <c r="C471" s="1218"/>
      <c r="D471" s="84">
        <v>2029</v>
      </c>
      <c r="E471" s="85">
        <f t="shared" si="183"/>
        <v>0.1182</v>
      </c>
      <c r="F471" s="85">
        <f t="shared" si="183"/>
        <v>0.1182</v>
      </c>
      <c r="G471" s="85">
        <f t="shared" si="183"/>
        <v>0</v>
      </c>
      <c r="H471" s="85">
        <f t="shared" si="183"/>
        <v>0</v>
      </c>
      <c r="I471" s="85">
        <f t="shared" si="183"/>
        <v>0</v>
      </c>
      <c r="J471" s="85">
        <f t="shared" si="183"/>
        <v>0</v>
      </c>
      <c r="K471" s="148">
        <v>0</v>
      </c>
      <c r="L471" s="497">
        <f t="shared" si="180"/>
        <v>0.1182</v>
      </c>
      <c r="M471" s="99"/>
      <c r="N471" s="88"/>
      <c r="O471" s="89"/>
      <c r="P471" s="685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2"/>
    </row>
    <row r="472" spans="1:58" s="82" customFormat="1">
      <c r="A472" s="942"/>
      <c r="B472" s="961"/>
      <c r="C472" s="1219"/>
      <c r="D472" s="84">
        <v>2030</v>
      </c>
      <c r="E472" s="85">
        <f t="shared" si="183"/>
        <v>0.1229</v>
      </c>
      <c r="F472" s="85">
        <f t="shared" si="183"/>
        <v>0.1229</v>
      </c>
      <c r="G472" s="85">
        <f t="shared" si="183"/>
        <v>0</v>
      </c>
      <c r="H472" s="85">
        <f t="shared" si="183"/>
        <v>0</v>
      </c>
      <c r="I472" s="85">
        <f t="shared" si="183"/>
        <v>0</v>
      </c>
      <c r="J472" s="85">
        <f t="shared" si="183"/>
        <v>0</v>
      </c>
      <c r="K472" s="148">
        <v>0</v>
      </c>
      <c r="L472" s="497">
        <f t="shared" si="180"/>
        <v>0.1229</v>
      </c>
      <c r="M472" s="99"/>
      <c r="N472" s="88"/>
      <c r="O472" s="89"/>
      <c r="P472" s="685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2"/>
    </row>
    <row r="473" spans="1:58" s="82" customFormat="1" ht="12.75" customHeight="1">
      <c r="A473" s="1069" t="s">
        <v>659</v>
      </c>
      <c r="B473" s="1080" t="s">
        <v>660</v>
      </c>
      <c r="C473" s="630"/>
      <c r="D473" s="84" t="s">
        <v>16</v>
      </c>
      <c r="E473" s="85">
        <f t="shared" ref="E473:J473" si="184">SUM(E474:E485)</f>
        <v>4.4945999999999993</v>
      </c>
      <c r="F473" s="85">
        <f t="shared" si="184"/>
        <v>4.4945999999999993</v>
      </c>
      <c r="G473" s="85">
        <f t="shared" si="184"/>
        <v>0</v>
      </c>
      <c r="H473" s="85">
        <f t="shared" si="184"/>
        <v>0</v>
      </c>
      <c r="I473" s="85">
        <f t="shared" si="184"/>
        <v>0</v>
      </c>
      <c r="J473" s="85">
        <f t="shared" si="184"/>
        <v>0</v>
      </c>
      <c r="K473" s="148">
        <v>0</v>
      </c>
      <c r="L473" s="497">
        <f t="shared" si="180"/>
        <v>4.4945999999999993</v>
      </c>
      <c r="M473" s="99"/>
      <c r="N473" s="88"/>
      <c r="O473" s="89"/>
      <c r="P473" s="1286" t="s">
        <v>527</v>
      </c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2"/>
    </row>
    <row r="474" spans="1:58" s="82" customFormat="1" ht="20.25" customHeight="1">
      <c r="A474" s="941"/>
      <c r="B474" s="1261"/>
      <c r="C474" s="634" t="s">
        <v>526</v>
      </c>
      <c r="D474" s="84">
        <v>2019</v>
      </c>
      <c r="E474" s="85">
        <f>F474+G474+H474+I474+J474</f>
        <v>6.7699999999999996E-2</v>
      </c>
      <c r="F474" s="85">
        <v>6.7699999999999996E-2</v>
      </c>
      <c r="G474" s="136">
        <v>0</v>
      </c>
      <c r="H474" s="85">
        <v>0</v>
      </c>
      <c r="I474" s="313">
        <v>0</v>
      </c>
      <c r="J474" s="313">
        <v>0</v>
      </c>
      <c r="K474" s="148">
        <v>0</v>
      </c>
      <c r="L474" s="497">
        <f t="shared" si="180"/>
        <v>6.7699999999999996E-2</v>
      </c>
      <c r="M474" s="99"/>
      <c r="N474" s="88"/>
      <c r="O474" s="89"/>
      <c r="P474" s="1218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92"/>
    </row>
    <row r="475" spans="1:58" s="82" customFormat="1">
      <c r="A475" s="941"/>
      <c r="B475" s="1261"/>
      <c r="C475" s="1224" t="s">
        <v>661</v>
      </c>
      <c r="D475" s="84">
        <v>2020</v>
      </c>
      <c r="E475" s="85">
        <f>F475+G475+H475+I475+J475</f>
        <v>0.60599999999999998</v>
      </c>
      <c r="F475" s="85">
        <v>0.60599999999999998</v>
      </c>
      <c r="G475" s="136">
        <v>0</v>
      </c>
      <c r="H475" s="85">
        <v>0</v>
      </c>
      <c r="I475" s="313">
        <v>0</v>
      </c>
      <c r="J475" s="313">
        <v>0</v>
      </c>
      <c r="K475" s="148">
        <v>0</v>
      </c>
      <c r="L475" s="497">
        <f t="shared" si="180"/>
        <v>0.60599999999999998</v>
      </c>
      <c r="M475" s="99"/>
      <c r="N475" s="88"/>
      <c r="O475" s="89"/>
      <c r="P475" s="1218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  <c r="AF475" s="91"/>
      <c r="AG475" s="91"/>
      <c r="AH475" s="91"/>
      <c r="AI475" s="91"/>
      <c r="AJ475" s="91"/>
      <c r="AK475" s="91"/>
      <c r="AL475" s="91"/>
      <c r="AM475" s="91"/>
      <c r="AN475" s="91"/>
      <c r="AO475" s="91"/>
      <c r="AP475" s="9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91"/>
      <c r="BE475" s="91"/>
      <c r="BF475" s="92"/>
    </row>
    <row r="476" spans="1:58" s="82" customFormat="1" ht="12.75" customHeight="1">
      <c r="A476" s="941"/>
      <c r="B476" s="1261"/>
      <c r="C476" s="1225"/>
      <c r="D476" s="84">
        <v>2021</v>
      </c>
      <c r="E476" s="85">
        <v>0.59</v>
      </c>
      <c r="F476" s="85">
        <v>0.59</v>
      </c>
      <c r="G476" s="136">
        <v>0</v>
      </c>
      <c r="H476" s="85">
        <v>0</v>
      </c>
      <c r="I476" s="313">
        <v>0</v>
      </c>
      <c r="J476" s="313">
        <v>0</v>
      </c>
      <c r="K476" s="148">
        <v>0</v>
      </c>
      <c r="L476" s="497">
        <f t="shared" si="180"/>
        <v>0.59</v>
      </c>
      <c r="M476" s="99"/>
      <c r="N476" s="88"/>
      <c r="O476" s="89"/>
      <c r="P476" s="1218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  <c r="AF476" s="91"/>
      <c r="AG476" s="91"/>
      <c r="AH476" s="91"/>
      <c r="AI476" s="91"/>
      <c r="AJ476" s="91"/>
      <c r="AK476" s="91"/>
      <c r="AL476" s="91"/>
      <c r="AM476" s="91"/>
      <c r="AN476" s="91"/>
      <c r="AO476" s="91"/>
      <c r="AP476" s="9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91"/>
      <c r="BE476" s="91"/>
      <c r="BF476" s="92"/>
    </row>
    <row r="477" spans="1:58" s="82" customFormat="1">
      <c r="A477" s="941"/>
      <c r="B477" s="1261"/>
      <c r="C477" s="1225"/>
      <c r="D477" s="84">
        <v>2022</v>
      </c>
      <c r="E477" s="85">
        <v>0.81120000000000003</v>
      </c>
      <c r="F477" s="85">
        <v>0.81120000000000003</v>
      </c>
      <c r="G477" s="136">
        <v>0</v>
      </c>
      <c r="H477" s="85">
        <v>0</v>
      </c>
      <c r="I477" s="313">
        <v>0</v>
      </c>
      <c r="J477" s="313">
        <v>0</v>
      </c>
      <c r="K477" s="148">
        <v>0</v>
      </c>
      <c r="L477" s="497">
        <f t="shared" si="180"/>
        <v>0.81120000000000003</v>
      </c>
      <c r="M477" s="99"/>
      <c r="N477" s="88"/>
      <c r="O477" s="89"/>
      <c r="P477" s="1218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  <c r="AF477" s="91"/>
      <c r="AG477" s="91"/>
      <c r="AH477" s="91"/>
      <c r="AI477" s="91"/>
      <c r="AJ477" s="91"/>
      <c r="AK477" s="91"/>
      <c r="AL477" s="91"/>
      <c r="AM477" s="91"/>
      <c r="AN477" s="91"/>
      <c r="AO477" s="91"/>
      <c r="AP477" s="9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  <c r="BB477" s="91"/>
      <c r="BC477" s="91"/>
      <c r="BD477" s="91"/>
      <c r="BE477" s="91"/>
      <c r="BF477" s="92"/>
    </row>
    <row r="478" spans="1:58" s="82" customFormat="1">
      <c r="A478" s="941"/>
      <c r="B478" s="1261"/>
      <c r="C478" s="1225"/>
      <c r="D478" s="84">
        <v>2023</v>
      </c>
      <c r="E478" s="85">
        <v>0.82199999999999995</v>
      </c>
      <c r="F478" s="85">
        <v>0.82199999999999995</v>
      </c>
      <c r="G478" s="136">
        <v>0</v>
      </c>
      <c r="H478" s="85">
        <v>0</v>
      </c>
      <c r="I478" s="313">
        <v>0</v>
      </c>
      <c r="J478" s="313">
        <v>0</v>
      </c>
      <c r="K478" s="148">
        <v>0</v>
      </c>
      <c r="L478" s="497">
        <f t="shared" si="180"/>
        <v>0.82199999999999995</v>
      </c>
      <c r="M478" s="99"/>
      <c r="N478" s="88"/>
      <c r="O478" s="89"/>
      <c r="P478" s="1218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  <c r="AF478" s="91"/>
      <c r="AG478" s="91"/>
      <c r="AH478" s="91"/>
      <c r="AI478" s="91"/>
      <c r="AJ478" s="91"/>
      <c r="AK478" s="91"/>
      <c r="AL478" s="91"/>
      <c r="AM478" s="91"/>
      <c r="AN478" s="91"/>
      <c r="AO478" s="91"/>
      <c r="AP478" s="9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91"/>
      <c r="BE478" s="91"/>
      <c r="BF478" s="92"/>
    </row>
    <row r="479" spans="1:58" s="82" customFormat="1">
      <c r="A479" s="941"/>
      <c r="B479" s="1261"/>
      <c r="C479" s="1225"/>
      <c r="D479" s="84">
        <v>2024</v>
      </c>
      <c r="E479" s="85">
        <v>0.9274</v>
      </c>
      <c r="F479" s="85">
        <v>0.9274</v>
      </c>
      <c r="G479" s="136">
        <v>0</v>
      </c>
      <c r="H479" s="85">
        <v>0</v>
      </c>
      <c r="I479" s="313">
        <v>0</v>
      </c>
      <c r="J479" s="313">
        <v>0</v>
      </c>
      <c r="K479" s="148">
        <v>0</v>
      </c>
      <c r="L479" s="497">
        <f t="shared" si="180"/>
        <v>0.9274</v>
      </c>
      <c r="M479" s="99"/>
      <c r="N479" s="88"/>
      <c r="O479" s="89"/>
      <c r="P479" s="1218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  <c r="AF479" s="91"/>
      <c r="AG479" s="91"/>
      <c r="AH479" s="91"/>
      <c r="AI479" s="91"/>
      <c r="AJ479" s="91"/>
      <c r="AK479" s="91"/>
      <c r="AL479" s="91"/>
      <c r="AM479" s="91"/>
      <c r="AN479" s="91"/>
      <c r="AO479" s="91"/>
      <c r="AP479" s="9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91"/>
      <c r="BE479" s="91"/>
      <c r="BF479" s="92"/>
    </row>
    <row r="480" spans="1:58" s="82" customFormat="1">
      <c r="A480" s="941"/>
      <c r="B480" s="1261"/>
      <c r="C480" s="1226"/>
      <c r="D480" s="84">
        <v>2025</v>
      </c>
      <c r="E480" s="85">
        <v>0.1011</v>
      </c>
      <c r="F480" s="85">
        <v>0.1011</v>
      </c>
      <c r="G480" s="136">
        <v>0</v>
      </c>
      <c r="H480" s="85">
        <v>0</v>
      </c>
      <c r="I480" s="313">
        <v>0</v>
      </c>
      <c r="J480" s="313">
        <v>0</v>
      </c>
      <c r="K480" s="148">
        <v>0</v>
      </c>
      <c r="L480" s="497">
        <f t="shared" si="180"/>
        <v>0.1011</v>
      </c>
      <c r="M480" s="99"/>
      <c r="N480" s="88"/>
      <c r="O480" s="89"/>
      <c r="P480" s="1218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  <c r="AF480" s="91"/>
      <c r="AG480" s="91"/>
      <c r="AH480" s="91"/>
      <c r="AI480" s="91"/>
      <c r="AJ480" s="91"/>
      <c r="AK480" s="91"/>
      <c r="AL480" s="91"/>
      <c r="AM480" s="91"/>
      <c r="AN480" s="91"/>
      <c r="AO480" s="91"/>
      <c r="AP480" s="9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91"/>
      <c r="BE480" s="91"/>
      <c r="BF480" s="92"/>
    </row>
    <row r="481" spans="1:58" s="82" customFormat="1">
      <c r="A481" s="941"/>
      <c r="B481" s="1261"/>
      <c r="C481" s="1224" t="s">
        <v>662</v>
      </c>
      <c r="D481" s="84">
        <v>2026</v>
      </c>
      <c r="E481" s="85">
        <v>0.1051</v>
      </c>
      <c r="F481" s="85">
        <v>0.1051</v>
      </c>
      <c r="G481" s="136">
        <v>0</v>
      </c>
      <c r="H481" s="85">
        <v>0</v>
      </c>
      <c r="I481" s="313">
        <v>0</v>
      </c>
      <c r="J481" s="313">
        <v>0</v>
      </c>
      <c r="K481" s="148">
        <v>0</v>
      </c>
      <c r="L481" s="497">
        <f t="shared" si="180"/>
        <v>0.1051</v>
      </c>
      <c r="M481" s="99"/>
      <c r="N481" s="88"/>
      <c r="O481" s="89"/>
      <c r="P481" s="1218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  <c r="AF481" s="91"/>
      <c r="AG481" s="91"/>
      <c r="AH481" s="91"/>
      <c r="AI481" s="91"/>
      <c r="AJ481" s="91"/>
      <c r="AK481" s="91"/>
      <c r="AL481" s="91"/>
      <c r="AM481" s="91"/>
      <c r="AN481" s="91"/>
      <c r="AO481" s="91"/>
      <c r="AP481" s="9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  <c r="BB481" s="91"/>
      <c r="BC481" s="91"/>
      <c r="BD481" s="91"/>
      <c r="BE481" s="91"/>
      <c r="BF481" s="92"/>
    </row>
    <row r="482" spans="1:58" s="82" customFormat="1">
      <c r="A482" s="941"/>
      <c r="B482" s="1261"/>
      <c r="C482" s="1225"/>
      <c r="D482" s="84">
        <v>2027</v>
      </c>
      <c r="E482" s="85">
        <v>0.10929999999999999</v>
      </c>
      <c r="F482" s="85">
        <v>0.10929999999999999</v>
      </c>
      <c r="G482" s="136">
        <v>0</v>
      </c>
      <c r="H482" s="85">
        <v>0</v>
      </c>
      <c r="I482" s="313">
        <v>0</v>
      </c>
      <c r="J482" s="313">
        <v>0</v>
      </c>
      <c r="K482" s="148">
        <v>0</v>
      </c>
      <c r="L482" s="497">
        <f t="shared" si="180"/>
        <v>0.10929999999999999</v>
      </c>
      <c r="M482" s="99"/>
      <c r="N482" s="88"/>
      <c r="O482" s="89"/>
      <c r="P482" s="1218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  <c r="AF482" s="91"/>
      <c r="AG482" s="91"/>
      <c r="AH482" s="91"/>
      <c r="AI482" s="91"/>
      <c r="AJ482" s="91"/>
      <c r="AK482" s="91"/>
      <c r="AL482" s="91"/>
      <c r="AM482" s="91"/>
      <c r="AN482" s="91"/>
      <c r="AO482" s="91"/>
      <c r="AP482" s="9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91"/>
      <c r="BE482" s="91"/>
      <c r="BF482" s="92"/>
    </row>
    <row r="483" spans="1:58" s="82" customFormat="1">
      <c r="A483" s="941"/>
      <c r="B483" s="1261"/>
      <c r="C483" s="1225"/>
      <c r="D483" s="84">
        <v>2028</v>
      </c>
      <c r="E483" s="85">
        <v>0.1137</v>
      </c>
      <c r="F483" s="85">
        <v>0.1137</v>
      </c>
      <c r="G483" s="136">
        <v>0</v>
      </c>
      <c r="H483" s="85">
        <v>0</v>
      </c>
      <c r="I483" s="313">
        <v>0</v>
      </c>
      <c r="J483" s="313">
        <v>0</v>
      </c>
      <c r="K483" s="148">
        <v>0</v>
      </c>
      <c r="L483" s="497">
        <f t="shared" si="180"/>
        <v>0.1137</v>
      </c>
      <c r="M483" s="99"/>
      <c r="N483" s="88"/>
      <c r="O483" s="89"/>
      <c r="P483" s="1218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  <c r="AF483" s="91"/>
      <c r="AG483" s="91"/>
      <c r="AH483" s="91"/>
      <c r="AI483" s="91"/>
      <c r="AJ483" s="91"/>
      <c r="AK483" s="91"/>
      <c r="AL483" s="91"/>
      <c r="AM483" s="91"/>
      <c r="AN483" s="91"/>
      <c r="AO483" s="91"/>
      <c r="AP483" s="9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91"/>
      <c r="BE483" s="91"/>
      <c r="BF483" s="92"/>
    </row>
    <row r="484" spans="1:58" s="82" customFormat="1">
      <c r="A484" s="941"/>
      <c r="B484" s="1261"/>
      <c r="C484" s="1225"/>
      <c r="D484" s="84">
        <v>2029</v>
      </c>
      <c r="E484" s="85">
        <v>0.1182</v>
      </c>
      <c r="F484" s="85">
        <v>0.1182</v>
      </c>
      <c r="G484" s="136">
        <v>0</v>
      </c>
      <c r="H484" s="85">
        <v>0</v>
      </c>
      <c r="I484" s="313">
        <v>0</v>
      </c>
      <c r="J484" s="313">
        <v>0</v>
      </c>
      <c r="K484" s="148">
        <v>0</v>
      </c>
      <c r="L484" s="497">
        <f t="shared" ref="L484:L515" si="185">F484+G484+H484+I484+J484</f>
        <v>0.1182</v>
      </c>
      <c r="M484" s="99"/>
      <c r="N484" s="88"/>
      <c r="O484" s="89"/>
      <c r="P484" s="1218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  <c r="AF484" s="91"/>
      <c r="AG484" s="91"/>
      <c r="AH484" s="91"/>
      <c r="AI484" s="91"/>
      <c r="AJ484" s="91"/>
      <c r="AK484" s="91"/>
      <c r="AL484" s="91"/>
      <c r="AM484" s="91"/>
      <c r="AN484" s="91"/>
      <c r="AO484" s="91"/>
      <c r="AP484" s="9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91"/>
      <c r="BE484" s="91"/>
      <c r="BF484" s="92"/>
    </row>
    <row r="485" spans="1:58" s="82" customFormat="1">
      <c r="A485" s="942"/>
      <c r="B485" s="1288"/>
      <c r="C485" s="1226"/>
      <c r="D485" s="84">
        <v>2030</v>
      </c>
      <c r="E485" s="85">
        <v>0.1229</v>
      </c>
      <c r="F485" s="85">
        <v>0.1229</v>
      </c>
      <c r="G485" s="136">
        <v>0</v>
      </c>
      <c r="H485" s="85">
        <v>0</v>
      </c>
      <c r="I485" s="313">
        <v>0</v>
      </c>
      <c r="J485" s="313">
        <v>0</v>
      </c>
      <c r="K485" s="148">
        <v>0</v>
      </c>
      <c r="L485" s="497">
        <f t="shared" si="185"/>
        <v>0.1229</v>
      </c>
      <c r="M485" s="99"/>
      <c r="N485" s="88"/>
      <c r="O485" s="89"/>
      <c r="P485" s="1219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  <c r="AF485" s="91"/>
      <c r="AG485" s="91"/>
      <c r="AH485" s="91"/>
      <c r="AI485" s="91"/>
      <c r="AJ485" s="91"/>
      <c r="AK485" s="91"/>
      <c r="AL485" s="91"/>
      <c r="AM485" s="91"/>
      <c r="AN485" s="91"/>
      <c r="AO485" s="91"/>
      <c r="AP485" s="9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91"/>
      <c r="BE485" s="91"/>
      <c r="BF485" s="92"/>
    </row>
    <row r="486" spans="1:58" s="82" customFormat="1" ht="12.75" customHeight="1">
      <c r="A486" s="926" t="s">
        <v>663</v>
      </c>
      <c r="B486" s="1000" t="s">
        <v>664</v>
      </c>
      <c r="C486" s="1000"/>
      <c r="D486" s="84" t="s">
        <v>16</v>
      </c>
      <c r="E486" s="136">
        <f t="shared" ref="E486:J486" si="186">E487+E488+E489+E490+E491+E492+E493</f>
        <v>10423.4092</v>
      </c>
      <c r="F486" s="136">
        <f t="shared" si="186"/>
        <v>87.358399999999989</v>
      </c>
      <c r="G486" s="136">
        <f t="shared" si="186"/>
        <v>211.04910000000001</v>
      </c>
      <c r="H486" s="136">
        <f t="shared" si="186"/>
        <v>1105.2201</v>
      </c>
      <c r="I486" s="136">
        <f t="shared" si="186"/>
        <v>9009.9490000000005</v>
      </c>
      <c r="J486" s="313">
        <f t="shared" si="186"/>
        <v>9.8325999999999993</v>
      </c>
      <c r="K486" s="148">
        <v>0</v>
      </c>
      <c r="L486" s="497">
        <f t="shared" si="185"/>
        <v>10423.4092</v>
      </c>
      <c r="M486" s="99"/>
      <c r="N486" s="88"/>
      <c r="O486" s="89"/>
      <c r="P486" s="477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  <c r="AF486" s="91"/>
      <c r="AG486" s="91"/>
      <c r="AH486" s="91"/>
      <c r="AI486" s="91"/>
      <c r="AJ486" s="91"/>
      <c r="AK486" s="91"/>
      <c r="AL486" s="91"/>
      <c r="AM486" s="91"/>
      <c r="AN486" s="91"/>
      <c r="AO486" s="91"/>
      <c r="AP486" s="9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91"/>
      <c r="BE486" s="91"/>
      <c r="BF486" s="92"/>
    </row>
    <row r="487" spans="1:58" s="82" customFormat="1" ht="12.75" customHeight="1">
      <c r="A487" s="1003"/>
      <c r="B487" s="1001"/>
      <c r="C487" s="1001"/>
      <c r="D487" s="84">
        <v>2019</v>
      </c>
      <c r="E487" s="136">
        <f t="shared" ref="E487:J487" si="187">E516+E520+E530+E535+E544</f>
        <v>929.09609999999998</v>
      </c>
      <c r="F487" s="136">
        <f t="shared" si="187"/>
        <v>17.819900000000001</v>
      </c>
      <c r="G487" s="136">
        <f t="shared" si="187"/>
        <v>99.615399999999994</v>
      </c>
      <c r="H487" s="136">
        <f t="shared" si="187"/>
        <v>221.95830000000001</v>
      </c>
      <c r="I487" s="136">
        <f t="shared" si="187"/>
        <v>589.02</v>
      </c>
      <c r="J487" s="313">
        <f t="shared" si="187"/>
        <v>0.6825</v>
      </c>
      <c r="K487" s="148">
        <v>0</v>
      </c>
      <c r="L487" s="497">
        <f t="shared" si="185"/>
        <v>929.09609999999998</v>
      </c>
      <c r="M487" s="99"/>
      <c r="N487" s="88"/>
      <c r="O487" s="89"/>
      <c r="P487" s="477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  <c r="AF487" s="91"/>
      <c r="AG487" s="91"/>
      <c r="AH487" s="91"/>
      <c r="AI487" s="91"/>
      <c r="AJ487" s="91"/>
      <c r="AK487" s="91"/>
      <c r="AL487" s="91"/>
      <c r="AM487" s="91"/>
      <c r="AN487" s="91"/>
      <c r="AO487" s="91"/>
      <c r="AP487" s="91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91"/>
      <c r="BE487" s="91"/>
      <c r="BF487" s="92"/>
    </row>
    <row r="488" spans="1:58" s="82" customFormat="1" ht="12.75" customHeight="1">
      <c r="A488" s="1003"/>
      <c r="B488" s="1001"/>
      <c r="C488" s="1001"/>
      <c r="D488" s="84">
        <v>2020</v>
      </c>
      <c r="E488" s="136">
        <f t="shared" ref="E488:J488" si="188">E495+E517+E521+E527+E531+E537+E545</f>
        <v>5477.0097999999998</v>
      </c>
      <c r="F488" s="136">
        <f t="shared" si="188"/>
        <v>11.309699999999999</v>
      </c>
      <c r="G488" s="136">
        <f t="shared" si="188"/>
        <v>111.4337</v>
      </c>
      <c r="H488" s="136">
        <f t="shared" si="188"/>
        <v>732.74489999999992</v>
      </c>
      <c r="I488" s="136">
        <f t="shared" si="188"/>
        <v>4620.8</v>
      </c>
      <c r="J488" s="313">
        <f t="shared" si="188"/>
        <v>0.72150000000000003</v>
      </c>
      <c r="K488" s="148">
        <v>0</v>
      </c>
      <c r="L488" s="497">
        <f t="shared" si="185"/>
        <v>5477.0097999999998</v>
      </c>
      <c r="M488" s="99"/>
      <c r="N488" s="88"/>
      <c r="O488" s="89"/>
      <c r="P488" s="477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  <c r="AF488" s="91"/>
      <c r="AG488" s="91"/>
      <c r="AH488" s="91"/>
      <c r="AI488" s="91"/>
      <c r="AJ488" s="91"/>
      <c r="AK488" s="91"/>
      <c r="AL488" s="91"/>
      <c r="AM488" s="91"/>
      <c r="AN488" s="91"/>
      <c r="AO488" s="91"/>
      <c r="AP488" s="9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91"/>
      <c r="BE488" s="91"/>
      <c r="BF488" s="92"/>
    </row>
    <row r="489" spans="1:58" s="82" customFormat="1" ht="12.75" customHeight="1">
      <c r="A489" s="1003"/>
      <c r="B489" s="1001"/>
      <c r="C489" s="1001"/>
      <c r="D489" s="84">
        <v>2021</v>
      </c>
      <c r="E489" s="136">
        <f t="shared" ref="E489:J489" si="189">E496+E518+E522+E538+E547+E550+E533</f>
        <v>2788.1400999999996</v>
      </c>
      <c r="F489" s="136">
        <f t="shared" si="189"/>
        <v>8.4665999999999997</v>
      </c>
      <c r="G489" s="136">
        <f t="shared" si="189"/>
        <v>0</v>
      </c>
      <c r="H489" s="136">
        <f t="shared" si="189"/>
        <v>140.51689999999999</v>
      </c>
      <c r="I489" s="136">
        <f t="shared" si="189"/>
        <v>2631.6289999999999</v>
      </c>
      <c r="J489" s="313">
        <f t="shared" si="189"/>
        <v>7.5275999999999996</v>
      </c>
      <c r="K489" s="148">
        <v>0</v>
      </c>
      <c r="L489" s="497">
        <f t="shared" si="185"/>
        <v>2788.1400999999996</v>
      </c>
      <c r="M489" s="99"/>
      <c r="N489" s="88"/>
      <c r="O489" s="89"/>
      <c r="P489" s="477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  <c r="AF489" s="91"/>
      <c r="AG489" s="91"/>
      <c r="AH489" s="91"/>
      <c r="AI489" s="91"/>
      <c r="AJ489" s="91"/>
      <c r="AK489" s="91"/>
      <c r="AL489" s="91"/>
      <c r="AM489" s="91"/>
      <c r="AN489" s="91"/>
      <c r="AO489" s="91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91"/>
      <c r="BE489" s="91"/>
      <c r="BF489" s="92"/>
    </row>
    <row r="490" spans="1:58" s="82" customFormat="1" ht="12.75" customHeight="1">
      <c r="A490" s="1003"/>
      <c r="B490" s="1001"/>
      <c r="C490" s="1001"/>
      <c r="D490" s="84">
        <v>2022</v>
      </c>
      <c r="E490" s="136">
        <f t="shared" ref="E490:J490" si="190">E497+E523+E539+E528+E548</f>
        <v>615.07529999999986</v>
      </c>
      <c r="F490" s="136">
        <f t="shared" si="190"/>
        <v>8.8742999999999999</v>
      </c>
      <c r="G490" s="136">
        <f t="shared" si="190"/>
        <v>0</v>
      </c>
      <c r="H490" s="136">
        <f t="shared" si="190"/>
        <v>10</v>
      </c>
      <c r="I490" s="136">
        <f t="shared" si="190"/>
        <v>595.29999999999995</v>
      </c>
      <c r="J490" s="313">
        <f t="shared" si="190"/>
        <v>0.90100000000000002</v>
      </c>
      <c r="K490" s="148">
        <v>0</v>
      </c>
      <c r="L490" s="497">
        <f t="shared" si="185"/>
        <v>615.07529999999986</v>
      </c>
      <c r="M490" s="99"/>
      <c r="N490" s="88"/>
      <c r="O490" s="89"/>
      <c r="P490" s="477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2"/>
    </row>
    <row r="491" spans="1:58" s="82" customFormat="1" ht="15.75" customHeight="1">
      <c r="A491" s="1003"/>
      <c r="B491" s="1001"/>
      <c r="C491" s="1001"/>
      <c r="D491" s="84">
        <v>2023</v>
      </c>
      <c r="E491" s="136">
        <f t="shared" ref="E491:J492" si="191">E498+E524+E540</f>
        <v>546.59839999999997</v>
      </c>
      <c r="F491" s="136">
        <f t="shared" si="191"/>
        <v>13.0984</v>
      </c>
      <c r="G491" s="136">
        <f t="shared" si="191"/>
        <v>0</v>
      </c>
      <c r="H491" s="136">
        <f t="shared" si="191"/>
        <v>0</v>
      </c>
      <c r="I491" s="136">
        <f t="shared" si="191"/>
        <v>533.5</v>
      </c>
      <c r="J491" s="313">
        <f t="shared" si="191"/>
        <v>0</v>
      </c>
      <c r="K491" s="148">
        <v>0</v>
      </c>
      <c r="L491" s="497">
        <f t="shared" si="185"/>
        <v>546.59839999999997</v>
      </c>
      <c r="M491" s="99"/>
      <c r="N491" s="88"/>
      <c r="O491" s="89"/>
      <c r="P491" s="557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2"/>
    </row>
    <row r="492" spans="1:58" s="82" customFormat="1" ht="15.75" customHeight="1">
      <c r="A492" s="1003"/>
      <c r="B492" s="1001"/>
      <c r="C492" s="1001"/>
      <c r="D492" s="84">
        <v>2024</v>
      </c>
      <c r="E492" s="136">
        <f t="shared" si="191"/>
        <v>53.322299999999998</v>
      </c>
      <c r="F492" s="136">
        <f t="shared" si="191"/>
        <v>13.622299999999999</v>
      </c>
      <c r="G492" s="136">
        <f t="shared" si="191"/>
        <v>0</v>
      </c>
      <c r="H492" s="136">
        <f t="shared" si="191"/>
        <v>0</v>
      </c>
      <c r="I492" s="136">
        <f t="shared" si="191"/>
        <v>39.700000000000003</v>
      </c>
      <c r="J492" s="313">
        <f t="shared" si="191"/>
        <v>0</v>
      </c>
      <c r="K492" s="148">
        <v>0</v>
      </c>
      <c r="L492" s="497">
        <f t="shared" si="185"/>
        <v>53.322299999999998</v>
      </c>
      <c r="M492" s="99"/>
      <c r="N492" s="88"/>
      <c r="O492" s="89"/>
      <c r="P492" s="557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2"/>
    </row>
    <row r="493" spans="1:58" s="82" customFormat="1" ht="15.75" customHeight="1">
      <c r="A493" s="1004"/>
      <c r="B493" s="1002"/>
      <c r="C493" s="1002"/>
      <c r="D493" s="84">
        <v>2025</v>
      </c>
      <c r="E493" s="136">
        <f t="shared" ref="E493:J493" si="192">E500+E542</f>
        <v>14.167199999999999</v>
      </c>
      <c r="F493" s="136">
        <f t="shared" si="192"/>
        <v>14.167199999999999</v>
      </c>
      <c r="G493" s="136">
        <f t="shared" si="192"/>
        <v>0</v>
      </c>
      <c r="H493" s="136">
        <f t="shared" si="192"/>
        <v>0</v>
      </c>
      <c r="I493" s="136">
        <f t="shared" si="192"/>
        <v>0</v>
      </c>
      <c r="J493" s="313">
        <f t="shared" si="192"/>
        <v>0</v>
      </c>
      <c r="K493" s="148">
        <v>0</v>
      </c>
      <c r="L493" s="497">
        <f t="shared" si="185"/>
        <v>14.167199999999999</v>
      </c>
      <c r="M493" s="99"/>
      <c r="N493" s="88"/>
      <c r="O493" s="89"/>
      <c r="P493" s="557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2"/>
    </row>
    <row r="494" spans="1:58" s="82" customFormat="1" ht="27.75" customHeight="1">
      <c r="A494" s="1128" t="s">
        <v>665</v>
      </c>
      <c r="B494" s="1080" t="s">
        <v>666</v>
      </c>
      <c r="C494" s="1262" t="s">
        <v>667</v>
      </c>
      <c r="D494" s="84" t="s">
        <v>16</v>
      </c>
      <c r="E494" s="85">
        <f t="shared" ref="E494:J494" si="193">E495+E496+E497+E498+E499+E500</f>
        <v>0</v>
      </c>
      <c r="F494" s="85">
        <f t="shared" si="193"/>
        <v>0</v>
      </c>
      <c r="G494" s="85">
        <f t="shared" si="193"/>
        <v>0</v>
      </c>
      <c r="H494" s="85">
        <f t="shared" si="193"/>
        <v>0</v>
      </c>
      <c r="I494" s="85">
        <f t="shared" si="193"/>
        <v>0</v>
      </c>
      <c r="J494" s="85">
        <f t="shared" si="193"/>
        <v>0</v>
      </c>
      <c r="K494" s="148">
        <v>0</v>
      </c>
      <c r="L494" s="497">
        <f t="shared" si="185"/>
        <v>0</v>
      </c>
      <c r="M494" s="99"/>
      <c r="N494" s="88"/>
      <c r="O494" s="89"/>
      <c r="P494" s="1286" t="s">
        <v>405</v>
      </c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2"/>
    </row>
    <row r="495" spans="1:58" s="82" customFormat="1">
      <c r="A495" s="941"/>
      <c r="B495" s="1304"/>
      <c r="C495" s="1263"/>
      <c r="D495" s="84">
        <v>2020</v>
      </c>
      <c r="E495" s="85">
        <f t="shared" ref="E495:J500" si="194">E502+E509</f>
        <v>0</v>
      </c>
      <c r="F495" s="85">
        <f t="shared" si="194"/>
        <v>0</v>
      </c>
      <c r="G495" s="85">
        <f t="shared" si="194"/>
        <v>0</v>
      </c>
      <c r="H495" s="85">
        <f t="shared" si="194"/>
        <v>0</v>
      </c>
      <c r="I495" s="85">
        <f t="shared" si="194"/>
        <v>0</v>
      </c>
      <c r="J495" s="85">
        <f t="shared" si="194"/>
        <v>0</v>
      </c>
      <c r="K495" s="148">
        <v>0</v>
      </c>
      <c r="L495" s="497">
        <f t="shared" si="185"/>
        <v>0</v>
      </c>
      <c r="M495" s="99"/>
      <c r="N495" s="88"/>
      <c r="O495" s="89"/>
      <c r="P495" s="1218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2"/>
    </row>
    <row r="496" spans="1:58" s="82" customFormat="1">
      <c r="A496" s="941"/>
      <c r="B496" s="1304"/>
      <c r="C496" s="1263"/>
      <c r="D496" s="84">
        <v>2021</v>
      </c>
      <c r="E496" s="85">
        <f t="shared" si="194"/>
        <v>0</v>
      </c>
      <c r="F496" s="85">
        <f t="shared" si="194"/>
        <v>0</v>
      </c>
      <c r="G496" s="85">
        <f t="shared" si="194"/>
        <v>0</v>
      </c>
      <c r="H496" s="85">
        <f t="shared" si="194"/>
        <v>0</v>
      </c>
      <c r="I496" s="85">
        <f t="shared" si="194"/>
        <v>0</v>
      </c>
      <c r="J496" s="85">
        <f t="shared" si="194"/>
        <v>0</v>
      </c>
      <c r="K496" s="148">
        <v>0</v>
      </c>
      <c r="L496" s="497">
        <f t="shared" si="185"/>
        <v>0</v>
      </c>
      <c r="M496" s="99"/>
      <c r="N496" s="88"/>
      <c r="O496" s="89"/>
      <c r="P496" s="1218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  <c r="BF496" s="92"/>
    </row>
    <row r="497" spans="1:58" s="82" customFormat="1">
      <c r="A497" s="941"/>
      <c r="B497" s="1304"/>
      <c r="C497" s="1263"/>
      <c r="D497" s="84">
        <v>2022</v>
      </c>
      <c r="E497" s="85">
        <f t="shared" si="194"/>
        <v>0</v>
      </c>
      <c r="F497" s="85">
        <f t="shared" si="194"/>
        <v>0</v>
      </c>
      <c r="G497" s="85">
        <f t="shared" si="194"/>
        <v>0</v>
      </c>
      <c r="H497" s="85">
        <f t="shared" si="194"/>
        <v>0</v>
      </c>
      <c r="I497" s="85">
        <f t="shared" si="194"/>
        <v>0</v>
      </c>
      <c r="J497" s="85">
        <f t="shared" si="194"/>
        <v>0</v>
      </c>
      <c r="K497" s="148">
        <v>0</v>
      </c>
      <c r="L497" s="497">
        <f t="shared" si="185"/>
        <v>0</v>
      </c>
      <c r="M497" s="99"/>
      <c r="N497" s="88"/>
      <c r="O497" s="89"/>
      <c r="P497" s="1218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2"/>
    </row>
    <row r="498" spans="1:58" s="82" customFormat="1">
      <c r="A498" s="941"/>
      <c r="B498" s="1304"/>
      <c r="C498" s="1263"/>
      <c r="D498" s="84">
        <v>2023</v>
      </c>
      <c r="E498" s="85">
        <f t="shared" si="194"/>
        <v>0</v>
      </c>
      <c r="F498" s="85">
        <f t="shared" si="194"/>
        <v>0</v>
      </c>
      <c r="G498" s="85">
        <f t="shared" si="194"/>
        <v>0</v>
      </c>
      <c r="H498" s="85">
        <f t="shared" si="194"/>
        <v>0</v>
      </c>
      <c r="I498" s="85">
        <f t="shared" si="194"/>
        <v>0</v>
      </c>
      <c r="J498" s="85">
        <f t="shared" si="194"/>
        <v>0</v>
      </c>
      <c r="K498" s="148">
        <v>0</v>
      </c>
      <c r="L498" s="497">
        <f t="shared" si="185"/>
        <v>0</v>
      </c>
      <c r="M498" s="99"/>
      <c r="N498" s="88"/>
      <c r="O498" s="89"/>
      <c r="P498" s="1218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  <c r="AN498" s="91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92"/>
    </row>
    <row r="499" spans="1:58" s="82" customFormat="1">
      <c r="A499" s="941"/>
      <c r="B499" s="1304"/>
      <c r="C499" s="1263"/>
      <c r="D499" s="84">
        <v>2024</v>
      </c>
      <c r="E499" s="85">
        <f t="shared" si="194"/>
        <v>0</v>
      </c>
      <c r="F499" s="85">
        <f t="shared" si="194"/>
        <v>0</v>
      </c>
      <c r="G499" s="85">
        <f t="shared" si="194"/>
        <v>0</v>
      </c>
      <c r="H499" s="85">
        <f t="shared" si="194"/>
        <v>0</v>
      </c>
      <c r="I499" s="85">
        <f t="shared" si="194"/>
        <v>0</v>
      </c>
      <c r="J499" s="85">
        <f t="shared" si="194"/>
        <v>0</v>
      </c>
      <c r="K499" s="148">
        <v>0</v>
      </c>
      <c r="L499" s="497">
        <f t="shared" si="185"/>
        <v>0</v>
      </c>
      <c r="M499" s="99"/>
      <c r="N499" s="88"/>
      <c r="O499" s="89"/>
      <c r="P499" s="1218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  <c r="AN499" s="91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92"/>
    </row>
    <row r="500" spans="1:58" s="82" customFormat="1">
      <c r="A500" s="942"/>
      <c r="B500" s="1305"/>
      <c r="C500" s="1263"/>
      <c r="D500" s="84">
        <v>2025</v>
      </c>
      <c r="E500" s="85">
        <f t="shared" si="194"/>
        <v>0</v>
      </c>
      <c r="F500" s="85">
        <f t="shared" si="194"/>
        <v>0</v>
      </c>
      <c r="G500" s="85">
        <f t="shared" si="194"/>
        <v>0</v>
      </c>
      <c r="H500" s="85">
        <f t="shared" si="194"/>
        <v>0</v>
      </c>
      <c r="I500" s="85">
        <f t="shared" si="194"/>
        <v>0</v>
      </c>
      <c r="J500" s="85">
        <f t="shared" si="194"/>
        <v>0</v>
      </c>
      <c r="K500" s="148">
        <v>0</v>
      </c>
      <c r="L500" s="497">
        <f t="shared" si="185"/>
        <v>0</v>
      </c>
      <c r="M500" s="99"/>
      <c r="N500" s="88"/>
      <c r="O500" s="89"/>
      <c r="P500" s="1218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  <c r="AN500" s="91"/>
      <c r="AO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  <c r="BF500" s="92"/>
    </row>
    <row r="501" spans="1:58" s="82" customFormat="1" ht="20.25" customHeight="1">
      <c r="A501" s="1128" t="s">
        <v>668</v>
      </c>
      <c r="B501" s="1080" t="s">
        <v>669</v>
      </c>
      <c r="C501" s="1263"/>
      <c r="D501" s="84" t="s">
        <v>16</v>
      </c>
      <c r="E501" s="85">
        <f t="shared" ref="E501:J501" si="195">E502+E503+E504+E505+E506+E507</f>
        <v>0</v>
      </c>
      <c r="F501" s="85">
        <f t="shared" si="195"/>
        <v>0</v>
      </c>
      <c r="G501" s="85">
        <f t="shared" si="195"/>
        <v>0</v>
      </c>
      <c r="H501" s="85">
        <f t="shared" si="195"/>
        <v>0</v>
      </c>
      <c r="I501" s="85">
        <f t="shared" si="195"/>
        <v>0</v>
      </c>
      <c r="J501" s="85">
        <f t="shared" si="195"/>
        <v>0</v>
      </c>
      <c r="K501" s="148">
        <v>0</v>
      </c>
      <c r="L501" s="497">
        <f t="shared" si="185"/>
        <v>0</v>
      </c>
      <c r="M501" s="943" t="s">
        <v>670</v>
      </c>
      <c r="N501" s="88"/>
      <c r="O501" s="89"/>
      <c r="P501" s="1218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  <c r="AN501" s="91"/>
      <c r="AO501" s="91"/>
      <c r="AP501" s="9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91"/>
      <c r="BE501" s="91"/>
      <c r="BF501" s="92"/>
    </row>
    <row r="502" spans="1:58" s="82" customFormat="1">
      <c r="A502" s="1183"/>
      <c r="B502" s="1261"/>
      <c r="C502" s="1263"/>
      <c r="D502" s="84">
        <v>2020</v>
      </c>
      <c r="E502" s="85">
        <f t="shared" ref="E502:E507" si="196">F502+G502+H502+I502+J502</f>
        <v>0</v>
      </c>
      <c r="F502" s="85">
        <v>0</v>
      </c>
      <c r="G502" s="85">
        <v>0</v>
      </c>
      <c r="H502" s="85">
        <v>0</v>
      </c>
      <c r="I502" s="85">
        <v>0</v>
      </c>
      <c r="J502" s="85">
        <v>0</v>
      </c>
      <c r="K502" s="148">
        <v>0</v>
      </c>
      <c r="L502" s="497">
        <f t="shared" si="185"/>
        <v>0</v>
      </c>
      <c r="M502" s="970"/>
      <c r="N502" s="88"/>
      <c r="O502" s="89"/>
      <c r="P502" s="1218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91"/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92"/>
    </row>
    <row r="503" spans="1:58" s="82" customFormat="1">
      <c r="A503" s="1183"/>
      <c r="B503" s="1261"/>
      <c r="C503" s="1263"/>
      <c r="D503" s="84">
        <v>2021</v>
      </c>
      <c r="E503" s="85">
        <f t="shared" si="196"/>
        <v>0</v>
      </c>
      <c r="F503" s="85">
        <v>0</v>
      </c>
      <c r="G503" s="85">
        <v>0</v>
      </c>
      <c r="H503" s="85">
        <v>0</v>
      </c>
      <c r="I503" s="85">
        <v>0</v>
      </c>
      <c r="J503" s="85">
        <v>0</v>
      </c>
      <c r="K503" s="148">
        <v>0</v>
      </c>
      <c r="L503" s="497">
        <f t="shared" si="185"/>
        <v>0</v>
      </c>
      <c r="M503" s="970"/>
      <c r="N503" s="88"/>
      <c r="O503" s="89"/>
      <c r="P503" s="1218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9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92"/>
    </row>
    <row r="504" spans="1:58" s="82" customFormat="1">
      <c r="A504" s="1183"/>
      <c r="B504" s="1261"/>
      <c r="C504" s="1263"/>
      <c r="D504" s="84">
        <v>2022</v>
      </c>
      <c r="E504" s="85">
        <f t="shared" si="196"/>
        <v>0</v>
      </c>
      <c r="F504" s="85">
        <v>0</v>
      </c>
      <c r="G504" s="85">
        <v>0</v>
      </c>
      <c r="H504" s="85">
        <v>0</v>
      </c>
      <c r="I504" s="85">
        <v>0</v>
      </c>
      <c r="J504" s="85">
        <v>0</v>
      </c>
      <c r="K504" s="148">
        <v>0</v>
      </c>
      <c r="L504" s="497">
        <f t="shared" si="185"/>
        <v>0</v>
      </c>
      <c r="M504" s="970"/>
      <c r="N504" s="88"/>
      <c r="O504" s="89"/>
      <c r="P504" s="1218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  <c r="AN504" s="91"/>
      <c r="AO504" s="91"/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  <c r="BF504" s="92"/>
    </row>
    <row r="505" spans="1:58" s="82" customFormat="1">
      <c r="A505" s="1183"/>
      <c r="B505" s="1261"/>
      <c r="C505" s="1263"/>
      <c r="D505" s="84">
        <v>2023</v>
      </c>
      <c r="E505" s="85">
        <f t="shared" si="196"/>
        <v>0</v>
      </c>
      <c r="F505" s="85">
        <v>0</v>
      </c>
      <c r="G505" s="85">
        <v>0</v>
      </c>
      <c r="H505" s="85">
        <v>0</v>
      </c>
      <c r="I505" s="85">
        <v>0</v>
      </c>
      <c r="J505" s="85">
        <v>0</v>
      </c>
      <c r="K505" s="148">
        <v>0</v>
      </c>
      <c r="L505" s="497">
        <f t="shared" si="185"/>
        <v>0</v>
      </c>
      <c r="M505" s="970"/>
      <c r="N505" s="88"/>
      <c r="O505" s="89"/>
      <c r="P505" s="1218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91"/>
      <c r="BE505" s="91"/>
      <c r="BF505" s="92"/>
    </row>
    <row r="506" spans="1:58" s="82" customFormat="1">
      <c r="A506" s="1183"/>
      <c r="B506" s="1261"/>
      <c r="C506" s="1263"/>
      <c r="D506" s="84">
        <v>2024</v>
      </c>
      <c r="E506" s="85">
        <f t="shared" si="196"/>
        <v>0</v>
      </c>
      <c r="F506" s="85">
        <v>0</v>
      </c>
      <c r="G506" s="85">
        <v>0</v>
      </c>
      <c r="H506" s="85">
        <v>0</v>
      </c>
      <c r="I506" s="85">
        <v>0</v>
      </c>
      <c r="J506" s="85">
        <v>0</v>
      </c>
      <c r="K506" s="148">
        <v>0</v>
      </c>
      <c r="L506" s="497">
        <f t="shared" si="185"/>
        <v>0</v>
      </c>
      <c r="M506" s="970"/>
      <c r="N506" s="88"/>
      <c r="O506" s="89"/>
      <c r="P506" s="1218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91"/>
      <c r="AP506" s="9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91"/>
      <c r="BE506" s="91"/>
      <c r="BF506" s="92"/>
    </row>
    <row r="507" spans="1:58" s="82" customFormat="1">
      <c r="A507" s="1184"/>
      <c r="B507" s="1288"/>
      <c r="C507" s="1263"/>
      <c r="D507" s="84">
        <v>2025</v>
      </c>
      <c r="E507" s="85">
        <f t="shared" si="196"/>
        <v>0</v>
      </c>
      <c r="F507" s="85">
        <v>0</v>
      </c>
      <c r="G507" s="85">
        <v>0</v>
      </c>
      <c r="H507" s="85">
        <v>0</v>
      </c>
      <c r="I507" s="85">
        <v>0</v>
      </c>
      <c r="J507" s="85">
        <v>0</v>
      </c>
      <c r="K507" s="148">
        <v>0</v>
      </c>
      <c r="L507" s="497">
        <f t="shared" si="185"/>
        <v>0</v>
      </c>
      <c r="M507" s="990"/>
      <c r="N507" s="88"/>
      <c r="O507" s="89"/>
      <c r="P507" s="1218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2"/>
    </row>
    <row r="508" spans="1:58" s="82" customFormat="1">
      <c r="A508" s="1128" t="s">
        <v>671</v>
      </c>
      <c r="B508" s="1080" t="s">
        <v>672</v>
      </c>
      <c r="C508" s="1263"/>
      <c r="D508" s="84" t="s">
        <v>16</v>
      </c>
      <c r="E508" s="85">
        <f t="shared" ref="E508:J508" si="197">E509+E510+E511+E512+E513+E514</f>
        <v>0</v>
      </c>
      <c r="F508" s="85">
        <f t="shared" si="197"/>
        <v>0</v>
      </c>
      <c r="G508" s="85">
        <f t="shared" si="197"/>
        <v>0</v>
      </c>
      <c r="H508" s="85">
        <f t="shared" si="197"/>
        <v>0</v>
      </c>
      <c r="I508" s="85">
        <f t="shared" si="197"/>
        <v>0</v>
      </c>
      <c r="J508" s="85">
        <f t="shared" si="197"/>
        <v>0</v>
      </c>
      <c r="K508" s="148">
        <v>0</v>
      </c>
      <c r="L508" s="497">
        <f t="shared" si="185"/>
        <v>0</v>
      </c>
      <c r="M508" s="943" t="s">
        <v>673</v>
      </c>
      <c r="N508" s="88"/>
      <c r="O508" s="89"/>
      <c r="P508" s="1218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2"/>
    </row>
    <row r="509" spans="1:58" s="82" customFormat="1">
      <c r="A509" s="941"/>
      <c r="B509" s="960"/>
      <c r="C509" s="1263"/>
      <c r="D509" s="84">
        <v>2020</v>
      </c>
      <c r="E509" s="85">
        <f>F509+G509+H509+I509+J509</f>
        <v>0</v>
      </c>
      <c r="F509" s="85">
        <v>0</v>
      </c>
      <c r="G509" s="85">
        <v>0</v>
      </c>
      <c r="H509" s="85">
        <v>0</v>
      </c>
      <c r="I509" s="85">
        <v>0</v>
      </c>
      <c r="J509" s="85">
        <v>0</v>
      </c>
      <c r="K509" s="148">
        <v>0</v>
      </c>
      <c r="L509" s="497">
        <f t="shared" si="185"/>
        <v>0</v>
      </c>
      <c r="M509" s="845"/>
      <c r="N509" s="88"/>
      <c r="O509" s="89"/>
      <c r="P509" s="1218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  <c r="AN509" s="91"/>
      <c r="AO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92"/>
    </row>
    <row r="510" spans="1:58" s="82" customFormat="1">
      <c r="A510" s="941"/>
      <c r="B510" s="960"/>
      <c r="C510" s="1263"/>
      <c r="D510" s="84">
        <v>2021</v>
      </c>
      <c r="E510" s="85">
        <f>F510+G510+H510+I510+J510</f>
        <v>0</v>
      </c>
      <c r="F510" s="85">
        <v>0</v>
      </c>
      <c r="G510" s="85">
        <v>0</v>
      </c>
      <c r="H510" s="85">
        <v>0</v>
      </c>
      <c r="I510" s="85">
        <v>0</v>
      </c>
      <c r="J510" s="85">
        <v>0</v>
      </c>
      <c r="K510" s="148">
        <v>0</v>
      </c>
      <c r="L510" s="497">
        <f t="shared" si="185"/>
        <v>0</v>
      </c>
      <c r="M510" s="845"/>
      <c r="N510" s="88"/>
      <c r="O510" s="89"/>
      <c r="P510" s="1218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2"/>
    </row>
    <row r="511" spans="1:58" s="82" customFormat="1">
      <c r="A511" s="941"/>
      <c r="B511" s="960"/>
      <c r="C511" s="1263"/>
      <c r="D511" s="84">
        <v>2022</v>
      </c>
      <c r="E511" s="85">
        <f>F511+G511+H511</f>
        <v>0</v>
      </c>
      <c r="F511" s="85">
        <v>0</v>
      </c>
      <c r="G511" s="85">
        <v>0</v>
      </c>
      <c r="H511" s="85">
        <v>0</v>
      </c>
      <c r="I511" s="85">
        <v>0</v>
      </c>
      <c r="J511" s="85">
        <v>0</v>
      </c>
      <c r="K511" s="148">
        <v>0</v>
      </c>
      <c r="L511" s="497">
        <f t="shared" si="185"/>
        <v>0</v>
      </c>
      <c r="M511" s="845"/>
      <c r="N511" s="88"/>
      <c r="O511" s="89"/>
      <c r="P511" s="1218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  <c r="AF511" s="91"/>
      <c r="AG511" s="91"/>
      <c r="AH511" s="91"/>
      <c r="AI511" s="91"/>
      <c r="AJ511" s="91"/>
      <c r="AK511" s="91"/>
      <c r="AL511" s="91"/>
      <c r="AM511" s="91"/>
      <c r="AN511" s="91"/>
      <c r="AO511" s="91"/>
      <c r="AP511" s="9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91"/>
      <c r="BE511" s="91"/>
      <c r="BF511" s="92"/>
    </row>
    <row r="512" spans="1:58" s="82" customFormat="1">
      <c r="A512" s="941"/>
      <c r="B512" s="960"/>
      <c r="C512" s="1263"/>
      <c r="D512" s="84">
        <v>2023</v>
      </c>
      <c r="E512" s="85">
        <f>F512+G512+H512+I512+J512</f>
        <v>0</v>
      </c>
      <c r="F512" s="85">
        <v>0</v>
      </c>
      <c r="G512" s="85">
        <v>0</v>
      </c>
      <c r="H512" s="85">
        <v>0</v>
      </c>
      <c r="I512" s="85">
        <v>0</v>
      </c>
      <c r="J512" s="85">
        <v>0</v>
      </c>
      <c r="K512" s="148">
        <v>0</v>
      </c>
      <c r="L512" s="497">
        <f t="shared" si="185"/>
        <v>0</v>
      </c>
      <c r="M512" s="845"/>
      <c r="N512" s="88"/>
      <c r="O512" s="89"/>
      <c r="P512" s="1218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  <c r="AF512" s="91"/>
      <c r="AG512" s="91"/>
      <c r="AH512" s="91"/>
      <c r="AI512" s="91"/>
      <c r="AJ512" s="91"/>
      <c r="AK512" s="91"/>
      <c r="AL512" s="91"/>
      <c r="AM512" s="91"/>
      <c r="AN512" s="91"/>
      <c r="AO512" s="91"/>
      <c r="AP512" s="9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91"/>
      <c r="BE512" s="91"/>
      <c r="BF512" s="92"/>
    </row>
    <row r="513" spans="1:58" s="82" customFormat="1">
      <c r="A513" s="941"/>
      <c r="B513" s="960"/>
      <c r="C513" s="1263"/>
      <c r="D513" s="84">
        <v>2024</v>
      </c>
      <c r="E513" s="85">
        <f>F513+G513+H513+I513+J513</f>
        <v>0</v>
      </c>
      <c r="F513" s="85">
        <v>0</v>
      </c>
      <c r="G513" s="85">
        <v>0</v>
      </c>
      <c r="H513" s="85">
        <v>0</v>
      </c>
      <c r="I513" s="85">
        <v>0</v>
      </c>
      <c r="J513" s="85">
        <v>0</v>
      </c>
      <c r="K513" s="148">
        <v>0</v>
      </c>
      <c r="L513" s="497">
        <f t="shared" si="185"/>
        <v>0</v>
      </c>
      <c r="M513" s="845"/>
      <c r="N513" s="88"/>
      <c r="O513" s="89"/>
      <c r="P513" s="1218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  <c r="AF513" s="91"/>
      <c r="AG513" s="91"/>
      <c r="AH513" s="91"/>
      <c r="AI513" s="91"/>
      <c r="AJ513" s="91"/>
      <c r="AK513" s="91"/>
      <c r="AL513" s="91"/>
      <c r="AM513" s="91"/>
      <c r="AN513" s="91"/>
      <c r="AO513" s="91"/>
      <c r="AP513" s="9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91"/>
      <c r="BE513" s="91"/>
      <c r="BF513" s="92"/>
    </row>
    <row r="514" spans="1:58" s="82" customFormat="1">
      <c r="A514" s="942"/>
      <c r="B514" s="961"/>
      <c r="C514" s="1263"/>
      <c r="D514" s="84">
        <v>2025</v>
      </c>
      <c r="E514" s="85">
        <f>F514+G514+H514+I514+J514</f>
        <v>0</v>
      </c>
      <c r="F514" s="85">
        <v>0</v>
      </c>
      <c r="G514" s="85">
        <v>0</v>
      </c>
      <c r="H514" s="85">
        <v>0</v>
      </c>
      <c r="I514" s="85">
        <v>0</v>
      </c>
      <c r="J514" s="85">
        <v>0</v>
      </c>
      <c r="K514" s="148">
        <v>0</v>
      </c>
      <c r="L514" s="497">
        <f t="shared" si="185"/>
        <v>0</v>
      </c>
      <c r="M514" s="846"/>
      <c r="N514" s="88"/>
      <c r="O514" s="89"/>
      <c r="P514" s="1219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  <c r="AF514" s="91"/>
      <c r="AG514" s="91"/>
      <c r="AH514" s="91"/>
      <c r="AI514" s="91"/>
      <c r="AJ514" s="91"/>
      <c r="AK514" s="91"/>
      <c r="AL514" s="91"/>
      <c r="AM514" s="91"/>
      <c r="AN514" s="91"/>
      <c r="AO514" s="91"/>
      <c r="AP514" s="9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91"/>
      <c r="BE514" s="91"/>
      <c r="BF514" s="92"/>
    </row>
    <row r="515" spans="1:58" s="82" customFormat="1" ht="12.75" customHeight="1">
      <c r="A515" s="1128" t="s">
        <v>204</v>
      </c>
      <c r="B515" s="1080" t="s">
        <v>674</v>
      </c>
      <c r="C515" s="1255" t="s">
        <v>1184</v>
      </c>
      <c r="D515" s="84" t="s">
        <v>16</v>
      </c>
      <c r="E515" s="85">
        <f t="shared" ref="E515:J515" si="198">E516+E517+E518</f>
        <v>127.71299999999999</v>
      </c>
      <c r="F515" s="85">
        <f t="shared" si="198"/>
        <v>0</v>
      </c>
      <c r="G515" s="85">
        <f t="shared" si="198"/>
        <v>0</v>
      </c>
      <c r="H515" s="85">
        <f t="shared" si="198"/>
        <v>123.8814</v>
      </c>
      <c r="I515" s="85">
        <f t="shared" si="198"/>
        <v>0</v>
      </c>
      <c r="J515" s="85">
        <f t="shared" si="198"/>
        <v>3.8315999999999999</v>
      </c>
      <c r="K515" s="148">
        <v>0</v>
      </c>
      <c r="L515" s="497">
        <f t="shared" si="185"/>
        <v>127.71299999999999</v>
      </c>
      <c r="M515" s="109"/>
      <c r="N515" s="110"/>
      <c r="O515" s="111"/>
      <c r="P515" s="1224" t="s">
        <v>640</v>
      </c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  <c r="AF515" s="91"/>
      <c r="AG515" s="91"/>
      <c r="AH515" s="91"/>
      <c r="AI515" s="91"/>
      <c r="AJ515" s="91"/>
      <c r="AK515" s="91"/>
      <c r="AL515" s="91"/>
      <c r="AM515" s="91"/>
      <c r="AN515" s="91"/>
      <c r="AO515" s="91"/>
      <c r="AP515" s="9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91"/>
      <c r="BE515" s="91"/>
      <c r="BF515" s="92"/>
    </row>
    <row r="516" spans="1:58" s="82" customFormat="1" ht="17.25" customHeight="1">
      <c r="A516" s="1183"/>
      <c r="B516" s="1261"/>
      <c r="C516" s="1255"/>
      <c r="D516" s="84">
        <v>2019</v>
      </c>
      <c r="E516" s="85">
        <f>F516+G516+H516+I516+J516</f>
        <v>22.7471</v>
      </c>
      <c r="F516" s="85">
        <v>0</v>
      </c>
      <c r="G516" s="85">
        <v>0</v>
      </c>
      <c r="H516" s="85">
        <v>22.064599999999999</v>
      </c>
      <c r="I516" s="85">
        <v>0</v>
      </c>
      <c r="J516" s="85">
        <v>0.6825</v>
      </c>
      <c r="K516" s="148">
        <v>0</v>
      </c>
      <c r="L516" s="497">
        <f t="shared" ref="L516:L535" si="199">F516+G516+H516+I516+J516</f>
        <v>22.7471</v>
      </c>
      <c r="M516" s="109"/>
      <c r="N516" s="110"/>
      <c r="O516" s="111"/>
      <c r="P516" s="1225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91"/>
      <c r="BE516" s="91"/>
      <c r="BF516" s="92"/>
    </row>
    <row r="517" spans="1:58" s="82" customFormat="1" ht="13.5" customHeight="1">
      <c r="A517" s="1183"/>
      <c r="B517" s="1261"/>
      <c r="C517" s="1255"/>
      <c r="D517" s="84">
        <v>2020</v>
      </c>
      <c r="E517" s="85">
        <f>F517+G517+H517+I517+J517</f>
        <v>22.3827</v>
      </c>
      <c r="F517" s="85">
        <v>0</v>
      </c>
      <c r="G517" s="85">
        <v>0</v>
      </c>
      <c r="H517" s="85">
        <v>21.711200000000002</v>
      </c>
      <c r="I517" s="85">
        <v>0</v>
      </c>
      <c r="J517" s="85">
        <v>0.67149999999999999</v>
      </c>
      <c r="K517" s="148">
        <v>0</v>
      </c>
      <c r="L517" s="497">
        <f t="shared" si="199"/>
        <v>22.3827</v>
      </c>
      <c r="M517" s="109"/>
      <c r="N517" s="110"/>
      <c r="O517" s="111"/>
      <c r="P517" s="1225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2"/>
    </row>
    <row r="518" spans="1:58" s="82" customFormat="1" ht="36.75" customHeight="1">
      <c r="A518" s="1183"/>
      <c r="B518" s="1261"/>
      <c r="C518" s="1255"/>
      <c r="D518" s="84">
        <v>2021</v>
      </c>
      <c r="E518" s="85">
        <f>F518+G518+H518+I518+J518</f>
        <v>82.583199999999991</v>
      </c>
      <c r="F518" s="85">
        <v>0</v>
      </c>
      <c r="G518" s="85">
        <v>0</v>
      </c>
      <c r="H518" s="85">
        <v>80.105599999999995</v>
      </c>
      <c r="I518" s="85">
        <v>0</v>
      </c>
      <c r="J518" s="85">
        <v>2.4775999999999998</v>
      </c>
      <c r="K518" s="148">
        <v>0</v>
      </c>
      <c r="L518" s="497">
        <f t="shared" si="199"/>
        <v>82.583199999999991</v>
      </c>
      <c r="M518" s="109"/>
      <c r="N518" s="110"/>
      <c r="O518" s="111"/>
      <c r="P518" s="1225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2"/>
    </row>
    <row r="519" spans="1:58" s="82" customFormat="1" ht="18" customHeight="1">
      <c r="A519" s="1128" t="s">
        <v>206</v>
      </c>
      <c r="B519" s="1080" t="s">
        <v>675</v>
      </c>
      <c r="C519" s="1224" t="s">
        <v>599</v>
      </c>
      <c r="D519" s="84" t="s">
        <v>16</v>
      </c>
      <c r="E519" s="85">
        <f>E520+E521+E522+E523+E524+E525</f>
        <v>9009.9490000000005</v>
      </c>
      <c r="F519" s="85">
        <f>F520</f>
        <v>0</v>
      </c>
      <c r="G519" s="85">
        <f>G520</f>
        <v>0</v>
      </c>
      <c r="H519" s="85">
        <f>H520</f>
        <v>0</v>
      </c>
      <c r="I519" s="85">
        <f>I520+I521+I522+I523+I524+I525</f>
        <v>9009.9490000000005</v>
      </c>
      <c r="J519" s="85">
        <f>J520</f>
        <v>0</v>
      </c>
      <c r="K519" s="148">
        <v>0</v>
      </c>
      <c r="L519" s="497">
        <f t="shared" si="199"/>
        <v>9009.9490000000005</v>
      </c>
      <c r="M519" s="1303"/>
      <c r="N519" s="1011">
        <v>50</v>
      </c>
      <c r="O519" s="1006"/>
      <c r="P519" s="1286" t="s">
        <v>676</v>
      </c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  <c r="AF519" s="91"/>
      <c r="AG519" s="91"/>
      <c r="AH519" s="91"/>
      <c r="AI519" s="91"/>
      <c r="AJ519" s="91"/>
      <c r="AK519" s="91"/>
      <c r="AL519" s="91"/>
      <c r="AM519" s="91"/>
      <c r="AN519" s="91"/>
      <c r="AO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2"/>
    </row>
    <row r="520" spans="1:58" s="82" customFormat="1" ht="24.75" customHeight="1">
      <c r="A520" s="1183"/>
      <c r="B520" s="1261"/>
      <c r="C520" s="1218"/>
      <c r="D520" s="84">
        <v>2019</v>
      </c>
      <c r="E520" s="85">
        <f t="shared" ref="E520:E525" si="200">F520+G520+H520+I520+J520</f>
        <v>589.02</v>
      </c>
      <c r="F520" s="85">
        <v>0</v>
      </c>
      <c r="G520" s="85">
        <v>0</v>
      </c>
      <c r="H520" s="85">
        <v>0</v>
      </c>
      <c r="I520" s="85">
        <v>589.02</v>
      </c>
      <c r="J520" s="85">
        <v>0</v>
      </c>
      <c r="K520" s="148">
        <v>0</v>
      </c>
      <c r="L520" s="497">
        <f t="shared" si="199"/>
        <v>589.02</v>
      </c>
      <c r="M520" s="1065"/>
      <c r="N520" s="1011"/>
      <c r="O520" s="1007"/>
      <c r="P520" s="1300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  <c r="AN520" s="91"/>
      <c r="AO520" s="91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91"/>
      <c r="BE520" s="91"/>
      <c r="BF520" s="92"/>
    </row>
    <row r="521" spans="1:58" s="82" customFormat="1">
      <c r="A521" s="1183"/>
      <c r="B521" s="1261"/>
      <c r="C521" s="571"/>
      <c r="D521" s="84">
        <v>2020</v>
      </c>
      <c r="E521" s="85">
        <f t="shared" si="200"/>
        <v>4620.8</v>
      </c>
      <c r="F521" s="85">
        <v>0</v>
      </c>
      <c r="G521" s="85">
        <v>0</v>
      </c>
      <c r="H521" s="85">
        <v>0</v>
      </c>
      <c r="I521" s="85">
        <v>4620.8</v>
      </c>
      <c r="J521" s="85">
        <v>0</v>
      </c>
      <c r="K521" s="148">
        <v>0</v>
      </c>
      <c r="L521" s="497">
        <f t="shared" si="199"/>
        <v>4620.8</v>
      </c>
      <c r="M521" s="686"/>
      <c r="N521" s="354"/>
      <c r="O521" s="355"/>
      <c r="P521" s="1300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  <c r="AF521" s="91"/>
      <c r="AG521" s="91"/>
      <c r="AH521" s="91"/>
      <c r="AI521" s="91"/>
      <c r="AJ521" s="91"/>
      <c r="AK521" s="91"/>
      <c r="AL521" s="91"/>
      <c r="AM521" s="91"/>
      <c r="AN521" s="91"/>
      <c r="AO521" s="91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  <c r="BF521" s="92"/>
    </row>
    <row r="522" spans="1:58" s="82" customFormat="1">
      <c r="A522" s="1183"/>
      <c r="B522" s="1261"/>
      <c r="C522" s="571"/>
      <c r="D522" s="84">
        <v>2021</v>
      </c>
      <c r="E522" s="85">
        <f t="shared" si="200"/>
        <v>2631.6289999999999</v>
      </c>
      <c r="F522" s="85">
        <v>0</v>
      </c>
      <c r="G522" s="85">
        <v>0</v>
      </c>
      <c r="H522" s="85">
        <v>0</v>
      </c>
      <c r="I522" s="85">
        <v>2631.6289999999999</v>
      </c>
      <c r="J522" s="85">
        <v>0</v>
      </c>
      <c r="K522" s="148">
        <v>0</v>
      </c>
      <c r="L522" s="497">
        <f t="shared" si="199"/>
        <v>2631.6289999999999</v>
      </c>
      <c r="M522" s="686"/>
      <c r="N522" s="354"/>
      <c r="O522" s="355"/>
      <c r="P522" s="1300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  <c r="AN522" s="91"/>
      <c r="AO522" s="91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  <c r="BF522" s="92"/>
    </row>
    <row r="523" spans="1:58" s="82" customFormat="1">
      <c r="A523" s="1183"/>
      <c r="B523" s="1261"/>
      <c r="C523" s="571"/>
      <c r="D523" s="84">
        <v>2022</v>
      </c>
      <c r="E523" s="85">
        <f t="shared" si="200"/>
        <v>595.29999999999995</v>
      </c>
      <c r="F523" s="85">
        <v>0</v>
      </c>
      <c r="G523" s="85">
        <v>0</v>
      </c>
      <c r="H523" s="85">
        <v>0</v>
      </c>
      <c r="I523" s="85">
        <v>595.29999999999995</v>
      </c>
      <c r="J523" s="85">
        <v>0</v>
      </c>
      <c r="K523" s="148">
        <v>0</v>
      </c>
      <c r="L523" s="497">
        <f t="shared" si="199"/>
        <v>595.29999999999995</v>
      </c>
      <c r="M523" s="686"/>
      <c r="N523" s="354"/>
      <c r="O523" s="355"/>
      <c r="P523" s="1300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  <c r="AF523" s="91"/>
      <c r="AG523" s="91"/>
      <c r="AH523" s="91"/>
      <c r="AI523" s="91"/>
      <c r="AJ523" s="91"/>
      <c r="AK523" s="91"/>
      <c r="AL523" s="91"/>
      <c r="AM523" s="91"/>
      <c r="AN523" s="91"/>
      <c r="AO523" s="91"/>
      <c r="AP523" s="9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91"/>
      <c r="BE523" s="91"/>
      <c r="BF523" s="92"/>
    </row>
    <row r="524" spans="1:58" s="82" customFormat="1">
      <c r="A524" s="1183"/>
      <c r="B524" s="1261"/>
      <c r="C524" s="571"/>
      <c r="D524" s="84">
        <v>2023</v>
      </c>
      <c r="E524" s="85">
        <f t="shared" si="200"/>
        <v>533.5</v>
      </c>
      <c r="F524" s="85">
        <v>0</v>
      </c>
      <c r="G524" s="85">
        <v>0</v>
      </c>
      <c r="H524" s="85">
        <v>0</v>
      </c>
      <c r="I524" s="85">
        <v>533.5</v>
      </c>
      <c r="J524" s="85">
        <v>0</v>
      </c>
      <c r="K524" s="148">
        <v>0</v>
      </c>
      <c r="L524" s="497">
        <f t="shared" si="199"/>
        <v>533.5</v>
      </c>
      <c r="M524" s="686"/>
      <c r="N524" s="354"/>
      <c r="O524" s="355"/>
      <c r="P524" s="1300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  <c r="AN524" s="91"/>
      <c r="AO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2"/>
    </row>
    <row r="525" spans="1:58" s="82" customFormat="1">
      <c r="A525" s="1184"/>
      <c r="B525" s="1288"/>
      <c r="C525" s="571"/>
      <c r="D525" s="84">
        <v>2024</v>
      </c>
      <c r="E525" s="85">
        <f t="shared" si="200"/>
        <v>39.700000000000003</v>
      </c>
      <c r="F525" s="85">
        <v>0</v>
      </c>
      <c r="G525" s="85">
        <v>0</v>
      </c>
      <c r="H525" s="85">
        <v>0</v>
      </c>
      <c r="I525" s="85">
        <v>39.700000000000003</v>
      </c>
      <c r="J525" s="85">
        <v>0</v>
      </c>
      <c r="K525" s="148">
        <v>0</v>
      </c>
      <c r="L525" s="497">
        <f t="shared" si="199"/>
        <v>39.700000000000003</v>
      </c>
      <c r="M525" s="686"/>
      <c r="N525" s="354"/>
      <c r="O525" s="355"/>
      <c r="P525" s="1299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  <c r="AF525" s="91"/>
      <c r="AG525" s="91"/>
      <c r="AH525" s="91"/>
      <c r="AI525" s="91"/>
      <c r="AJ525" s="91"/>
      <c r="AK525" s="91"/>
      <c r="AL525" s="91"/>
      <c r="AM525" s="91"/>
      <c r="AN525" s="91"/>
      <c r="AO525" s="91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  <c r="BF525" s="92"/>
    </row>
    <row r="526" spans="1:58" s="82" customFormat="1" ht="25.5" customHeight="1">
      <c r="A526" s="1069" t="s">
        <v>677</v>
      </c>
      <c r="B526" s="1224" t="s">
        <v>678</v>
      </c>
      <c r="C526" s="1224" t="s">
        <v>679</v>
      </c>
      <c r="D526" s="84" t="s">
        <v>16</v>
      </c>
      <c r="E526" s="85">
        <f t="shared" ref="E526:J526" si="201">E527+E528</f>
        <v>15.050999999999998</v>
      </c>
      <c r="F526" s="85">
        <f t="shared" si="201"/>
        <v>0</v>
      </c>
      <c r="G526" s="85">
        <f t="shared" si="201"/>
        <v>0</v>
      </c>
      <c r="H526" s="85">
        <f t="shared" si="201"/>
        <v>15</v>
      </c>
      <c r="I526" s="85">
        <f t="shared" si="201"/>
        <v>0</v>
      </c>
      <c r="J526" s="85">
        <f t="shared" si="201"/>
        <v>5.1000000000000004E-2</v>
      </c>
      <c r="K526" s="148">
        <v>0</v>
      </c>
      <c r="L526" s="497">
        <f t="shared" si="199"/>
        <v>15.051</v>
      </c>
      <c r="M526" s="356"/>
      <c r="N526" s="354"/>
      <c r="O526" s="355"/>
      <c r="P526" s="666" t="s">
        <v>571</v>
      </c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  <c r="AF526" s="91"/>
      <c r="AG526" s="91"/>
      <c r="AH526" s="91"/>
      <c r="AI526" s="91"/>
      <c r="AJ526" s="91"/>
      <c r="AK526" s="91"/>
      <c r="AL526" s="91"/>
      <c r="AM526" s="91"/>
      <c r="AN526" s="91"/>
      <c r="AO526" s="91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  <c r="BF526" s="92"/>
    </row>
    <row r="527" spans="1:58" s="82" customFormat="1">
      <c r="A527" s="1271"/>
      <c r="B527" s="1225"/>
      <c r="C527" s="1225"/>
      <c r="D527" s="84">
        <v>2020</v>
      </c>
      <c r="E527" s="85">
        <f>F527+G527+H527+I527+J527</f>
        <v>5.05</v>
      </c>
      <c r="F527" s="85">
        <v>0</v>
      </c>
      <c r="G527" s="85">
        <v>0</v>
      </c>
      <c r="H527" s="85">
        <v>5</v>
      </c>
      <c r="I527" s="85">
        <v>0</v>
      </c>
      <c r="J527" s="85">
        <v>0.05</v>
      </c>
      <c r="K527" s="148">
        <v>0</v>
      </c>
      <c r="L527" s="497">
        <f t="shared" si="199"/>
        <v>5.05</v>
      </c>
      <c r="M527" s="357" t="s">
        <v>680</v>
      </c>
      <c r="N527" s="354"/>
      <c r="O527" s="355"/>
      <c r="P527" s="679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  <c r="AF527" s="91"/>
      <c r="AG527" s="91"/>
      <c r="AH527" s="91"/>
      <c r="AI527" s="91"/>
      <c r="AJ527" s="91"/>
      <c r="AK527" s="91"/>
      <c r="AL527" s="91"/>
      <c r="AM527" s="91"/>
      <c r="AN527" s="91"/>
      <c r="AO527" s="91"/>
      <c r="AP527" s="9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91"/>
      <c r="BE527" s="91"/>
      <c r="BF527" s="92"/>
    </row>
    <row r="528" spans="1:58" s="82" customFormat="1">
      <c r="A528" s="1301"/>
      <c r="B528" s="1226"/>
      <c r="C528" s="1226"/>
      <c r="D528" s="84">
        <v>2022</v>
      </c>
      <c r="E528" s="85">
        <f>H528+J528</f>
        <v>10.000999999999999</v>
      </c>
      <c r="F528" s="85">
        <v>0</v>
      </c>
      <c r="G528" s="85">
        <v>0</v>
      </c>
      <c r="H528" s="85">
        <v>10</v>
      </c>
      <c r="I528" s="85">
        <v>0</v>
      </c>
      <c r="J528" s="85">
        <v>1E-3</v>
      </c>
      <c r="K528" s="148">
        <v>0</v>
      </c>
      <c r="L528" s="497">
        <f t="shared" si="199"/>
        <v>10.000999999999999</v>
      </c>
      <c r="M528" s="357"/>
      <c r="N528" s="354"/>
      <c r="O528" s="355"/>
      <c r="P528" s="679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  <c r="AN528" s="91"/>
      <c r="AO528" s="91"/>
      <c r="AP528" s="9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91"/>
      <c r="BE528" s="91"/>
      <c r="BF528" s="92"/>
    </row>
    <row r="529" spans="1:58" s="82" customFormat="1">
      <c r="A529" s="1069" t="s">
        <v>681</v>
      </c>
      <c r="B529" s="1080" t="s">
        <v>682</v>
      </c>
      <c r="C529" s="1224" t="s">
        <v>1404</v>
      </c>
      <c r="D529" s="84" t="s">
        <v>16</v>
      </c>
      <c r="E529" s="85">
        <f t="shared" ref="E529:J529" si="202">E530+E531</f>
        <v>1116.9765</v>
      </c>
      <c r="F529" s="85">
        <f t="shared" si="202"/>
        <v>0</v>
      </c>
      <c r="G529" s="85">
        <f t="shared" si="202"/>
        <v>211.04910000000001</v>
      </c>
      <c r="H529" s="85">
        <f t="shared" si="202"/>
        <v>905.92739999999992</v>
      </c>
      <c r="I529" s="85">
        <f t="shared" si="202"/>
        <v>0</v>
      </c>
      <c r="J529" s="85">
        <f t="shared" si="202"/>
        <v>0</v>
      </c>
      <c r="K529" s="148">
        <v>0</v>
      </c>
      <c r="L529" s="497">
        <f t="shared" si="199"/>
        <v>1116.9765</v>
      </c>
      <c r="M529" s="1012" t="s">
        <v>684</v>
      </c>
      <c r="N529" s="354"/>
      <c r="O529" s="355"/>
      <c r="P529" s="1286" t="s">
        <v>685</v>
      </c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  <c r="AN529" s="91"/>
      <c r="AO529" s="91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  <c r="BF529" s="92"/>
    </row>
    <row r="530" spans="1:58" s="82" customFormat="1" ht="21" customHeight="1">
      <c r="A530" s="1271"/>
      <c r="B530" s="1261"/>
      <c r="C530" s="1225"/>
      <c r="D530" s="84">
        <v>2019</v>
      </c>
      <c r="E530" s="85">
        <f>F530+G530+H530+I530+J530</f>
        <v>299.50909999999999</v>
      </c>
      <c r="F530" s="85">
        <v>0</v>
      </c>
      <c r="G530" s="85">
        <v>99.615399999999994</v>
      </c>
      <c r="H530" s="85">
        <v>199.8937</v>
      </c>
      <c r="I530" s="85">
        <v>0</v>
      </c>
      <c r="J530" s="85">
        <v>0</v>
      </c>
      <c r="K530" s="148">
        <v>0</v>
      </c>
      <c r="L530" s="497">
        <f t="shared" si="199"/>
        <v>299.50909999999999</v>
      </c>
      <c r="M530" s="1013"/>
      <c r="N530" s="354"/>
      <c r="O530" s="355"/>
      <c r="P530" s="1300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  <c r="AF530" s="91"/>
      <c r="AG530" s="91"/>
      <c r="AH530" s="91"/>
      <c r="AI530" s="91"/>
      <c r="AJ530" s="91"/>
      <c r="AK530" s="91"/>
      <c r="AL530" s="91"/>
      <c r="AM530" s="91"/>
      <c r="AN530" s="91"/>
      <c r="AO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  <c r="BF530" s="92"/>
    </row>
    <row r="531" spans="1:58" s="82" customFormat="1" ht="53.25" customHeight="1">
      <c r="A531" s="1301"/>
      <c r="B531" s="1288"/>
      <c r="C531" s="1226"/>
      <c r="D531" s="84">
        <v>2020</v>
      </c>
      <c r="E531" s="85">
        <f>F531+G531+H531+I531+J531</f>
        <v>817.4674</v>
      </c>
      <c r="F531" s="85">
        <v>0</v>
      </c>
      <c r="G531" s="85">
        <v>111.4337</v>
      </c>
      <c r="H531" s="85">
        <v>706.03369999999995</v>
      </c>
      <c r="I531" s="85">
        <v>0</v>
      </c>
      <c r="J531" s="85">
        <v>0</v>
      </c>
      <c r="K531" s="148">
        <v>0</v>
      </c>
      <c r="L531" s="497">
        <f t="shared" si="199"/>
        <v>817.4674</v>
      </c>
      <c r="M531" s="1014"/>
      <c r="N531" s="354"/>
      <c r="O531" s="355"/>
      <c r="P531" s="1299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  <c r="BF531" s="92"/>
    </row>
    <row r="532" spans="1:58" s="82" customFormat="1" ht="12.75" customHeight="1">
      <c r="A532" s="1306" t="s">
        <v>681</v>
      </c>
      <c r="B532" s="1223" t="s">
        <v>1186</v>
      </c>
      <c r="C532" s="1245" t="s">
        <v>1404</v>
      </c>
      <c r="D532" s="84" t="s">
        <v>16</v>
      </c>
      <c r="E532" s="85">
        <f t="shared" ref="E532:J532" si="203">E533</f>
        <v>59.726100000000002</v>
      </c>
      <c r="F532" s="85">
        <f t="shared" si="203"/>
        <v>0</v>
      </c>
      <c r="G532" s="85">
        <f t="shared" si="203"/>
        <v>0</v>
      </c>
      <c r="H532" s="85">
        <f t="shared" si="203"/>
        <v>59.726100000000002</v>
      </c>
      <c r="I532" s="85">
        <f t="shared" si="203"/>
        <v>0</v>
      </c>
      <c r="J532" s="85">
        <f t="shared" si="203"/>
        <v>0</v>
      </c>
      <c r="K532" s="148">
        <v>0</v>
      </c>
      <c r="L532" s="474">
        <f t="shared" si="199"/>
        <v>59.726100000000002</v>
      </c>
      <c r="M532" s="664"/>
      <c r="N532" s="195"/>
      <c r="O532" s="355"/>
      <c r="P532" s="1286" t="s">
        <v>1187</v>
      </c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  <c r="AN532" s="91"/>
      <c r="AO532" s="91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  <c r="BF532" s="92"/>
    </row>
    <row r="533" spans="1:58" s="82" customFormat="1" ht="45" customHeight="1">
      <c r="A533" s="1306"/>
      <c r="B533" s="1223"/>
      <c r="C533" s="1245"/>
      <c r="D533" s="84">
        <v>2021</v>
      </c>
      <c r="E533" s="85">
        <f>F533+G533+H533+I533+J533</f>
        <v>59.726100000000002</v>
      </c>
      <c r="F533" s="85">
        <v>0</v>
      </c>
      <c r="G533" s="85">
        <v>0</v>
      </c>
      <c r="H533" s="85">
        <v>59.726100000000002</v>
      </c>
      <c r="I533" s="85">
        <v>0</v>
      </c>
      <c r="J533" s="85">
        <v>0</v>
      </c>
      <c r="K533" s="148">
        <v>0</v>
      </c>
      <c r="L533" s="474">
        <f t="shared" si="199"/>
        <v>59.726100000000002</v>
      </c>
      <c r="M533" s="687" t="s">
        <v>1188</v>
      </c>
      <c r="N533" s="195"/>
      <c r="O533" s="355"/>
      <c r="P533" s="1300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  <c r="AN533" s="91"/>
      <c r="AO533" s="91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91"/>
      <c r="BE533" s="91"/>
      <c r="BF533" s="92"/>
    </row>
    <row r="534" spans="1:58" s="82" customFormat="1" ht="21" customHeight="1">
      <c r="A534" s="1306" t="s">
        <v>686</v>
      </c>
      <c r="B534" s="1245" t="s">
        <v>687</v>
      </c>
      <c r="C534" s="1224" t="s">
        <v>362</v>
      </c>
      <c r="D534" s="84" t="s">
        <v>16</v>
      </c>
      <c r="E534" s="85">
        <f>E535+E537+E538+E539+E540+E541+E542</f>
        <v>74.458399999999983</v>
      </c>
      <c r="F534" s="85">
        <f>F535+F537+F538+F539+F540+F541+F542</f>
        <v>74.458399999999983</v>
      </c>
      <c r="G534" s="85">
        <f>G535+G537+G538</f>
        <v>0</v>
      </c>
      <c r="H534" s="85">
        <f>H535+H537+H538</f>
        <v>0</v>
      </c>
      <c r="I534" s="85">
        <f>I535+I537+I538</f>
        <v>0</v>
      </c>
      <c r="J534" s="85">
        <f>J535+J537+J538</f>
        <v>0</v>
      </c>
      <c r="K534" s="148">
        <v>0</v>
      </c>
      <c r="L534" s="497">
        <f t="shared" si="199"/>
        <v>74.458399999999983</v>
      </c>
      <c r="M534" s="688"/>
      <c r="N534" s="354"/>
      <c r="O534" s="355"/>
      <c r="P534" s="1286" t="s">
        <v>405</v>
      </c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  <c r="AF534" s="91"/>
      <c r="AG534" s="91"/>
      <c r="AH534" s="91"/>
      <c r="AI534" s="91"/>
      <c r="AJ534" s="91"/>
      <c r="AK534" s="91"/>
      <c r="AL534" s="91"/>
      <c r="AM534" s="91"/>
      <c r="AN534" s="91"/>
      <c r="AO534" s="91"/>
      <c r="AP534" s="9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91"/>
      <c r="BE534" s="91"/>
      <c r="BF534" s="92"/>
    </row>
    <row r="535" spans="1:58" s="82" customFormat="1" ht="32.25" customHeight="1">
      <c r="A535" s="1306"/>
      <c r="B535" s="1245"/>
      <c r="C535" s="1226"/>
      <c r="D535" s="84">
        <v>2019</v>
      </c>
      <c r="E535" s="85">
        <f>F535+G535+H535+I535+J535</f>
        <v>7.9199000000000002</v>
      </c>
      <c r="F535" s="85">
        <v>7.9199000000000002</v>
      </c>
      <c r="G535" s="85">
        <v>0</v>
      </c>
      <c r="H535" s="85">
        <v>0</v>
      </c>
      <c r="I535" s="85">
        <v>0</v>
      </c>
      <c r="J535" s="85">
        <v>0</v>
      </c>
      <c r="K535" s="148">
        <v>0</v>
      </c>
      <c r="L535" s="497">
        <f t="shared" si="199"/>
        <v>7.9199000000000002</v>
      </c>
      <c r="M535" s="688"/>
      <c r="N535" s="354"/>
      <c r="O535" s="355"/>
      <c r="P535" s="1300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  <c r="AF535" s="91"/>
      <c r="AG535" s="91"/>
      <c r="AH535" s="91"/>
      <c r="AI535" s="91"/>
      <c r="AJ535" s="91"/>
      <c r="AK535" s="91"/>
      <c r="AL535" s="91"/>
      <c r="AM535" s="91"/>
      <c r="AN535" s="91"/>
      <c r="AO535" s="91"/>
      <c r="AP535" s="9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91"/>
      <c r="BE535" s="91"/>
      <c r="BF535" s="92"/>
    </row>
    <row r="536" spans="1:58" s="82" customFormat="1" ht="32.25" customHeight="1">
      <c r="A536" s="1069" t="s">
        <v>1189</v>
      </c>
      <c r="B536" s="1224" t="s">
        <v>688</v>
      </c>
      <c r="C536" s="1224" t="s">
        <v>1405</v>
      </c>
      <c r="D536" s="84" t="s">
        <v>16</v>
      </c>
      <c r="E536" s="85">
        <f>E537+E538+E539+E540+E541+E542</f>
        <v>66.538499999999985</v>
      </c>
      <c r="F536" s="85">
        <f>F537+F538+F539+F540+F541+F542</f>
        <v>66.538499999999985</v>
      </c>
      <c r="G536" s="85">
        <f>G537+G539+G540</f>
        <v>0</v>
      </c>
      <c r="H536" s="85">
        <f>H537+H539+H540</f>
        <v>0</v>
      </c>
      <c r="I536" s="85">
        <f>I537+I539+I540</f>
        <v>0</v>
      </c>
      <c r="J536" s="85">
        <f>J537+J539+J540</f>
        <v>0</v>
      </c>
      <c r="K536" s="148">
        <v>0</v>
      </c>
      <c r="L536" s="497"/>
      <c r="M536" s="688"/>
      <c r="N536" s="354"/>
      <c r="O536" s="355"/>
      <c r="P536" s="1300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2"/>
    </row>
    <row r="537" spans="1:58" s="82" customFormat="1" ht="12.75" customHeight="1">
      <c r="A537" s="1271"/>
      <c r="B537" s="1225"/>
      <c r="C537" s="1225"/>
      <c r="D537" s="84">
        <v>2020</v>
      </c>
      <c r="E537" s="85">
        <f t="shared" ref="E537:E542" si="204">F537+G537+H537+I537+J537</f>
        <v>8.3096999999999994</v>
      </c>
      <c r="F537" s="85">
        <v>8.3096999999999994</v>
      </c>
      <c r="G537" s="85">
        <v>0</v>
      </c>
      <c r="H537" s="85">
        <v>0</v>
      </c>
      <c r="I537" s="85">
        <v>0</v>
      </c>
      <c r="J537" s="85">
        <v>0</v>
      </c>
      <c r="K537" s="148">
        <v>0</v>
      </c>
      <c r="L537" s="497">
        <f t="shared" ref="L537:L545" si="205">F537+G537+H537+I537+J537</f>
        <v>8.3096999999999994</v>
      </c>
      <c r="M537" s="688"/>
      <c r="N537" s="354"/>
      <c r="O537" s="355"/>
      <c r="P537" s="1300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2"/>
    </row>
    <row r="538" spans="1:58" s="82" customFormat="1" ht="12.75" customHeight="1">
      <c r="A538" s="1271"/>
      <c r="B538" s="1225"/>
      <c r="C538" s="1225"/>
      <c r="D538" s="84">
        <v>2021</v>
      </c>
      <c r="E538" s="85">
        <f t="shared" si="204"/>
        <v>8.4665999999999997</v>
      </c>
      <c r="F538" s="85">
        <v>8.4665999999999997</v>
      </c>
      <c r="G538" s="85">
        <v>0</v>
      </c>
      <c r="H538" s="85">
        <v>0</v>
      </c>
      <c r="I538" s="85">
        <v>0</v>
      </c>
      <c r="J538" s="85">
        <v>0</v>
      </c>
      <c r="K538" s="148">
        <v>0</v>
      </c>
      <c r="L538" s="497">
        <f t="shared" si="205"/>
        <v>8.4665999999999997</v>
      </c>
      <c r="M538" s="688"/>
      <c r="N538" s="354"/>
      <c r="O538" s="355"/>
      <c r="P538" s="1300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9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91"/>
      <c r="BE538" s="91"/>
      <c r="BF538" s="92"/>
    </row>
    <row r="539" spans="1:58" s="82" customFormat="1">
      <c r="A539" s="1271"/>
      <c r="B539" s="1225"/>
      <c r="C539" s="1225"/>
      <c r="D539" s="84">
        <v>2022</v>
      </c>
      <c r="E539" s="85">
        <f t="shared" si="204"/>
        <v>8.8742999999999999</v>
      </c>
      <c r="F539" s="85">
        <v>8.8742999999999999</v>
      </c>
      <c r="G539" s="85">
        <v>0</v>
      </c>
      <c r="H539" s="85">
        <v>0</v>
      </c>
      <c r="I539" s="85">
        <v>0</v>
      </c>
      <c r="J539" s="85">
        <v>0</v>
      </c>
      <c r="K539" s="148">
        <v>0</v>
      </c>
      <c r="L539" s="497">
        <f t="shared" si="205"/>
        <v>8.8742999999999999</v>
      </c>
      <c r="M539" s="688"/>
      <c r="N539" s="354"/>
      <c r="O539" s="355"/>
      <c r="P539" s="1300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  <c r="AF539" s="91"/>
      <c r="AG539" s="91"/>
      <c r="AH539" s="91"/>
      <c r="AI539" s="91"/>
      <c r="AJ539" s="91"/>
      <c r="AK539" s="91"/>
      <c r="AL539" s="91"/>
      <c r="AM539" s="91"/>
      <c r="AN539" s="91"/>
      <c r="AO539" s="91"/>
      <c r="AP539" s="9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91"/>
      <c r="BE539" s="91"/>
      <c r="BF539" s="92"/>
    </row>
    <row r="540" spans="1:58" s="82" customFormat="1" ht="17.25" customHeight="1">
      <c r="A540" s="1271"/>
      <c r="B540" s="1225"/>
      <c r="C540" s="1225"/>
      <c r="D540" s="84">
        <v>2023</v>
      </c>
      <c r="E540" s="85">
        <f t="shared" si="204"/>
        <v>13.0984</v>
      </c>
      <c r="F540" s="85">
        <v>13.0984</v>
      </c>
      <c r="G540" s="85">
        <v>0</v>
      </c>
      <c r="H540" s="85">
        <v>0</v>
      </c>
      <c r="I540" s="85">
        <v>0</v>
      </c>
      <c r="J540" s="85">
        <v>0</v>
      </c>
      <c r="K540" s="148">
        <v>0</v>
      </c>
      <c r="L540" s="497">
        <f t="shared" si="205"/>
        <v>13.0984</v>
      </c>
      <c r="M540" s="688"/>
      <c r="N540" s="354"/>
      <c r="O540" s="355"/>
      <c r="P540" s="1300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  <c r="AF540" s="91"/>
      <c r="AG540" s="91"/>
      <c r="AH540" s="91"/>
      <c r="AI540" s="91"/>
      <c r="AJ540" s="91"/>
      <c r="AK540" s="91"/>
      <c r="AL540" s="91"/>
      <c r="AM540" s="91"/>
      <c r="AN540" s="91"/>
      <c r="AO540" s="91"/>
      <c r="AP540" s="9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91"/>
      <c r="BE540" s="91"/>
      <c r="BF540" s="92"/>
    </row>
    <row r="541" spans="1:58" s="82" customFormat="1">
      <c r="A541" s="1271"/>
      <c r="B541" s="1225"/>
      <c r="C541" s="1225"/>
      <c r="D541" s="84">
        <v>2024</v>
      </c>
      <c r="E541" s="85">
        <f t="shared" si="204"/>
        <v>13.622299999999999</v>
      </c>
      <c r="F541" s="85">
        <v>13.622299999999999</v>
      </c>
      <c r="G541" s="85">
        <v>0</v>
      </c>
      <c r="H541" s="85">
        <v>0</v>
      </c>
      <c r="I541" s="85">
        <v>0</v>
      </c>
      <c r="J541" s="85">
        <v>0</v>
      </c>
      <c r="K541" s="148">
        <v>0</v>
      </c>
      <c r="L541" s="497">
        <f t="shared" si="205"/>
        <v>13.622299999999999</v>
      </c>
      <c r="M541" s="688"/>
      <c r="N541" s="354"/>
      <c r="O541" s="355"/>
      <c r="P541" s="1300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  <c r="AF541" s="91"/>
      <c r="AG541" s="91"/>
      <c r="AH541" s="91"/>
      <c r="AI541" s="91"/>
      <c r="AJ541" s="91"/>
      <c r="AK541" s="91"/>
      <c r="AL541" s="91"/>
      <c r="AM541" s="91"/>
      <c r="AN541" s="91"/>
      <c r="AO541" s="91"/>
      <c r="AP541" s="9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91"/>
      <c r="BE541" s="91"/>
      <c r="BF541" s="92"/>
    </row>
    <row r="542" spans="1:58" s="82" customFormat="1">
      <c r="A542" s="1301"/>
      <c r="B542" s="1226"/>
      <c r="C542" s="1226"/>
      <c r="D542" s="84">
        <v>2025</v>
      </c>
      <c r="E542" s="85">
        <f t="shared" si="204"/>
        <v>14.167199999999999</v>
      </c>
      <c r="F542" s="533">
        <v>14.167199999999999</v>
      </c>
      <c r="G542" s="85">
        <v>0</v>
      </c>
      <c r="H542" s="85">
        <v>0</v>
      </c>
      <c r="I542" s="85">
        <v>0</v>
      </c>
      <c r="J542" s="85">
        <v>0</v>
      </c>
      <c r="K542" s="148">
        <v>0</v>
      </c>
      <c r="L542" s="497">
        <f t="shared" si="205"/>
        <v>14.167199999999999</v>
      </c>
      <c r="M542" s="688"/>
      <c r="N542" s="354"/>
      <c r="O542" s="355"/>
      <c r="P542" s="1299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  <c r="AF542" s="91"/>
      <c r="AG542" s="91"/>
      <c r="AH542" s="91"/>
      <c r="AI542" s="91"/>
      <c r="AJ542" s="91"/>
      <c r="AK542" s="91"/>
      <c r="AL542" s="91"/>
      <c r="AM542" s="91"/>
      <c r="AN542" s="91"/>
      <c r="AO542" s="91"/>
      <c r="AP542" s="9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91"/>
      <c r="BE542" s="91"/>
      <c r="BF542" s="92"/>
    </row>
    <row r="543" spans="1:58" s="82" customFormat="1" ht="12.75" customHeight="1">
      <c r="A543" s="1069" t="s">
        <v>1190</v>
      </c>
      <c r="B543" s="1262" t="s">
        <v>691</v>
      </c>
      <c r="C543" s="1262" t="s">
        <v>362</v>
      </c>
      <c r="D543" s="84" t="s">
        <v>16</v>
      </c>
      <c r="E543" s="85">
        <f>E544+E545</f>
        <v>12.9</v>
      </c>
      <c r="F543" s="85">
        <f>F544+F545</f>
        <v>12.9</v>
      </c>
      <c r="G543" s="85">
        <f>G544</f>
        <v>0</v>
      </c>
      <c r="H543" s="85">
        <f>H544</f>
        <v>0</v>
      </c>
      <c r="I543" s="85">
        <f>I544</f>
        <v>0</v>
      </c>
      <c r="J543" s="85">
        <f>J544</f>
        <v>0</v>
      </c>
      <c r="K543" s="148">
        <v>0</v>
      </c>
      <c r="L543" s="497">
        <f t="shared" si="205"/>
        <v>12.9</v>
      </c>
      <c r="M543" s="688"/>
      <c r="N543" s="354"/>
      <c r="O543" s="355"/>
      <c r="P543" s="1286" t="s">
        <v>405</v>
      </c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  <c r="AN543" s="91"/>
      <c r="AO543" s="91"/>
      <c r="AP543" s="9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91"/>
      <c r="BE543" s="91"/>
      <c r="BF543" s="92"/>
    </row>
    <row r="544" spans="1:58" s="82" customFormat="1" ht="69.75" customHeight="1">
      <c r="A544" s="1271"/>
      <c r="B544" s="1263"/>
      <c r="C544" s="1263"/>
      <c r="D544" s="84">
        <v>2019</v>
      </c>
      <c r="E544" s="85">
        <f>F544+G544+H544+I544+J544</f>
        <v>9.9</v>
      </c>
      <c r="F544" s="85">
        <v>9.9</v>
      </c>
      <c r="G544" s="85">
        <v>0</v>
      </c>
      <c r="H544" s="85">
        <v>0</v>
      </c>
      <c r="I544" s="85">
        <v>0</v>
      </c>
      <c r="J544" s="85">
        <v>0</v>
      </c>
      <c r="K544" s="148">
        <v>0</v>
      </c>
      <c r="L544" s="497">
        <f t="shared" si="205"/>
        <v>9.9</v>
      </c>
      <c r="M544" s="688"/>
      <c r="N544" s="354"/>
      <c r="O544" s="355"/>
      <c r="P544" s="1300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  <c r="AN544" s="91"/>
      <c r="AO544" s="91"/>
      <c r="AP544" s="9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91"/>
      <c r="BE544" s="91"/>
      <c r="BF544" s="92"/>
    </row>
    <row r="545" spans="1:138" s="82" customFormat="1" ht="19.5" customHeight="1">
      <c r="A545" s="1301"/>
      <c r="B545" s="1274"/>
      <c r="C545" s="1274"/>
      <c r="D545" s="84">
        <v>2020</v>
      </c>
      <c r="E545" s="85">
        <f>F545+G545+H545+I545+J545</f>
        <v>3</v>
      </c>
      <c r="F545" s="85">
        <v>3</v>
      </c>
      <c r="G545" s="85">
        <v>0</v>
      </c>
      <c r="H545" s="85">
        <v>0</v>
      </c>
      <c r="I545" s="85">
        <v>0</v>
      </c>
      <c r="J545" s="85">
        <v>0</v>
      </c>
      <c r="K545" s="148">
        <v>0</v>
      </c>
      <c r="L545" s="497">
        <f t="shared" si="205"/>
        <v>3</v>
      </c>
      <c r="M545" s="688"/>
      <c r="N545" s="354"/>
      <c r="O545" s="355"/>
      <c r="P545" s="1299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  <c r="AN545" s="91"/>
      <c r="AO545" s="91"/>
      <c r="AP545" s="9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91"/>
      <c r="BE545" s="91"/>
      <c r="BF545" s="92"/>
    </row>
    <row r="546" spans="1:138" s="82" customFormat="1" ht="25.5" customHeight="1">
      <c r="A546" s="1307" t="s">
        <v>1192</v>
      </c>
      <c r="B546" s="1262" t="s">
        <v>1194</v>
      </c>
      <c r="C546" s="1262" t="s">
        <v>1195</v>
      </c>
      <c r="D546" s="84" t="s">
        <v>16</v>
      </c>
      <c r="E546" s="85">
        <f t="shared" ref="E546:J546" si="206">E547+E548</f>
        <v>1.85</v>
      </c>
      <c r="F546" s="85">
        <f t="shared" si="206"/>
        <v>0</v>
      </c>
      <c r="G546" s="85">
        <f t="shared" si="206"/>
        <v>0</v>
      </c>
      <c r="H546" s="85">
        <f t="shared" si="206"/>
        <v>0</v>
      </c>
      <c r="I546" s="85">
        <f t="shared" si="206"/>
        <v>0</v>
      </c>
      <c r="J546" s="85">
        <f t="shared" si="206"/>
        <v>1.85</v>
      </c>
      <c r="K546" s="148">
        <v>0</v>
      </c>
      <c r="L546" s="497"/>
      <c r="M546" s="688"/>
      <c r="N546" s="354"/>
      <c r="O546" s="355"/>
      <c r="P546" s="1286" t="s">
        <v>1196</v>
      </c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  <c r="AN546" s="91"/>
      <c r="AO546" s="91"/>
      <c r="AP546" s="9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  <c r="BF546" s="92"/>
      <c r="EH546" s="533" t="s">
        <v>1197</v>
      </c>
    </row>
    <row r="547" spans="1:138" s="82" customFormat="1">
      <c r="A547" s="1308"/>
      <c r="B547" s="1263"/>
      <c r="C547" s="1263"/>
      <c r="D547" s="84">
        <v>2021</v>
      </c>
      <c r="E547" s="85">
        <f>F547+G547+H547+I547+J547</f>
        <v>0.95</v>
      </c>
      <c r="F547" s="85">
        <v>0</v>
      </c>
      <c r="G547" s="85">
        <v>0</v>
      </c>
      <c r="H547" s="85">
        <v>0</v>
      </c>
      <c r="I547" s="85">
        <v>0</v>
      </c>
      <c r="J547" s="85">
        <v>0.95</v>
      </c>
      <c r="K547" s="148">
        <v>0</v>
      </c>
      <c r="L547" s="497"/>
      <c r="M547" s="688"/>
      <c r="N547" s="354"/>
      <c r="O547" s="355"/>
      <c r="P547" s="1300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  <c r="AF547" s="91"/>
      <c r="AG547" s="91"/>
      <c r="AH547" s="91"/>
      <c r="AI547" s="91"/>
      <c r="AJ547" s="91"/>
      <c r="AK547" s="91"/>
      <c r="AL547" s="91"/>
      <c r="AM547" s="91"/>
      <c r="AN547" s="91"/>
      <c r="AO547" s="91"/>
      <c r="AP547" s="9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91"/>
      <c r="BE547" s="91"/>
      <c r="BF547" s="92"/>
    </row>
    <row r="548" spans="1:138" s="82" customFormat="1">
      <c r="A548" s="1309"/>
      <c r="B548" s="1274"/>
      <c r="C548" s="1274"/>
      <c r="D548" s="84">
        <v>2022</v>
      </c>
      <c r="E548" s="85">
        <f>F548+G548+H548+I548+J548</f>
        <v>0.9</v>
      </c>
      <c r="F548" s="85">
        <v>0</v>
      </c>
      <c r="G548" s="85">
        <v>0</v>
      </c>
      <c r="H548" s="85">
        <v>0</v>
      </c>
      <c r="I548" s="85">
        <v>0</v>
      </c>
      <c r="J548" s="85">
        <v>0.9</v>
      </c>
      <c r="K548" s="148">
        <v>0</v>
      </c>
      <c r="L548" s="497"/>
      <c r="M548" s="688"/>
      <c r="N548" s="354"/>
      <c r="O548" s="355"/>
      <c r="P548" s="1299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  <c r="AF548" s="91"/>
      <c r="AG548" s="91"/>
      <c r="AH548" s="91"/>
      <c r="AI548" s="91"/>
      <c r="AJ548" s="91"/>
      <c r="AK548" s="91"/>
      <c r="AL548" s="91"/>
      <c r="AM548" s="91"/>
      <c r="AN548" s="91"/>
      <c r="AO548" s="91"/>
      <c r="AP548" s="9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91"/>
      <c r="BE548" s="91"/>
      <c r="BF548" s="92"/>
    </row>
    <row r="549" spans="1:138" s="82" customFormat="1" ht="120" customHeight="1">
      <c r="A549" s="1307" t="s">
        <v>1193</v>
      </c>
      <c r="B549" s="1262" t="s">
        <v>1199</v>
      </c>
      <c r="C549" s="1262" t="s">
        <v>1200</v>
      </c>
      <c r="D549" s="84" t="s">
        <v>16</v>
      </c>
      <c r="E549" s="85">
        <f>E550+E551</f>
        <v>4.7851999999999997</v>
      </c>
      <c r="F549" s="85">
        <f>F550+F551</f>
        <v>0</v>
      </c>
      <c r="G549" s="85">
        <f>G550</f>
        <v>0</v>
      </c>
      <c r="H549" s="85">
        <f>H550</f>
        <v>0.68520000000000003</v>
      </c>
      <c r="I549" s="85">
        <f>I550</f>
        <v>0</v>
      </c>
      <c r="J549" s="85">
        <f>J550</f>
        <v>4.0999999999999996</v>
      </c>
      <c r="K549" s="148">
        <v>0</v>
      </c>
      <c r="L549" s="497"/>
      <c r="M549" s="688"/>
      <c r="N549" s="354"/>
      <c r="O549" s="355"/>
      <c r="P549" s="1286" t="s">
        <v>611</v>
      </c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  <c r="AF549" s="91"/>
      <c r="AG549" s="91"/>
      <c r="AH549" s="91"/>
      <c r="AI549" s="91"/>
      <c r="AJ549" s="91"/>
      <c r="AK549" s="91"/>
      <c r="AL549" s="91"/>
      <c r="AM549" s="91"/>
      <c r="AN549" s="91"/>
      <c r="AO549" s="91"/>
      <c r="AP549" s="9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91"/>
      <c r="BE549" s="91"/>
      <c r="BF549" s="92"/>
    </row>
    <row r="550" spans="1:138" s="82" customFormat="1" ht="21.75" customHeight="1">
      <c r="A550" s="1309"/>
      <c r="B550" s="1274"/>
      <c r="C550" s="1274"/>
      <c r="D550" s="84">
        <v>2021</v>
      </c>
      <c r="E550" s="85">
        <f>F550+G550+H550+I550+J550</f>
        <v>4.7851999999999997</v>
      </c>
      <c r="F550" s="85">
        <v>0</v>
      </c>
      <c r="G550" s="85">
        <v>0</v>
      </c>
      <c r="H550" s="689">
        <v>0.68520000000000003</v>
      </c>
      <c r="I550" s="690">
        <v>0</v>
      </c>
      <c r="J550" s="690">
        <v>4.0999999999999996</v>
      </c>
      <c r="K550" s="148">
        <v>0</v>
      </c>
      <c r="L550" s="691" t="s">
        <v>1201</v>
      </c>
      <c r="M550" s="688" t="s">
        <v>1202</v>
      </c>
      <c r="N550" s="354"/>
      <c r="O550" s="355"/>
      <c r="P550" s="1299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  <c r="AF550" s="91"/>
      <c r="AG550" s="91"/>
      <c r="AH550" s="91"/>
      <c r="AI550" s="91"/>
      <c r="AJ550" s="91"/>
      <c r="AK550" s="91"/>
      <c r="AL550" s="91"/>
      <c r="AM550" s="91"/>
      <c r="AN550" s="91"/>
      <c r="AO550" s="91"/>
      <c r="AP550" s="9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91"/>
      <c r="BE550" s="91"/>
      <c r="BF550" s="92"/>
    </row>
    <row r="551" spans="1:138" s="82" customFormat="1" ht="15.75">
      <c r="A551" s="279">
        <v>9</v>
      </c>
      <c r="B551" s="139" t="s">
        <v>692</v>
      </c>
      <c r="C551" s="564"/>
      <c r="D551" s="84" t="s">
        <v>16</v>
      </c>
      <c r="E551" s="85">
        <f t="shared" ref="E551:J552" si="207">E553</f>
        <v>0</v>
      </c>
      <c r="F551" s="85">
        <f t="shared" si="207"/>
        <v>0</v>
      </c>
      <c r="G551" s="85">
        <f t="shared" si="207"/>
        <v>0</v>
      </c>
      <c r="H551" s="85">
        <f t="shared" si="207"/>
        <v>0</v>
      </c>
      <c r="I551" s="85">
        <f t="shared" si="207"/>
        <v>0</v>
      </c>
      <c r="J551" s="85">
        <f t="shared" si="207"/>
        <v>0</v>
      </c>
      <c r="K551" s="148">
        <v>0</v>
      </c>
      <c r="L551" s="497">
        <f t="shared" ref="L551:L597" si="208">F551+G551+H551+I551+J551</f>
        <v>0</v>
      </c>
      <c r="M551" s="407"/>
      <c r="N551" s="354"/>
      <c r="O551" s="355"/>
      <c r="P551" s="678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  <c r="AF551" s="91"/>
      <c r="AG551" s="91"/>
      <c r="AH551" s="91"/>
      <c r="AI551" s="91"/>
      <c r="AJ551" s="91"/>
      <c r="AK551" s="91"/>
      <c r="AL551" s="91"/>
      <c r="AM551" s="91"/>
      <c r="AN551" s="91"/>
      <c r="AO551" s="91"/>
      <c r="AP551" s="9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91"/>
      <c r="BE551" s="91"/>
      <c r="BF551" s="92"/>
    </row>
    <row r="552" spans="1:138" s="82" customFormat="1">
      <c r="A552" s="227"/>
      <c r="B552" s="285"/>
      <c r="C552" s="571"/>
      <c r="D552" s="84" t="s">
        <v>693</v>
      </c>
      <c r="E552" s="85">
        <f t="shared" si="207"/>
        <v>0</v>
      </c>
      <c r="F552" s="85">
        <f t="shared" si="207"/>
        <v>0</v>
      </c>
      <c r="G552" s="85">
        <f t="shared" si="207"/>
        <v>0</v>
      </c>
      <c r="H552" s="85">
        <f t="shared" si="207"/>
        <v>0</v>
      </c>
      <c r="I552" s="85">
        <f t="shared" si="207"/>
        <v>0</v>
      </c>
      <c r="J552" s="85">
        <f t="shared" si="207"/>
        <v>0</v>
      </c>
      <c r="K552" s="148">
        <v>0</v>
      </c>
      <c r="L552" s="497">
        <f t="shared" si="208"/>
        <v>0</v>
      </c>
      <c r="M552" s="407"/>
      <c r="N552" s="354"/>
      <c r="O552" s="355"/>
      <c r="P552" s="678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  <c r="AF552" s="91"/>
      <c r="AG552" s="91"/>
      <c r="AH552" s="91"/>
      <c r="AI552" s="91"/>
      <c r="AJ552" s="91"/>
      <c r="AK552" s="91"/>
      <c r="AL552" s="91"/>
      <c r="AM552" s="91"/>
      <c r="AN552" s="91"/>
      <c r="AO552" s="91"/>
      <c r="AP552" s="9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91"/>
      <c r="BE552" s="91"/>
      <c r="BF552" s="92"/>
    </row>
    <row r="553" spans="1:138" s="82" customFormat="1">
      <c r="A553" s="1069" t="s">
        <v>694</v>
      </c>
      <c r="B553" s="1080" t="s">
        <v>695</v>
      </c>
      <c r="C553" s="1170"/>
      <c r="D553" s="84" t="s">
        <v>16</v>
      </c>
      <c r="E553" s="85">
        <f t="shared" ref="E553:J553" si="209">E554</f>
        <v>0</v>
      </c>
      <c r="F553" s="85">
        <f t="shared" si="209"/>
        <v>0</v>
      </c>
      <c r="G553" s="85">
        <f t="shared" si="209"/>
        <v>0</v>
      </c>
      <c r="H553" s="85">
        <f t="shared" si="209"/>
        <v>0</v>
      </c>
      <c r="I553" s="85">
        <f t="shared" si="209"/>
        <v>0</v>
      </c>
      <c r="J553" s="85">
        <f t="shared" si="209"/>
        <v>0</v>
      </c>
      <c r="K553" s="148">
        <v>0</v>
      </c>
      <c r="L553" s="497">
        <f t="shared" si="208"/>
        <v>0</v>
      </c>
      <c r="M553" s="407"/>
      <c r="N553" s="354"/>
      <c r="O553" s="355"/>
      <c r="P553" s="1286" t="s">
        <v>696</v>
      </c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  <c r="AF553" s="91"/>
      <c r="AG553" s="91"/>
      <c r="AH553" s="91"/>
      <c r="AI553" s="91"/>
      <c r="AJ553" s="91"/>
      <c r="AK553" s="91"/>
      <c r="AL553" s="91"/>
      <c r="AM553" s="91"/>
      <c r="AN553" s="91"/>
      <c r="AO553" s="91"/>
      <c r="AP553" s="9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91"/>
      <c r="BE553" s="91"/>
      <c r="BF553" s="92"/>
    </row>
    <row r="554" spans="1:138" s="82" customFormat="1" ht="25.5" customHeight="1">
      <c r="A554" s="941"/>
      <c r="B554" s="960"/>
      <c r="C554" s="1218"/>
      <c r="D554" s="84" t="s">
        <v>693</v>
      </c>
      <c r="E554" s="85">
        <f>F554+G554+H554+I554+J554</f>
        <v>0</v>
      </c>
      <c r="F554" s="85">
        <v>0</v>
      </c>
      <c r="G554" s="85">
        <v>0</v>
      </c>
      <c r="H554" s="85">
        <v>0</v>
      </c>
      <c r="I554" s="85">
        <v>0</v>
      </c>
      <c r="J554" s="85">
        <v>0</v>
      </c>
      <c r="K554" s="148">
        <v>0</v>
      </c>
      <c r="L554" s="497">
        <f t="shared" si="208"/>
        <v>0</v>
      </c>
      <c r="M554" s="407"/>
      <c r="N554" s="354"/>
      <c r="O554" s="355"/>
      <c r="P554" s="1218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  <c r="AF554" s="91"/>
      <c r="AG554" s="91"/>
      <c r="AH554" s="91"/>
      <c r="AI554" s="91"/>
      <c r="AJ554" s="91"/>
      <c r="AK554" s="91"/>
      <c r="AL554" s="91"/>
      <c r="AM554" s="91"/>
      <c r="AN554" s="91"/>
      <c r="AO554" s="91"/>
      <c r="AP554" s="9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91"/>
      <c r="BE554" s="91"/>
      <c r="BF554" s="92"/>
    </row>
    <row r="555" spans="1:138" s="367" customFormat="1" ht="15.75">
      <c r="A555" s="926" t="s">
        <v>697</v>
      </c>
      <c r="B555" s="929" t="s">
        <v>698</v>
      </c>
      <c r="C555" s="1000"/>
      <c r="D555" s="84" t="s">
        <v>16</v>
      </c>
      <c r="E555" s="136">
        <f t="shared" ref="E555:J555" si="210">SUM(E556:E567)</f>
        <v>3.3210000000000002</v>
      </c>
      <c r="F555" s="136">
        <f t="shared" si="210"/>
        <v>0</v>
      </c>
      <c r="G555" s="136">
        <f t="shared" si="210"/>
        <v>1.3180000000000001</v>
      </c>
      <c r="H555" s="136">
        <f t="shared" si="210"/>
        <v>1.0069999999999999</v>
      </c>
      <c r="I555" s="136">
        <f t="shared" si="210"/>
        <v>0.996</v>
      </c>
      <c r="J555" s="313">
        <f t="shared" si="210"/>
        <v>0</v>
      </c>
      <c r="K555" s="148">
        <v>0</v>
      </c>
      <c r="L555" s="497">
        <f t="shared" si="208"/>
        <v>3.3210000000000002</v>
      </c>
      <c r="M555" s="99"/>
      <c r="N555" s="88"/>
      <c r="O555" s="89"/>
      <c r="P555" s="676"/>
      <c r="Q555" s="368"/>
      <c r="R555" s="368"/>
      <c r="S555" s="368"/>
      <c r="T555" s="368"/>
      <c r="U555" s="368"/>
      <c r="V555" s="368"/>
      <c r="W555" s="368"/>
      <c r="X555" s="368"/>
      <c r="Y555" s="368"/>
      <c r="Z555" s="368"/>
      <c r="AA555" s="368"/>
      <c r="AB555" s="368"/>
      <c r="AC555" s="368"/>
      <c r="AD555" s="368"/>
      <c r="AE555" s="368"/>
      <c r="AF555" s="368"/>
      <c r="AG555" s="368"/>
      <c r="AH555" s="368"/>
      <c r="AI555" s="368"/>
      <c r="AJ555" s="368"/>
      <c r="AK555" s="368"/>
      <c r="AL555" s="368"/>
      <c r="AM555" s="368"/>
      <c r="AN555" s="368"/>
      <c r="AO555" s="368"/>
      <c r="AP555" s="368"/>
      <c r="AQ555" s="368"/>
      <c r="AR555" s="368"/>
      <c r="AS555" s="368"/>
      <c r="AT555" s="368"/>
      <c r="AU555" s="368"/>
      <c r="AV555" s="368"/>
      <c r="AW555" s="368"/>
      <c r="AX555" s="368"/>
      <c r="AY555" s="368"/>
      <c r="AZ555" s="368"/>
      <c r="BA555" s="368"/>
      <c r="BB555" s="368"/>
      <c r="BC555" s="368"/>
      <c r="BD555" s="368"/>
      <c r="BE555" s="368"/>
      <c r="BF555" s="369"/>
    </row>
    <row r="556" spans="1:138" s="367" customFormat="1" ht="15.75">
      <c r="A556" s="927"/>
      <c r="B556" s="960"/>
      <c r="C556" s="1218"/>
      <c r="D556" s="84">
        <v>2019</v>
      </c>
      <c r="E556" s="85">
        <f t="shared" ref="E556:J567" si="211">E569</f>
        <v>3.3210000000000002</v>
      </c>
      <c r="F556" s="85">
        <f t="shared" si="211"/>
        <v>0</v>
      </c>
      <c r="G556" s="85">
        <f t="shared" si="211"/>
        <v>1.3180000000000001</v>
      </c>
      <c r="H556" s="85">
        <f t="shared" si="211"/>
        <v>1.0069999999999999</v>
      </c>
      <c r="I556" s="85">
        <f t="shared" si="211"/>
        <v>0.996</v>
      </c>
      <c r="J556" s="85">
        <f t="shared" si="211"/>
        <v>0</v>
      </c>
      <c r="K556" s="148">
        <v>0</v>
      </c>
      <c r="L556" s="497">
        <f t="shared" si="208"/>
        <v>3.3210000000000002</v>
      </c>
      <c r="M556" s="99"/>
      <c r="N556" s="88"/>
      <c r="O556" s="89"/>
      <c r="P556" s="676"/>
      <c r="Q556" s="368"/>
      <c r="R556" s="368"/>
      <c r="S556" s="368"/>
      <c r="T556" s="368"/>
      <c r="U556" s="368"/>
      <c r="V556" s="368"/>
      <c r="W556" s="368"/>
      <c r="X556" s="368"/>
      <c r="Y556" s="368"/>
      <c r="Z556" s="368"/>
      <c r="AA556" s="368"/>
      <c r="AB556" s="368"/>
      <c r="AC556" s="368"/>
      <c r="AD556" s="368"/>
      <c r="AE556" s="368"/>
      <c r="AF556" s="368"/>
      <c r="AG556" s="368"/>
      <c r="AH556" s="368"/>
      <c r="AI556" s="368"/>
      <c r="AJ556" s="368"/>
      <c r="AK556" s="368"/>
      <c r="AL556" s="368"/>
      <c r="AM556" s="368"/>
      <c r="AN556" s="368"/>
      <c r="AO556" s="368"/>
      <c r="AP556" s="368"/>
      <c r="AQ556" s="368"/>
      <c r="AR556" s="368"/>
      <c r="AS556" s="368"/>
      <c r="AT556" s="368"/>
      <c r="AU556" s="368"/>
      <c r="AV556" s="368"/>
      <c r="AW556" s="368"/>
      <c r="AX556" s="368"/>
      <c r="AY556" s="368"/>
      <c r="AZ556" s="368"/>
      <c r="BA556" s="368"/>
      <c r="BB556" s="368"/>
      <c r="BC556" s="368"/>
      <c r="BD556" s="368"/>
      <c r="BE556" s="368"/>
      <c r="BF556" s="369"/>
    </row>
    <row r="557" spans="1:138" s="367" customFormat="1" ht="15.75">
      <c r="A557" s="927"/>
      <c r="B557" s="960"/>
      <c r="C557" s="1218"/>
      <c r="D557" s="84">
        <v>2020</v>
      </c>
      <c r="E557" s="85">
        <f t="shared" si="211"/>
        <v>0</v>
      </c>
      <c r="F557" s="85">
        <f t="shared" si="211"/>
        <v>0</v>
      </c>
      <c r="G557" s="85">
        <f t="shared" si="211"/>
        <v>0</v>
      </c>
      <c r="H557" s="85">
        <f t="shared" si="211"/>
        <v>0</v>
      </c>
      <c r="I557" s="85">
        <f t="shared" si="211"/>
        <v>0</v>
      </c>
      <c r="J557" s="85">
        <f t="shared" si="211"/>
        <v>0</v>
      </c>
      <c r="K557" s="148">
        <v>0</v>
      </c>
      <c r="L557" s="497">
        <f t="shared" si="208"/>
        <v>0</v>
      </c>
      <c r="M557" s="99"/>
      <c r="N557" s="88"/>
      <c r="O557" s="89"/>
      <c r="P557" s="676"/>
      <c r="Q557" s="368"/>
      <c r="R557" s="368"/>
      <c r="S557" s="368"/>
      <c r="T557" s="368"/>
      <c r="U557" s="368"/>
      <c r="V557" s="368"/>
      <c r="W557" s="368"/>
      <c r="X557" s="368"/>
      <c r="Y557" s="368"/>
      <c r="Z557" s="368"/>
      <c r="AA557" s="368"/>
      <c r="AB557" s="368"/>
      <c r="AC557" s="368"/>
      <c r="AD557" s="368"/>
      <c r="AE557" s="368"/>
      <c r="AF557" s="368"/>
      <c r="AG557" s="368"/>
      <c r="AH557" s="368"/>
      <c r="AI557" s="368"/>
      <c r="AJ557" s="368"/>
      <c r="AK557" s="368"/>
      <c r="AL557" s="368"/>
      <c r="AM557" s="368"/>
      <c r="AN557" s="368"/>
      <c r="AO557" s="368"/>
      <c r="AP557" s="368"/>
      <c r="AQ557" s="368"/>
      <c r="AR557" s="368"/>
      <c r="AS557" s="368"/>
      <c r="AT557" s="368"/>
      <c r="AU557" s="368"/>
      <c r="AV557" s="368"/>
      <c r="AW557" s="368"/>
      <c r="AX557" s="368"/>
      <c r="AY557" s="368"/>
      <c r="AZ557" s="368"/>
      <c r="BA557" s="368"/>
      <c r="BB557" s="368"/>
      <c r="BC557" s="368"/>
      <c r="BD557" s="368"/>
      <c r="BE557" s="368"/>
      <c r="BF557" s="369"/>
    </row>
    <row r="558" spans="1:138" s="367" customFormat="1" ht="15.75">
      <c r="A558" s="927"/>
      <c r="B558" s="960"/>
      <c r="C558" s="1218"/>
      <c r="D558" s="84">
        <v>2021</v>
      </c>
      <c r="E558" s="85">
        <f t="shared" si="211"/>
        <v>0</v>
      </c>
      <c r="F558" s="85">
        <f t="shared" si="211"/>
        <v>0</v>
      </c>
      <c r="G558" s="85">
        <f t="shared" si="211"/>
        <v>0</v>
      </c>
      <c r="H558" s="85">
        <f t="shared" si="211"/>
        <v>0</v>
      </c>
      <c r="I558" s="85">
        <f t="shared" si="211"/>
        <v>0</v>
      </c>
      <c r="J558" s="85">
        <f t="shared" si="211"/>
        <v>0</v>
      </c>
      <c r="K558" s="148">
        <v>0</v>
      </c>
      <c r="L558" s="497">
        <f t="shared" si="208"/>
        <v>0</v>
      </c>
      <c r="M558" s="99"/>
      <c r="N558" s="88"/>
      <c r="O558" s="89"/>
      <c r="P558" s="676"/>
      <c r="Q558" s="368"/>
      <c r="R558" s="368"/>
      <c r="S558" s="368"/>
      <c r="T558" s="368"/>
      <c r="U558" s="368"/>
      <c r="V558" s="368"/>
      <c r="W558" s="368"/>
      <c r="X558" s="368"/>
      <c r="Y558" s="368"/>
      <c r="Z558" s="368"/>
      <c r="AA558" s="368"/>
      <c r="AB558" s="368"/>
      <c r="AC558" s="368"/>
      <c r="AD558" s="368"/>
      <c r="AE558" s="368"/>
      <c r="AF558" s="368"/>
      <c r="AG558" s="368"/>
      <c r="AH558" s="368"/>
      <c r="AI558" s="368"/>
      <c r="AJ558" s="368"/>
      <c r="AK558" s="368"/>
      <c r="AL558" s="368"/>
      <c r="AM558" s="368"/>
      <c r="AN558" s="368"/>
      <c r="AO558" s="368"/>
      <c r="AP558" s="368"/>
      <c r="AQ558" s="368"/>
      <c r="AR558" s="368"/>
      <c r="AS558" s="368"/>
      <c r="AT558" s="368"/>
      <c r="AU558" s="368"/>
      <c r="AV558" s="368"/>
      <c r="AW558" s="368"/>
      <c r="AX558" s="368"/>
      <c r="AY558" s="368"/>
      <c r="AZ558" s="368"/>
      <c r="BA558" s="368"/>
      <c r="BB558" s="368"/>
      <c r="BC558" s="368"/>
      <c r="BD558" s="368"/>
      <c r="BE558" s="368"/>
      <c r="BF558" s="369"/>
    </row>
    <row r="559" spans="1:138" s="367" customFormat="1" ht="15.75">
      <c r="A559" s="927"/>
      <c r="B559" s="960"/>
      <c r="C559" s="1218"/>
      <c r="D559" s="84">
        <v>2022</v>
      </c>
      <c r="E559" s="85">
        <f t="shared" si="211"/>
        <v>0</v>
      </c>
      <c r="F559" s="85">
        <f t="shared" si="211"/>
        <v>0</v>
      </c>
      <c r="G559" s="85">
        <f t="shared" si="211"/>
        <v>0</v>
      </c>
      <c r="H559" s="85">
        <f t="shared" si="211"/>
        <v>0</v>
      </c>
      <c r="I559" s="85">
        <f t="shared" si="211"/>
        <v>0</v>
      </c>
      <c r="J559" s="85">
        <f t="shared" si="211"/>
        <v>0</v>
      </c>
      <c r="K559" s="148">
        <v>0</v>
      </c>
      <c r="L559" s="497">
        <f t="shared" si="208"/>
        <v>0</v>
      </c>
      <c r="M559" s="99"/>
      <c r="N559" s="88"/>
      <c r="O559" s="89"/>
      <c r="P559" s="676"/>
      <c r="Q559" s="368"/>
      <c r="R559" s="368"/>
      <c r="S559" s="368"/>
      <c r="T559" s="368"/>
      <c r="U559" s="368"/>
      <c r="V559" s="368"/>
      <c r="W559" s="368"/>
      <c r="X559" s="368"/>
      <c r="Y559" s="368"/>
      <c r="Z559" s="368"/>
      <c r="AA559" s="368"/>
      <c r="AB559" s="368"/>
      <c r="AC559" s="368"/>
      <c r="AD559" s="368"/>
      <c r="AE559" s="368"/>
      <c r="AF559" s="368"/>
      <c r="AG559" s="368"/>
      <c r="AH559" s="368"/>
      <c r="AI559" s="368"/>
      <c r="AJ559" s="368"/>
      <c r="AK559" s="368"/>
      <c r="AL559" s="368"/>
      <c r="AM559" s="368"/>
      <c r="AN559" s="368"/>
      <c r="AO559" s="368"/>
      <c r="AP559" s="368"/>
      <c r="AQ559" s="368"/>
      <c r="AR559" s="368"/>
      <c r="AS559" s="368"/>
      <c r="AT559" s="368"/>
      <c r="AU559" s="368"/>
      <c r="AV559" s="368"/>
      <c r="AW559" s="368"/>
      <c r="AX559" s="368"/>
      <c r="AY559" s="368"/>
      <c r="AZ559" s="368"/>
      <c r="BA559" s="368"/>
      <c r="BB559" s="368"/>
      <c r="BC559" s="368"/>
      <c r="BD559" s="368"/>
      <c r="BE559" s="368"/>
      <c r="BF559" s="369"/>
    </row>
    <row r="560" spans="1:138" s="367" customFormat="1" ht="15.75">
      <c r="A560" s="927"/>
      <c r="B560" s="960"/>
      <c r="C560" s="1218"/>
      <c r="D560" s="84">
        <v>2023</v>
      </c>
      <c r="E560" s="85">
        <f t="shared" si="211"/>
        <v>0</v>
      </c>
      <c r="F560" s="85">
        <f t="shared" si="211"/>
        <v>0</v>
      </c>
      <c r="G560" s="85">
        <f t="shared" si="211"/>
        <v>0</v>
      </c>
      <c r="H560" s="85">
        <f t="shared" si="211"/>
        <v>0</v>
      </c>
      <c r="I560" s="85">
        <f t="shared" si="211"/>
        <v>0</v>
      </c>
      <c r="J560" s="85">
        <f t="shared" si="211"/>
        <v>0</v>
      </c>
      <c r="K560" s="148">
        <v>0</v>
      </c>
      <c r="L560" s="497">
        <f t="shared" si="208"/>
        <v>0</v>
      </c>
      <c r="M560" s="99"/>
      <c r="N560" s="88"/>
      <c r="O560" s="89"/>
      <c r="P560" s="676"/>
      <c r="Q560" s="368"/>
      <c r="R560" s="368"/>
      <c r="S560" s="368"/>
      <c r="T560" s="368"/>
      <c r="U560" s="368"/>
      <c r="V560" s="368"/>
      <c r="W560" s="368"/>
      <c r="X560" s="368"/>
      <c r="Y560" s="368"/>
      <c r="Z560" s="368"/>
      <c r="AA560" s="368"/>
      <c r="AB560" s="368"/>
      <c r="AC560" s="368"/>
      <c r="AD560" s="368"/>
      <c r="AE560" s="368"/>
      <c r="AF560" s="368"/>
      <c r="AG560" s="368"/>
      <c r="AH560" s="368"/>
      <c r="AI560" s="368"/>
      <c r="AJ560" s="368"/>
      <c r="AK560" s="368"/>
      <c r="AL560" s="368"/>
      <c r="AM560" s="368"/>
      <c r="AN560" s="368"/>
      <c r="AO560" s="368"/>
      <c r="AP560" s="368"/>
      <c r="AQ560" s="368"/>
      <c r="AR560" s="368"/>
      <c r="AS560" s="368"/>
      <c r="AT560" s="368"/>
      <c r="AU560" s="368"/>
      <c r="AV560" s="368"/>
      <c r="AW560" s="368"/>
      <c r="AX560" s="368"/>
      <c r="AY560" s="368"/>
      <c r="AZ560" s="368"/>
      <c r="BA560" s="368"/>
      <c r="BB560" s="368"/>
      <c r="BC560" s="368"/>
      <c r="BD560" s="368"/>
      <c r="BE560" s="368"/>
      <c r="BF560" s="369"/>
    </row>
    <row r="561" spans="1:58" s="367" customFormat="1" ht="15.75">
      <c r="A561" s="927"/>
      <c r="B561" s="960"/>
      <c r="C561" s="1218"/>
      <c r="D561" s="84">
        <v>2024</v>
      </c>
      <c r="E561" s="85">
        <f t="shared" si="211"/>
        <v>0</v>
      </c>
      <c r="F561" s="85">
        <f t="shared" si="211"/>
        <v>0</v>
      </c>
      <c r="G561" s="85">
        <f t="shared" si="211"/>
        <v>0</v>
      </c>
      <c r="H561" s="85">
        <f t="shared" si="211"/>
        <v>0</v>
      </c>
      <c r="I561" s="85">
        <f t="shared" si="211"/>
        <v>0</v>
      </c>
      <c r="J561" s="85">
        <f t="shared" si="211"/>
        <v>0</v>
      </c>
      <c r="K561" s="148">
        <v>0</v>
      </c>
      <c r="L561" s="497">
        <f t="shared" si="208"/>
        <v>0</v>
      </c>
      <c r="M561" s="99"/>
      <c r="N561" s="88"/>
      <c r="O561" s="89"/>
      <c r="P561" s="676"/>
      <c r="Q561" s="368"/>
      <c r="R561" s="368"/>
      <c r="S561" s="368"/>
      <c r="T561" s="368"/>
      <c r="U561" s="368"/>
      <c r="V561" s="368"/>
      <c r="W561" s="368"/>
      <c r="X561" s="368"/>
      <c r="Y561" s="368"/>
      <c r="Z561" s="368"/>
      <c r="AA561" s="368"/>
      <c r="AB561" s="368"/>
      <c r="AC561" s="368"/>
      <c r="AD561" s="368"/>
      <c r="AE561" s="368"/>
      <c r="AF561" s="368"/>
      <c r="AG561" s="368"/>
      <c r="AH561" s="368"/>
      <c r="AI561" s="368"/>
      <c r="AJ561" s="368"/>
      <c r="AK561" s="368"/>
      <c r="AL561" s="368"/>
      <c r="AM561" s="368"/>
      <c r="AN561" s="368"/>
      <c r="AO561" s="368"/>
      <c r="AP561" s="368"/>
      <c r="AQ561" s="368"/>
      <c r="AR561" s="368"/>
      <c r="AS561" s="368"/>
      <c r="AT561" s="368"/>
      <c r="AU561" s="368"/>
      <c r="AV561" s="368"/>
      <c r="AW561" s="368"/>
      <c r="AX561" s="368"/>
      <c r="AY561" s="368"/>
      <c r="AZ561" s="368"/>
      <c r="BA561" s="368"/>
      <c r="BB561" s="368"/>
      <c r="BC561" s="368"/>
      <c r="BD561" s="368"/>
      <c r="BE561" s="368"/>
      <c r="BF561" s="369"/>
    </row>
    <row r="562" spans="1:58" s="367" customFormat="1" ht="15.75">
      <c r="A562" s="927"/>
      <c r="B562" s="960"/>
      <c r="C562" s="1218"/>
      <c r="D562" s="84">
        <v>2025</v>
      </c>
      <c r="E562" s="85">
        <f t="shared" si="211"/>
        <v>0</v>
      </c>
      <c r="F562" s="85">
        <f t="shared" si="211"/>
        <v>0</v>
      </c>
      <c r="G562" s="85">
        <f t="shared" si="211"/>
        <v>0</v>
      </c>
      <c r="H562" s="85">
        <f t="shared" si="211"/>
        <v>0</v>
      </c>
      <c r="I562" s="85">
        <f t="shared" si="211"/>
        <v>0</v>
      </c>
      <c r="J562" s="85">
        <f t="shared" si="211"/>
        <v>0</v>
      </c>
      <c r="K562" s="148">
        <v>0</v>
      </c>
      <c r="L562" s="497">
        <f t="shared" si="208"/>
        <v>0</v>
      </c>
      <c r="M562" s="99"/>
      <c r="N562" s="88"/>
      <c r="O562" s="89"/>
      <c r="P562" s="676"/>
      <c r="Q562" s="368"/>
      <c r="R562" s="368"/>
      <c r="S562" s="368"/>
      <c r="T562" s="368"/>
      <c r="U562" s="368"/>
      <c r="V562" s="368"/>
      <c r="W562" s="368"/>
      <c r="X562" s="368"/>
      <c r="Y562" s="368"/>
      <c r="Z562" s="368"/>
      <c r="AA562" s="368"/>
      <c r="AB562" s="368"/>
      <c r="AC562" s="368"/>
      <c r="AD562" s="368"/>
      <c r="AE562" s="368"/>
      <c r="AF562" s="368"/>
      <c r="AG562" s="368"/>
      <c r="AH562" s="368"/>
      <c r="AI562" s="368"/>
      <c r="AJ562" s="368"/>
      <c r="AK562" s="368"/>
      <c r="AL562" s="368"/>
      <c r="AM562" s="368"/>
      <c r="AN562" s="368"/>
      <c r="AO562" s="368"/>
      <c r="AP562" s="368"/>
      <c r="AQ562" s="368"/>
      <c r="AR562" s="368"/>
      <c r="AS562" s="368"/>
      <c r="AT562" s="368"/>
      <c r="AU562" s="368"/>
      <c r="AV562" s="368"/>
      <c r="AW562" s="368"/>
      <c r="AX562" s="368"/>
      <c r="AY562" s="368"/>
      <c r="AZ562" s="368"/>
      <c r="BA562" s="368"/>
      <c r="BB562" s="368"/>
      <c r="BC562" s="368"/>
      <c r="BD562" s="368"/>
      <c r="BE562" s="368"/>
      <c r="BF562" s="369"/>
    </row>
    <row r="563" spans="1:58" s="367" customFormat="1" ht="15.75">
      <c r="A563" s="927"/>
      <c r="B563" s="960"/>
      <c r="C563" s="1218"/>
      <c r="D563" s="84">
        <v>2026</v>
      </c>
      <c r="E563" s="85">
        <f t="shared" si="211"/>
        <v>0</v>
      </c>
      <c r="F563" s="85">
        <f t="shared" si="211"/>
        <v>0</v>
      </c>
      <c r="G563" s="85">
        <f t="shared" si="211"/>
        <v>0</v>
      </c>
      <c r="H563" s="85">
        <f t="shared" si="211"/>
        <v>0</v>
      </c>
      <c r="I563" s="85">
        <f t="shared" si="211"/>
        <v>0</v>
      </c>
      <c r="J563" s="85">
        <f t="shared" si="211"/>
        <v>0</v>
      </c>
      <c r="K563" s="148">
        <v>0</v>
      </c>
      <c r="L563" s="497">
        <f t="shared" si="208"/>
        <v>0</v>
      </c>
      <c r="M563" s="99"/>
      <c r="N563" s="88"/>
      <c r="O563" s="89"/>
      <c r="P563" s="676"/>
      <c r="Q563" s="368"/>
      <c r="R563" s="368"/>
      <c r="S563" s="368"/>
      <c r="T563" s="368"/>
      <c r="U563" s="368"/>
      <c r="V563" s="368"/>
      <c r="W563" s="368"/>
      <c r="X563" s="368"/>
      <c r="Y563" s="368"/>
      <c r="Z563" s="368"/>
      <c r="AA563" s="368"/>
      <c r="AB563" s="368"/>
      <c r="AC563" s="368"/>
      <c r="AD563" s="368"/>
      <c r="AE563" s="368"/>
      <c r="AF563" s="368"/>
      <c r="AG563" s="368"/>
      <c r="AH563" s="368"/>
      <c r="AI563" s="368"/>
      <c r="AJ563" s="368"/>
      <c r="AK563" s="368"/>
      <c r="AL563" s="368"/>
      <c r="AM563" s="368"/>
      <c r="AN563" s="368"/>
      <c r="AO563" s="368"/>
      <c r="AP563" s="368"/>
      <c r="AQ563" s="368"/>
      <c r="AR563" s="368"/>
      <c r="AS563" s="368"/>
      <c r="AT563" s="368"/>
      <c r="AU563" s="368"/>
      <c r="AV563" s="368"/>
      <c r="AW563" s="368"/>
      <c r="AX563" s="368"/>
      <c r="AY563" s="368"/>
      <c r="AZ563" s="368"/>
      <c r="BA563" s="368"/>
      <c r="BB563" s="368"/>
      <c r="BC563" s="368"/>
      <c r="BD563" s="368"/>
      <c r="BE563" s="368"/>
      <c r="BF563" s="369"/>
    </row>
    <row r="564" spans="1:58" s="367" customFormat="1" ht="15.75">
      <c r="A564" s="927"/>
      <c r="B564" s="960"/>
      <c r="C564" s="1218"/>
      <c r="D564" s="84">
        <v>2027</v>
      </c>
      <c r="E564" s="85">
        <f t="shared" si="211"/>
        <v>0</v>
      </c>
      <c r="F564" s="85">
        <f t="shared" si="211"/>
        <v>0</v>
      </c>
      <c r="G564" s="85">
        <f t="shared" si="211"/>
        <v>0</v>
      </c>
      <c r="H564" s="85">
        <f t="shared" si="211"/>
        <v>0</v>
      </c>
      <c r="I564" s="85">
        <f t="shared" si="211"/>
        <v>0</v>
      </c>
      <c r="J564" s="85">
        <f t="shared" si="211"/>
        <v>0</v>
      </c>
      <c r="K564" s="148">
        <v>0</v>
      </c>
      <c r="L564" s="497">
        <f t="shared" si="208"/>
        <v>0</v>
      </c>
      <c r="M564" s="99"/>
      <c r="N564" s="88"/>
      <c r="O564" s="89"/>
      <c r="P564" s="676"/>
      <c r="Q564" s="368"/>
      <c r="R564" s="368"/>
      <c r="S564" s="368"/>
      <c r="T564" s="368"/>
      <c r="U564" s="368"/>
      <c r="V564" s="368"/>
      <c r="W564" s="368"/>
      <c r="X564" s="368"/>
      <c r="Y564" s="368"/>
      <c r="Z564" s="368"/>
      <c r="AA564" s="368"/>
      <c r="AB564" s="368"/>
      <c r="AC564" s="368"/>
      <c r="AD564" s="368"/>
      <c r="AE564" s="368"/>
      <c r="AF564" s="368"/>
      <c r="AG564" s="368"/>
      <c r="AH564" s="368"/>
      <c r="AI564" s="368"/>
      <c r="AJ564" s="368"/>
      <c r="AK564" s="368"/>
      <c r="AL564" s="368"/>
      <c r="AM564" s="368"/>
      <c r="AN564" s="368"/>
      <c r="AO564" s="368"/>
      <c r="AP564" s="368"/>
      <c r="AQ564" s="368"/>
      <c r="AR564" s="368"/>
      <c r="AS564" s="368"/>
      <c r="AT564" s="368"/>
      <c r="AU564" s="368"/>
      <c r="AV564" s="368"/>
      <c r="AW564" s="368"/>
      <c r="AX564" s="368"/>
      <c r="AY564" s="368"/>
      <c r="AZ564" s="368"/>
      <c r="BA564" s="368"/>
      <c r="BB564" s="368"/>
      <c r="BC564" s="368"/>
      <c r="BD564" s="368"/>
      <c r="BE564" s="368"/>
      <c r="BF564" s="369"/>
    </row>
    <row r="565" spans="1:58" s="367" customFormat="1" ht="15.75">
      <c r="A565" s="927"/>
      <c r="B565" s="960"/>
      <c r="C565" s="1218"/>
      <c r="D565" s="84">
        <v>2028</v>
      </c>
      <c r="E565" s="85">
        <f t="shared" si="211"/>
        <v>0</v>
      </c>
      <c r="F565" s="85">
        <f t="shared" si="211"/>
        <v>0</v>
      </c>
      <c r="G565" s="85">
        <f t="shared" si="211"/>
        <v>0</v>
      </c>
      <c r="H565" s="85">
        <f t="shared" si="211"/>
        <v>0</v>
      </c>
      <c r="I565" s="85">
        <f t="shared" si="211"/>
        <v>0</v>
      </c>
      <c r="J565" s="85">
        <f t="shared" si="211"/>
        <v>0</v>
      </c>
      <c r="K565" s="148">
        <v>0</v>
      </c>
      <c r="L565" s="497">
        <f t="shared" si="208"/>
        <v>0</v>
      </c>
      <c r="M565" s="99"/>
      <c r="N565" s="88"/>
      <c r="O565" s="89"/>
      <c r="P565" s="676"/>
      <c r="Q565" s="368"/>
      <c r="R565" s="368"/>
      <c r="S565" s="368"/>
      <c r="T565" s="368"/>
      <c r="U565" s="368"/>
      <c r="V565" s="368"/>
      <c r="W565" s="368"/>
      <c r="X565" s="368"/>
      <c r="Y565" s="368"/>
      <c r="Z565" s="368"/>
      <c r="AA565" s="368"/>
      <c r="AB565" s="368"/>
      <c r="AC565" s="368"/>
      <c r="AD565" s="368"/>
      <c r="AE565" s="368"/>
      <c r="AF565" s="368"/>
      <c r="AG565" s="368"/>
      <c r="AH565" s="368"/>
      <c r="AI565" s="368"/>
      <c r="AJ565" s="368"/>
      <c r="AK565" s="368"/>
      <c r="AL565" s="368"/>
      <c r="AM565" s="368"/>
      <c r="AN565" s="368"/>
      <c r="AO565" s="368"/>
      <c r="AP565" s="368"/>
      <c r="AQ565" s="368"/>
      <c r="AR565" s="368"/>
      <c r="AS565" s="368"/>
      <c r="AT565" s="368"/>
      <c r="AU565" s="368"/>
      <c r="AV565" s="368"/>
      <c r="AW565" s="368"/>
      <c r="AX565" s="368"/>
      <c r="AY565" s="368"/>
      <c r="AZ565" s="368"/>
      <c r="BA565" s="368"/>
      <c r="BB565" s="368"/>
      <c r="BC565" s="368"/>
      <c r="BD565" s="368"/>
      <c r="BE565" s="368"/>
      <c r="BF565" s="369"/>
    </row>
    <row r="566" spans="1:58" s="367" customFormat="1" ht="15.75">
      <c r="A566" s="927"/>
      <c r="B566" s="960"/>
      <c r="C566" s="1218"/>
      <c r="D566" s="84">
        <v>2029</v>
      </c>
      <c r="E566" s="85">
        <f t="shared" si="211"/>
        <v>0</v>
      </c>
      <c r="F566" s="85">
        <f t="shared" si="211"/>
        <v>0</v>
      </c>
      <c r="G566" s="85">
        <f t="shared" si="211"/>
        <v>0</v>
      </c>
      <c r="H566" s="85">
        <f t="shared" si="211"/>
        <v>0</v>
      </c>
      <c r="I566" s="85">
        <f t="shared" si="211"/>
        <v>0</v>
      </c>
      <c r="J566" s="85">
        <f t="shared" si="211"/>
        <v>0</v>
      </c>
      <c r="K566" s="148">
        <v>0</v>
      </c>
      <c r="L566" s="497">
        <f t="shared" si="208"/>
        <v>0</v>
      </c>
      <c r="M566" s="99"/>
      <c r="N566" s="88"/>
      <c r="O566" s="89"/>
      <c r="P566" s="676"/>
      <c r="Q566" s="368"/>
      <c r="R566" s="368"/>
      <c r="S566" s="368"/>
      <c r="T566" s="368"/>
      <c r="U566" s="368"/>
      <c r="V566" s="368"/>
      <c r="W566" s="368"/>
      <c r="X566" s="368"/>
      <c r="Y566" s="368"/>
      <c r="Z566" s="368"/>
      <c r="AA566" s="368"/>
      <c r="AB566" s="368"/>
      <c r="AC566" s="368"/>
      <c r="AD566" s="368"/>
      <c r="AE566" s="368"/>
      <c r="AF566" s="368"/>
      <c r="AG566" s="368"/>
      <c r="AH566" s="368"/>
      <c r="AI566" s="368"/>
      <c r="AJ566" s="368"/>
      <c r="AK566" s="368"/>
      <c r="AL566" s="368"/>
      <c r="AM566" s="368"/>
      <c r="AN566" s="368"/>
      <c r="AO566" s="368"/>
      <c r="AP566" s="368"/>
      <c r="AQ566" s="368"/>
      <c r="AR566" s="368"/>
      <c r="AS566" s="368"/>
      <c r="AT566" s="368"/>
      <c r="AU566" s="368"/>
      <c r="AV566" s="368"/>
      <c r="AW566" s="368"/>
      <c r="AX566" s="368"/>
      <c r="AY566" s="368"/>
      <c r="AZ566" s="368"/>
      <c r="BA566" s="368"/>
      <c r="BB566" s="368"/>
      <c r="BC566" s="368"/>
      <c r="BD566" s="368"/>
      <c r="BE566" s="368"/>
      <c r="BF566" s="369"/>
    </row>
    <row r="567" spans="1:58" s="367" customFormat="1" ht="15.75">
      <c r="A567" s="927"/>
      <c r="B567" s="961"/>
      <c r="C567" s="1218"/>
      <c r="D567" s="84">
        <v>2030</v>
      </c>
      <c r="E567" s="85">
        <f t="shared" si="211"/>
        <v>0</v>
      </c>
      <c r="F567" s="85">
        <f t="shared" si="211"/>
        <v>0</v>
      </c>
      <c r="G567" s="85">
        <f t="shared" si="211"/>
        <v>0</v>
      </c>
      <c r="H567" s="85">
        <f t="shared" si="211"/>
        <v>0</v>
      </c>
      <c r="I567" s="85">
        <f t="shared" si="211"/>
        <v>0</v>
      </c>
      <c r="J567" s="85">
        <f t="shared" si="211"/>
        <v>0</v>
      </c>
      <c r="K567" s="148">
        <v>0</v>
      </c>
      <c r="L567" s="497">
        <f t="shared" si="208"/>
        <v>0</v>
      </c>
      <c r="M567" s="99"/>
      <c r="N567" s="88"/>
      <c r="O567" s="89"/>
      <c r="P567" s="676"/>
      <c r="Q567" s="368"/>
      <c r="R567" s="368"/>
      <c r="S567" s="368"/>
      <c r="T567" s="368"/>
      <c r="U567" s="368"/>
      <c r="V567" s="368"/>
      <c r="W567" s="368"/>
      <c r="X567" s="368"/>
      <c r="Y567" s="368"/>
      <c r="Z567" s="368"/>
      <c r="AA567" s="368"/>
      <c r="AB567" s="368"/>
      <c r="AC567" s="368"/>
      <c r="AD567" s="368"/>
      <c r="AE567" s="368"/>
      <c r="AF567" s="368"/>
      <c r="AG567" s="368"/>
      <c r="AH567" s="368"/>
      <c r="AI567" s="368"/>
      <c r="AJ567" s="368"/>
      <c r="AK567" s="368"/>
      <c r="AL567" s="368"/>
      <c r="AM567" s="368"/>
      <c r="AN567" s="368"/>
      <c r="AO567" s="368"/>
      <c r="AP567" s="368"/>
      <c r="AQ567" s="368"/>
      <c r="AR567" s="368"/>
      <c r="AS567" s="368"/>
      <c r="AT567" s="368"/>
      <c r="AU567" s="368"/>
      <c r="AV567" s="368"/>
      <c r="AW567" s="368"/>
      <c r="AX567" s="368"/>
      <c r="AY567" s="368"/>
      <c r="AZ567" s="368"/>
      <c r="BA567" s="368"/>
      <c r="BB567" s="368"/>
      <c r="BC567" s="368"/>
      <c r="BD567" s="368"/>
      <c r="BE567" s="368"/>
      <c r="BF567" s="369"/>
    </row>
    <row r="568" spans="1:58" s="82" customFormat="1" ht="21" customHeight="1">
      <c r="A568" s="1069" t="s">
        <v>699</v>
      </c>
      <c r="B568" s="1080" t="s">
        <v>700</v>
      </c>
      <c r="C568" s="611"/>
      <c r="D568" s="84" t="s">
        <v>16</v>
      </c>
      <c r="E568" s="136">
        <f t="shared" ref="E568:J568" si="212">E569+E570+E571+E572+E573+E574+E575+E576+E577+E578+E579+E580</f>
        <v>3.3210000000000002</v>
      </c>
      <c r="F568" s="136">
        <f t="shared" si="212"/>
        <v>0</v>
      </c>
      <c r="G568" s="136">
        <f t="shared" si="212"/>
        <v>1.3180000000000001</v>
      </c>
      <c r="H568" s="136">
        <f t="shared" si="212"/>
        <v>1.0069999999999999</v>
      </c>
      <c r="I568" s="136">
        <f t="shared" si="212"/>
        <v>0.996</v>
      </c>
      <c r="J568" s="313">
        <f t="shared" si="212"/>
        <v>0</v>
      </c>
      <c r="K568" s="148">
        <v>0</v>
      </c>
      <c r="L568" s="497">
        <f t="shared" si="208"/>
        <v>3.3210000000000002</v>
      </c>
      <c r="M568" s="99"/>
      <c r="N568" s="88"/>
      <c r="O568" s="89"/>
      <c r="P568" s="1242" t="s">
        <v>701</v>
      </c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  <c r="AF568" s="91"/>
      <c r="AG568" s="91"/>
      <c r="AH568" s="91"/>
      <c r="AI568" s="91"/>
      <c r="AJ568" s="91"/>
      <c r="AK568" s="91"/>
      <c r="AL568" s="91"/>
      <c r="AM568" s="91"/>
      <c r="AN568" s="91"/>
      <c r="AO568" s="91"/>
      <c r="AP568" s="9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91"/>
      <c r="BE568" s="91"/>
      <c r="BF568" s="92"/>
    </row>
    <row r="569" spans="1:58" s="82" customFormat="1" ht="12.75" customHeight="1">
      <c r="A569" s="941"/>
      <c r="B569" s="960"/>
      <c r="C569" s="1224" t="s">
        <v>702</v>
      </c>
      <c r="D569" s="84">
        <v>2019</v>
      </c>
      <c r="E569" s="85">
        <f t="shared" ref="E569:E580" si="213">F569+G569+H569+I569+J569</f>
        <v>3.3210000000000002</v>
      </c>
      <c r="F569" s="85">
        <v>0</v>
      </c>
      <c r="G569" s="85">
        <v>1.3180000000000001</v>
      </c>
      <c r="H569" s="85">
        <v>1.0069999999999999</v>
      </c>
      <c r="I569" s="85">
        <v>0.996</v>
      </c>
      <c r="J569" s="85">
        <v>0</v>
      </c>
      <c r="K569" s="148">
        <v>0</v>
      </c>
      <c r="L569" s="497">
        <f t="shared" si="208"/>
        <v>3.3210000000000002</v>
      </c>
      <c r="M569" s="99"/>
      <c r="N569" s="88"/>
      <c r="O569" s="89"/>
      <c r="P569" s="1264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  <c r="AF569" s="91"/>
      <c r="AG569" s="91"/>
      <c r="AH569" s="91"/>
      <c r="AI569" s="91"/>
      <c r="AJ569" s="91"/>
      <c r="AK569" s="91"/>
      <c r="AL569" s="91"/>
      <c r="AM569" s="91"/>
      <c r="AN569" s="91"/>
      <c r="AO569" s="91"/>
      <c r="AP569" s="9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91"/>
      <c r="BE569" s="91"/>
      <c r="BF569" s="92"/>
    </row>
    <row r="570" spans="1:58" s="82" customFormat="1">
      <c r="A570" s="941"/>
      <c r="B570" s="960"/>
      <c r="C570" s="1225"/>
      <c r="D570" s="84">
        <v>2020</v>
      </c>
      <c r="E570" s="85">
        <f t="shared" si="213"/>
        <v>0</v>
      </c>
      <c r="F570" s="85">
        <v>0</v>
      </c>
      <c r="G570" s="85">
        <v>0</v>
      </c>
      <c r="H570" s="85">
        <v>0</v>
      </c>
      <c r="I570" s="85">
        <v>0</v>
      </c>
      <c r="J570" s="85">
        <v>0</v>
      </c>
      <c r="K570" s="148">
        <v>0</v>
      </c>
      <c r="L570" s="497">
        <f t="shared" si="208"/>
        <v>0</v>
      </c>
      <c r="M570" s="99"/>
      <c r="N570" s="88"/>
      <c r="O570" s="89"/>
      <c r="P570" s="1264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  <c r="AF570" s="91"/>
      <c r="AG570" s="91"/>
      <c r="AH570" s="91"/>
      <c r="AI570" s="91"/>
      <c r="AJ570" s="91"/>
      <c r="AK570" s="91"/>
      <c r="AL570" s="91"/>
      <c r="AM570" s="91"/>
      <c r="AN570" s="91"/>
      <c r="AO570" s="91"/>
      <c r="AP570" s="9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91"/>
      <c r="BE570" s="91"/>
      <c r="BF570" s="92"/>
    </row>
    <row r="571" spans="1:58" s="82" customFormat="1">
      <c r="A571" s="941"/>
      <c r="B571" s="960"/>
      <c r="C571" s="1225"/>
      <c r="D571" s="84">
        <v>2021</v>
      </c>
      <c r="E571" s="85">
        <f t="shared" si="213"/>
        <v>0</v>
      </c>
      <c r="F571" s="85">
        <v>0</v>
      </c>
      <c r="G571" s="85">
        <v>0</v>
      </c>
      <c r="H571" s="85">
        <v>0</v>
      </c>
      <c r="I571" s="85">
        <v>0</v>
      </c>
      <c r="J571" s="85">
        <v>0</v>
      </c>
      <c r="K571" s="148">
        <v>0</v>
      </c>
      <c r="L571" s="497">
        <f t="shared" si="208"/>
        <v>0</v>
      </c>
      <c r="M571" s="99"/>
      <c r="N571" s="88"/>
      <c r="O571" s="89"/>
      <c r="P571" s="1264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  <c r="AF571" s="91"/>
      <c r="AG571" s="91"/>
      <c r="AH571" s="91"/>
      <c r="AI571" s="91"/>
      <c r="AJ571" s="91"/>
      <c r="AK571" s="91"/>
      <c r="AL571" s="91"/>
      <c r="AM571" s="91"/>
      <c r="AN571" s="91"/>
      <c r="AO571" s="91"/>
      <c r="AP571" s="9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91"/>
      <c r="BE571" s="91"/>
      <c r="BF571" s="92"/>
    </row>
    <row r="572" spans="1:58" s="82" customFormat="1">
      <c r="A572" s="941"/>
      <c r="B572" s="960"/>
      <c r="C572" s="1225"/>
      <c r="D572" s="84">
        <v>2022</v>
      </c>
      <c r="E572" s="85">
        <f t="shared" si="213"/>
        <v>0</v>
      </c>
      <c r="F572" s="85">
        <v>0</v>
      </c>
      <c r="G572" s="85">
        <v>0</v>
      </c>
      <c r="H572" s="85">
        <v>0</v>
      </c>
      <c r="I572" s="85">
        <v>0</v>
      </c>
      <c r="J572" s="85">
        <v>0</v>
      </c>
      <c r="K572" s="148">
        <v>0</v>
      </c>
      <c r="L572" s="497">
        <f t="shared" si="208"/>
        <v>0</v>
      </c>
      <c r="M572" s="99"/>
      <c r="N572" s="88"/>
      <c r="O572" s="89"/>
      <c r="P572" s="1264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  <c r="AF572" s="91"/>
      <c r="AG572" s="91"/>
      <c r="AH572" s="91"/>
      <c r="AI572" s="91"/>
      <c r="AJ572" s="91"/>
      <c r="AK572" s="91"/>
      <c r="AL572" s="91"/>
      <c r="AM572" s="91"/>
      <c r="AN572" s="91"/>
      <c r="AO572" s="91"/>
      <c r="AP572" s="9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91"/>
      <c r="BE572" s="91"/>
      <c r="BF572" s="92"/>
    </row>
    <row r="573" spans="1:58" s="82" customFormat="1">
      <c r="A573" s="941"/>
      <c r="B573" s="960"/>
      <c r="C573" s="1225"/>
      <c r="D573" s="84">
        <v>2023</v>
      </c>
      <c r="E573" s="85">
        <f t="shared" si="213"/>
        <v>0</v>
      </c>
      <c r="F573" s="85">
        <v>0</v>
      </c>
      <c r="G573" s="85">
        <v>0</v>
      </c>
      <c r="H573" s="85">
        <v>0</v>
      </c>
      <c r="I573" s="85">
        <v>0</v>
      </c>
      <c r="J573" s="85">
        <v>0</v>
      </c>
      <c r="K573" s="148">
        <v>0</v>
      </c>
      <c r="L573" s="497">
        <f t="shared" si="208"/>
        <v>0</v>
      </c>
      <c r="M573" s="99"/>
      <c r="N573" s="88"/>
      <c r="O573" s="89"/>
      <c r="P573" s="1264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9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91"/>
      <c r="BE573" s="91"/>
      <c r="BF573" s="92"/>
    </row>
    <row r="574" spans="1:58" s="82" customFormat="1">
      <c r="A574" s="941"/>
      <c r="B574" s="960"/>
      <c r="C574" s="1225"/>
      <c r="D574" s="84">
        <v>2024</v>
      </c>
      <c r="E574" s="85">
        <f t="shared" si="213"/>
        <v>0</v>
      </c>
      <c r="F574" s="85">
        <v>0</v>
      </c>
      <c r="G574" s="85">
        <v>0</v>
      </c>
      <c r="H574" s="85">
        <v>0</v>
      </c>
      <c r="I574" s="85">
        <v>0</v>
      </c>
      <c r="J574" s="85">
        <v>0</v>
      </c>
      <c r="K574" s="148">
        <v>0</v>
      </c>
      <c r="L574" s="497">
        <f t="shared" si="208"/>
        <v>0</v>
      </c>
      <c r="M574" s="99"/>
      <c r="N574" s="88"/>
      <c r="O574" s="89"/>
      <c r="P574" s="1264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  <c r="AF574" s="91"/>
      <c r="AG574" s="91"/>
      <c r="AH574" s="91"/>
      <c r="AI574" s="91"/>
      <c r="AJ574" s="91"/>
      <c r="AK574" s="91"/>
      <c r="AL574" s="91"/>
      <c r="AM574" s="91"/>
      <c r="AN574" s="91"/>
      <c r="AO574" s="91"/>
      <c r="AP574" s="9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91"/>
      <c r="BE574" s="91"/>
      <c r="BF574" s="92"/>
    </row>
    <row r="575" spans="1:58" s="82" customFormat="1">
      <c r="A575" s="941"/>
      <c r="B575" s="960"/>
      <c r="C575" s="1225"/>
      <c r="D575" s="84">
        <v>2025</v>
      </c>
      <c r="E575" s="85">
        <f t="shared" si="213"/>
        <v>0</v>
      </c>
      <c r="F575" s="85">
        <v>0</v>
      </c>
      <c r="G575" s="85">
        <v>0</v>
      </c>
      <c r="H575" s="85">
        <v>0</v>
      </c>
      <c r="I575" s="85">
        <v>0</v>
      </c>
      <c r="J575" s="85">
        <v>0</v>
      </c>
      <c r="K575" s="148">
        <v>0</v>
      </c>
      <c r="L575" s="497">
        <f t="shared" si="208"/>
        <v>0</v>
      </c>
      <c r="M575" s="99"/>
      <c r="N575" s="88"/>
      <c r="O575" s="89"/>
      <c r="P575" s="1264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  <c r="AF575" s="91"/>
      <c r="AG575" s="91"/>
      <c r="AH575" s="91"/>
      <c r="AI575" s="91"/>
      <c r="AJ575" s="91"/>
      <c r="AK575" s="91"/>
      <c r="AL575" s="91"/>
      <c r="AM575" s="91"/>
      <c r="AN575" s="91"/>
      <c r="AO575" s="91"/>
      <c r="AP575" s="9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91"/>
      <c r="BE575" s="91"/>
      <c r="BF575" s="92"/>
    </row>
    <row r="576" spans="1:58" s="82" customFormat="1" ht="12.75" customHeight="1">
      <c r="A576" s="941"/>
      <c r="B576" s="960"/>
      <c r="C576" s="1245" t="s">
        <v>703</v>
      </c>
      <c r="D576" s="84">
        <v>2026</v>
      </c>
      <c r="E576" s="85">
        <f t="shared" si="213"/>
        <v>0</v>
      </c>
      <c r="F576" s="85">
        <v>0</v>
      </c>
      <c r="G576" s="85">
        <v>0</v>
      </c>
      <c r="H576" s="85">
        <v>0</v>
      </c>
      <c r="I576" s="85">
        <v>0</v>
      </c>
      <c r="J576" s="85">
        <v>0</v>
      </c>
      <c r="K576" s="148">
        <v>0</v>
      </c>
      <c r="L576" s="497">
        <f t="shared" si="208"/>
        <v>0</v>
      </c>
      <c r="M576" s="99"/>
      <c r="N576" s="88"/>
      <c r="O576" s="89"/>
      <c r="P576" s="1264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  <c r="AF576" s="91"/>
      <c r="AG576" s="91"/>
      <c r="AH576" s="91"/>
      <c r="AI576" s="91"/>
      <c r="AJ576" s="91"/>
      <c r="AK576" s="91"/>
      <c r="AL576" s="91"/>
      <c r="AM576" s="91"/>
      <c r="AN576" s="91"/>
      <c r="AO576" s="91"/>
      <c r="AP576" s="9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91"/>
      <c r="BE576" s="91"/>
      <c r="BF576" s="92"/>
    </row>
    <row r="577" spans="1:58" s="82" customFormat="1">
      <c r="A577" s="941"/>
      <c r="B577" s="960"/>
      <c r="C577" s="1245"/>
      <c r="D577" s="84">
        <v>2027</v>
      </c>
      <c r="E577" s="85">
        <f t="shared" si="213"/>
        <v>0</v>
      </c>
      <c r="F577" s="85">
        <v>0</v>
      </c>
      <c r="G577" s="85">
        <v>0</v>
      </c>
      <c r="H577" s="85">
        <v>0</v>
      </c>
      <c r="I577" s="85">
        <v>0</v>
      </c>
      <c r="J577" s="85">
        <v>0</v>
      </c>
      <c r="K577" s="148">
        <v>0</v>
      </c>
      <c r="L577" s="497">
        <f t="shared" si="208"/>
        <v>0</v>
      </c>
      <c r="M577" s="99"/>
      <c r="N577" s="88"/>
      <c r="O577" s="89"/>
      <c r="P577" s="1264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  <c r="AF577" s="91"/>
      <c r="AG577" s="91"/>
      <c r="AH577" s="91"/>
      <c r="AI577" s="91"/>
      <c r="AJ577" s="91"/>
      <c r="AK577" s="91"/>
      <c r="AL577" s="91"/>
      <c r="AM577" s="91"/>
      <c r="AN577" s="91"/>
      <c r="AO577" s="91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91"/>
      <c r="BE577" s="91"/>
      <c r="BF577" s="92"/>
    </row>
    <row r="578" spans="1:58" s="82" customFormat="1">
      <c r="A578" s="941"/>
      <c r="B578" s="960"/>
      <c r="C578" s="1245"/>
      <c r="D578" s="84">
        <v>2028</v>
      </c>
      <c r="E578" s="85">
        <f t="shared" si="213"/>
        <v>0</v>
      </c>
      <c r="F578" s="85">
        <v>0</v>
      </c>
      <c r="G578" s="85">
        <v>0</v>
      </c>
      <c r="H578" s="85">
        <v>0</v>
      </c>
      <c r="I578" s="85">
        <v>0</v>
      </c>
      <c r="J578" s="85">
        <v>0</v>
      </c>
      <c r="K578" s="148">
        <v>0</v>
      </c>
      <c r="L578" s="497">
        <f t="shared" si="208"/>
        <v>0</v>
      </c>
      <c r="M578" s="99"/>
      <c r="N578" s="88"/>
      <c r="O578" s="89"/>
      <c r="P578" s="1264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  <c r="AF578" s="91"/>
      <c r="AG578" s="91"/>
      <c r="AH578" s="91"/>
      <c r="AI578" s="91"/>
      <c r="AJ578" s="91"/>
      <c r="AK578" s="91"/>
      <c r="AL578" s="91"/>
      <c r="AM578" s="91"/>
      <c r="AN578" s="91"/>
      <c r="AO578" s="91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2"/>
    </row>
    <row r="579" spans="1:58" s="82" customFormat="1">
      <c r="A579" s="941"/>
      <c r="B579" s="960"/>
      <c r="C579" s="1245"/>
      <c r="D579" s="84">
        <v>2029</v>
      </c>
      <c r="E579" s="85">
        <f t="shared" si="213"/>
        <v>0</v>
      </c>
      <c r="F579" s="85">
        <v>0</v>
      </c>
      <c r="G579" s="85">
        <v>0</v>
      </c>
      <c r="H579" s="85">
        <v>0</v>
      </c>
      <c r="I579" s="85">
        <v>0</v>
      </c>
      <c r="J579" s="85">
        <v>0</v>
      </c>
      <c r="K579" s="148">
        <v>0</v>
      </c>
      <c r="L579" s="497">
        <f t="shared" si="208"/>
        <v>0</v>
      </c>
      <c r="M579" s="99"/>
      <c r="N579" s="88"/>
      <c r="O579" s="89"/>
      <c r="P579" s="1264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9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91"/>
      <c r="BE579" s="91"/>
      <c r="BF579" s="92"/>
    </row>
    <row r="580" spans="1:58" s="82" customFormat="1" ht="12.75" customHeight="1">
      <c r="A580" s="942"/>
      <c r="B580" s="961"/>
      <c r="C580" s="1245"/>
      <c r="D580" s="84">
        <v>2030</v>
      </c>
      <c r="E580" s="85">
        <f t="shared" si="213"/>
        <v>0</v>
      </c>
      <c r="F580" s="85">
        <v>0</v>
      </c>
      <c r="G580" s="85">
        <v>0</v>
      </c>
      <c r="H580" s="85">
        <v>0</v>
      </c>
      <c r="I580" s="85">
        <v>0</v>
      </c>
      <c r="J580" s="85">
        <v>0</v>
      </c>
      <c r="K580" s="148">
        <v>0</v>
      </c>
      <c r="L580" s="497">
        <f t="shared" si="208"/>
        <v>0</v>
      </c>
      <c r="M580" s="99"/>
      <c r="N580" s="88"/>
      <c r="O580" s="89"/>
      <c r="P580" s="1264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  <c r="AF580" s="91"/>
      <c r="AG580" s="91"/>
      <c r="AH580" s="91"/>
      <c r="AI580" s="91"/>
      <c r="AJ580" s="91"/>
      <c r="AK580" s="91"/>
      <c r="AL580" s="91"/>
      <c r="AM580" s="91"/>
      <c r="AN580" s="91"/>
      <c r="AO580" s="91"/>
      <c r="AP580" s="9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91"/>
      <c r="BE580" s="91"/>
      <c r="BF580" s="92"/>
    </row>
    <row r="581" spans="1:58" s="82" customFormat="1" ht="16.5" customHeight="1">
      <c r="A581" s="1022">
        <v>11</v>
      </c>
      <c r="B581" s="929" t="s">
        <v>704</v>
      </c>
      <c r="C581" s="1170"/>
      <c r="D581" s="84" t="s">
        <v>16</v>
      </c>
      <c r="E581" s="85">
        <f t="shared" ref="E581:J587" si="214">E588</f>
        <v>6.4763000000000002</v>
      </c>
      <c r="F581" s="85">
        <f t="shared" si="214"/>
        <v>6.4763000000000002</v>
      </c>
      <c r="G581" s="85">
        <f t="shared" si="214"/>
        <v>0</v>
      </c>
      <c r="H581" s="85">
        <f t="shared" si="214"/>
        <v>0</v>
      </c>
      <c r="I581" s="85">
        <f t="shared" si="214"/>
        <v>0</v>
      </c>
      <c r="J581" s="85">
        <f t="shared" si="214"/>
        <v>0</v>
      </c>
      <c r="K581" s="148">
        <v>0</v>
      </c>
      <c r="L581" s="497">
        <f t="shared" si="208"/>
        <v>6.4763000000000002</v>
      </c>
      <c r="M581" s="99"/>
      <c r="N581" s="88"/>
      <c r="O581" s="89"/>
      <c r="P581" s="62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  <c r="AF581" s="91"/>
      <c r="AG581" s="91"/>
      <c r="AH581" s="91"/>
      <c r="AI581" s="91"/>
      <c r="AJ581" s="91"/>
      <c r="AK581" s="91"/>
      <c r="AL581" s="91"/>
      <c r="AM581" s="91"/>
      <c r="AN581" s="91"/>
      <c r="AO581" s="91"/>
      <c r="AP581" s="9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91"/>
      <c r="BE581" s="91"/>
      <c r="BF581" s="92"/>
    </row>
    <row r="582" spans="1:58" s="82" customFormat="1" ht="16.5" customHeight="1">
      <c r="A582" s="941"/>
      <c r="B582" s="960"/>
      <c r="C582" s="1218"/>
      <c r="D582" s="84">
        <v>2020</v>
      </c>
      <c r="E582" s="85">
        <f t="shared" si="214"/>
        <v>4.5951000000000004</v>
      </c>
      <c r="F582" s="85">
        <f t="shared" si="214"/>
        <v>4.5951000000000004</v>
      </c>
      <c r="G582" s="85">
        <f t="shared" si="214"/>
        <v>0</v>
      </c>
      <c r="H582" s="85">
        <f t="shared" si="214"/>
        <v>0</v>
      </c>
      <c r="I582" s="85">
        <f t="shared" si="214"/>
        <v>0</v>
      </c>
      <c r="J582" s="85">
        <f t="shared" si="214"/>
        <v>0</v>
      </c>
      <c r="K582" s="148">
        <v>0</v>
      </c>
      <c r="L582" s="497">
        <f t="shared" si="208"/>
        <v>4.5951000000000004</v>
      </c>
      <c r="M582" s="99"/>
      <c r="N582" s="88"/>
      <c r="O582" s="89"/>
      <c r="P582" s="62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  <c r="AF582" s="91"/>
      <c r="AG582" s="91"/>
      <c r="AH582" s="91"/>
      <c r="AI582" s="91"/>
      <c r="AJ582" s="91"/>
      <c r="AK582" s="91"/>
      <c r="AL582" s="91"/>
      <c r="AM582" s="91"/>
      <c r="AN582" s="91"/>
      <c r="AO582" s="91"/>
      <c r="AP582" s="9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  <c r="BF582" s="92"/>
    </row>
    <row r="583" spans="1:58" s="82" customFormat="1" ht="16.5" customHeight="1">
      <c r="A583" s="941"/>
      <c r="B583" s="960"/>
      <c r="C583" s="1218"/>
      <c r="D583" s="84">
        <v>2021</v>
      </c>
      <c r="E583" s="85">
        <f t="shared" si="214"/>
        <v>1.8812</v>
      </c>
      <c r="F583" s="85">
        <f t="shared" si="214"/>
        <v>1.8812</v>
      </c>
      <c r="G583" s="85">
        <f t="shared" si="214"/>
        <v>0</v>
      </c>
      <c r="H583" s="85">
        <f t="shared" si="214"/>
        <v>0</v>
      </c>
      <c r="I583" s="85">
        <f t="shared" si="214"/>
        <v>0</v>
      </c>
      <c r="J583" s="85">
        <f t="shared" si="214"/>
        <v>0</v>
      </c>
      <c r="K583" s="148">
        <v>0</v>
      </c>
      <c r="L583" s="497">
        <f t="shared" si="208"/>
        <v>1.8812</v>
      </c>
      <c r="M583" s="99"/>
      <c r="N583" s="88"/>
      <c r="O583" s="89"/>
      <c r="P583" s="623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  <c r="AF583" s="91"/>
      <c r="AG583" s="91"/>
      <c r="AH583" s="91"/>
      <c r="AI583" s="91"/>
      <c r="AJ583" s="91"/>
      <c r="AK583" s="91"/>
      <c r="AL583" s="91"/>
      <c r="AM583" s="91"/>
      <c r="AN583" s="91"/>
      <c r="AO583" s="91"/>
      <c r="AP583" s="9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91"/>
      <c r="BE583" s="91"/>
      <c r="BF583" s="92"/>
    </row>
    <row r="584" spans="1:58" s="82" customFormat="1" ht="16.5" customHeight="1">
      <c r="A584" s="941"/>
      <c r="B584" s="960"/>
      <c r="C584" s="1218"/>
      <c r="D584" s="84">
        <v>2022</v>
      </c>
      <c r="E584" s="85">
        <f t="shared" si="214"/>
        <v>0</v>
      </c>
      <c r="F584" s="85">
        <f t="shared" si="214"/>
        <v>0</v>
      </c>
      <c r="G584" s="85">
        <f t="shared" si="214"/>
        <v>0</v>
      </c>
      <c r="H584" s="85">
        <f t="shared" si="214"/>
        <v>0</v>
      </c>
      <c r="I584" s="85">
        <f t="shared" si="214"/>
        <v>0</v>
      </c>
      <c r="J584" s="85">
        <f t="shared" si="214"/>
        <v>0</v>
      </c>
      <c r="K584" s="148">
        <v>0</v>
      </c>
      <c r="L584" s="497">
        <f t="shared" si="208"/>
        <v>0</v>
      </c>
      <c r="M584" s="99"/>
      <c r="N584" s="88"/>
      <c r="O584" s="89"/>
      <c r="P584" s="57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  <c r="AF584" s="91"/>
      <c r="AG584" s="91"/>
      <c r="AH584" s="91"/>
      <c r="AI584" s="91"/>
      <c r="AJ584" s="91"/>
      <c r="AK584" s="91"/>
      <c r="AL584" s="91"/>
      <c r="AM584" s="91"/>
      <c r="AN584" s="91"/>
      <c r="AO584" s="91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91"/>
      <c r="BE584" s="91"/>
      <c r="BF584" s="92"/>
    </row>
    <row r="585" spans="1:58" s="82" customFormat="1" ht="16.5" customHeight="1">
      <c r="A585" s="941"/>
      <c r="B585" s="960"/>
      <c r="C585" s="1218"/>
      <c r="D585" s="84">
        <v>2023</v>
      </c>
      <c r="E585" s="85">
        <f t="shared" si="214"/>
        <v>0</v>
      </c>
      <c r="F585" s="85">
        <f t="shared" si="214"/>
        <v>0</v>
      </c>
      <c r="G585" s="85">
        <f t="shared" si="214"/>
        <v>0</v>
      </c>
      <c r="H585" s="85">
        <f t="shared" si="214"/>
        <v>0</v>
      </c>
      <c r="I585" s="85">
        <f t="shared" si="214"/>
        <v>0</v>
      </c>
      <c r="J585" s="85">
        <f t="shared" si="214"/>
        <v>0</v>
      </c>
      <c r="K585" s="148">
        <v>0</v>
      </c>
      <c r="L585" s="497">
        <f t="shared" si="208"/>
        <v>0</v>
      </c>
      <c r="M585" s="99"/>
      <c r="N585" s="88"/>
      <c r="O585" s="89"/>
      <c r="P585" s="57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  <c r="AF585" s="91"/>
      <c r="AG585" s="91"/>
      <c r="AH585" s="91"/>
      <c r="AI585" s="91"/>
      <c r="AJ585" s="91"/>
      <c r="AK585" s="91"/>
      <c r="AL585" s="91"/>
      <c r="AM585" s="91"/>
      <c r="AN585" s="91"/>
      <c r="AO585" s="91"/>
      <c r="AP585" s="9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91"/>
      <c r="BE585" s="91"/>
      <c r="BF585" s="92"/>
    </row>
    <row r="586" spans="1:58" s="82" customFormat="1" ht="16.5" customHeight="1">
      <c r="A586" s="941"/>
      <c r="B586" s="960"/>
      <c r="C586" s="1218"/>
      <c r="D586" s="533">
        <v>2024</v>
      </c>
      <c r="E586" s="136">
        <f t="shared" si="214"/>
        <v>0</v>
      </c>
      <c r="F586" s="136">
        <f t="shared" si="214"/>
        <v>0</v>
      </c>
      <c r="G586" s="136">
        <f t="shared" si="214"/>
        <v>0</v>
      </c>
      <c r="H586" s="136">
        <f t="shared" si="214"/>
        <v>0</v>
      </c>
      <c r="I586" s="136">
        <f t="shared" si="214"/>
        <v>0</v>
      </c>
      <c r="J586" s="313">
        <f t="shared" si="214"/>
        <v>0</v>
      </c>
      <c r="K586" s="148">
        <v>0</v>
      </c>
      <c r="L586" s="497">
        <f t="shared" si="208"/>
        <v>0</v>
      </c>
      <c r="M586" s="99"/>
      <c r="N586" s="88"/>
      <c r="O586" s="89"/>
      <c r="P586" s="57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  <c r="AF586" s="91"/>
      <c r="AG586" s="91"/>
      <c r="AH586" s="91"/>
      <c r="AI586" s="91"/>
      <c r="AJ586" s="91"/>
      <c r="AK586" s="91"/>
      <c r="AL586" s="91"/>
      <c r="AM586" s="91"/>
      <c r="AN586" s="91"/>
      <c r="AO586" s="91"/>
      <c r="AP586" s="9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91"/>
      <c r="BE586" s="91"/>
      <c r="BF586" s="92"/>
    </row>
    <row r="587" spans="1:58" s="82" customFormat="1" ht="16.5" customHeight="1">
      <c r="A587" s="224"/>
      <c r="B587" s="285"/>
      <c r="C587" s="571"/>
      <c r="D587" s="84">
        <v>2025</v>
      </c>
      <c r="E587" s="85">
        <f t="shared" si="214"/>
        <v>0</v>
      </c>
      <c r="F587" s="85">
        <f t="shared" si="214"/>
        <v>0</v>
      </c>
      <c r="G587" s="85">
        <f t="shared" si="214"/>
        <v>0</v>
      </c>
      <c r="H587" s="85">
        <f t="shared" si="214"/>
        <v>0</v>
      </c>
      <c r="I587" s="85">
        <f t="shared" si="214"/>
        <v>0</v>
      </c>
      <c r="J587" s="85">
        <f t="shared" si="214"/>
        <v>0</v>
      </c>
      <c r="K587" s="148">
        <v>0</v>
      </c>
      <c r="L587" s="497">
        <f t="shared" si="208"/>
        <v>0</v>
      </c>
      <c r="M587" s="99"/>
      <c r="N587" s="88"/>
      <c r="O587" s="89"/>
      <c r="P587" s="57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  <c r="AN587" s="91"/>
      <c r="AO587" s="91"/>
      <c r="AP587" s="9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  <c r="BF587" s="92"/>
    </row>
    <row r="588" spans="1:58" s="82" customFormat="1" ht="16.5" customHeight="1">
      <c r="A588" s="1022" t="s">
        <v>705</v>
      </c>
      <c r="B588" s="1080" t="s">
        <v>706</v>
      </c>
      <c r="C588" s="1262" t="s">
        <v>707</v>
      </c>
      <c r="D588" s="84" t="s">
        <v>16</v>
      </c>
      <c r="E588" s="85">
        <f t="shared" ref="E588:J588" si="215">E589+E590+E591+E592</f>
        <v>6.4763000000000002</v>
      </c>
      <c r="F588" s="85">
        <f t="shared" si="215"/>
        <v>6.4763000000000002</v>
      </c>
      <c r="G588" s="85">
        <f t="shared" si="215"/>
        <v>0</v>
      </c>
      <c r="H588" s="85">
        <f t="shared" si="215"/>
        <v>0</v>
      </c>
      <c r="I588" s="85">
        <f t="shared" si="215"/>
        <v>0</v>
      </c>
      <c r="J588" s="85">
        <f t="shared" si="215"/>
        <v>0</v>
      </c>
      <c r="K588" s="148">
        <v>0</v>
      </c>
      <c r="L588" s="497">
        <f t="shared" si="208"/>
        <v>6.4763000000000002</v>
      </c>
      <c r="M588" s="99"/>
      <c r="N588" s="88"/>
      <c r="O588" s="89"/>
      <c r="P588" s="57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  <c r="AF588" s="91"/>
      <c r="AG588" s="91"/>
      <c r="AH588" s="91"/>
      <c r="AI588" s="91"/>
      <c r="AJ588" s="91"/>
      <c r="AK588" s="91"/>
      <c r="AL588" s="91"/>
      <c r="AM588" s="91"/>
      <c r="AN588" s="91"/>
      <c r="AO588" s="91"/>
      <c r="AP588" s="9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91"/>
      <c r="BE588" s="91"/>
      <c r="BF588" s="92"/>
    </row>
    <row r="589" spans="1:58" s="82" customFormat="1" ht="16.5" customHeight="1">
      <c r="A589" s="1279"/>
      <c r="B589" s="1261"/>
      <c r="C589" s="1263"/>
      <c r="D589" s="84">
        <v>2020</v>
      </c>
      <c r="E589" s="85">
        <f t="shared" ref="E589:E594" si="216">F589+G589+H589+I589+J589</f>
        <v>4.5951000000000004</v>
      </c>
      <c r="F589" s="85">
        <v>4.5951000000000004</v>
      </c>
      <c r="G589" s="85">
        <v>0</v>
      </c>
      <c r="H589" s="85">
        <v>0</v>
      </c>
      <c r="I589" s="85">
        <v>0</v>
      </c>
      <c r="J589" s="85">
        <v>0</v>
      </c>
      <c r="K589" s="148">
        <v>0</v>
      </c>
      <c r="L589" s="497">
        <f t="shared" si="208"/>
        <v>4.5951000000000004</v>
      </c>
      <c r="M589" s="99"/>
      <c r="N589" s="88"/>
      <c r="O589" s="89"/>
      <c r="P589" s="1225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  <c r="AF589" s="91"/>
      <c r="AG589" s="91"/>
      <c r="AH589" s="91"/>
      <c r="AI589" s="91"/>
      <c r="AJ589" s="91"/>
      <c r="AK589" s="91"/>
      <c r="AL589" s="91"/>
      <c r="AM589" s="91"/>
      <c r="AN589" s="91"/>
      <c r="AO589" s="91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/>
      <c r="BE589" s="91"/>
      <c r="BF589" s="92"/>
    </row>
    <row r="590" spans="1:58" s="82" customFormat="1" ht="16.5" customHeight="1">
      <c r="A590" s="1279"/>
      <c r="B590" s="1261"/>
      <c r="C590" s="1263"/>
      <c r="D590" s="84">
        <v>2021</v>
      </c>
      <c r="E590" s="85">
        <f t="shared" si="216"/>
        <v>1.8812</v>
      </c>
      <c r="F590" s="85">
        <v>1.8812</v>
      </c>
      <c r="G590" s="85">
        <v>0</v>
      </c>
      <c r="H590" s="85">
        <v>0</v>
      </c>
      <c r="I590" s="85">
        <v>0</v>
      </c>
      <c r="J590" s="85">
        <v>0</v>
      </c>
      <c r="K590" s="148">
        <v>0</v>
      </c>
      <c r="L590" s="497">
        <f t="shared" si="208"/>
        <v>1.8812</v>
      </c>
      <c r="M590" s="99"/>
      <c r="N590" s="88"/>
      <c r="O590" s="89"/>
      <c r="P590" s="1225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  <c r="AF590" s="91"/>
      <c r="AG590" s="91"/>
      <c r="AH590" s="91"/>
      <c r="AI590" s="91"/>
      <c r="AJ590" s="91"/>
      <c r="AK590" s="91"/>
      <c r="AL590" s="91"/>
      <c r="AM590" s="91"/>
      <c r="AN590" s="91"/>
      <c r="AO590" s="91"/>
      <c r="AP590" s="9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91"/>
      <c r="BE590" s="91"/>
      <c r="BF590" s="92"/>
    </row>
    <row r="591" spans="1:58" s="82" customFormat="1" ht="16.5" customHeight="1">
      <c r="A591" s="1279"/>
      <c r="B591" s="1261"/>
      <c r="C591" s="1263"/>
      <c r="D591" s="84">
        <v>2022</v>
      </c>
      <c r="E591" s="85">
        <f t="shared" si="216"/>
        <v>0</v>
      </c>
      <c r="F591" s="85">
        <v>0</v>
      </c>
      <c r="G591" s="85">
        <v>0</v>
      </c>
      <c r="H591" s="85">
        <v>0</v>
      </c>
      <c r="I591" s="85">
        <v>0</v>
      </c>
      <c r="J591" s="85">
        <v>0</v>
      </c>
      <c r="K591" s="148">
        <v>0</v>
      </c>
      <c r="L591" s="497">
        <f t="shared" si="208"/>
        <v>0</v>
      </c>
      <c r="M591" s="99"/>
      <c r="N591" s="88"/>
      <c r="O591" s="89"/>
      <c r="P591" s="1225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  <c r="AF591" s="91"/>
      <c r="AG591" s="91"/>
      <c r="AH591" s="91"/>
      <c r="AI591" s="91"/>
      <c r="AJ591" s="91"/>
      <c r="AK591" s="91"/>
      <c r="AL591" s="91"/>
      <c r="AM591" s="91"/>
      <c r="AN591" s="91"/>
      <c r="AO591" s="91"/>
      <c r="AP591" s="9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91"/>
      <c r="BE591" s="91"/>
      <c r="BF591" s="92"/>
    </row>
    <row r="592" spans="1:58" s="82" customFormat="1">
      <c r="A592" s="1279"/>
      <c r="B592" s="1261"/>
      <c r="C592" s="1263"/>
      <c r="D592" s="84">
        <v>2023</v>
      </c>
      <c r="E592" s="85">
        <f t="shared" si="216"/>
        <v>0</v>
      </c>
      <c r="F592" s="85">
        <v>0</v>
      </c>
      <c r="G592" s="85">
        <v>0</v>
      </c>
      <c r="H592" s="85">
        <v>0</v>
      </c>
      <c r="I592" s="85">
        <v>0</v>
      </c>
      <c r="J592" s="85">
        <v>0</v>
      </c>
      <c r="K592" s="148">
        <v>0</v>
      </c>
      <c r="L592" s="497">
        <f t="shared" si="208"/>
        <v>0</v>
      </c>
      <c r="M592" s="99"/>
      <c r="N592" s="88"/>
      <c r="O592" s="89"/>
      <c r="P592" s="1226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  <c r="AN592" s="91"/>
      <c r="AO592" s="91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2"/>
    </row>
    <row r="593" spans="1:58" s="82" customFormat="1">
      <c r="A593" s="1279"/>
      <c r="B593" s="1261"/>
      <c r="C593" s="1263"/>
      <c r="D593" s="84">
        <v>2024</v>
      </c>
      <c r="E593" s="85">
        <f t="shared" si="216"/>
        <v>0</v>
      </c>
      <c r="F593" s="85">
        <v>0</v>
      </c>
      <c r="G593" s="85">
        <v>0</v>
      </c>
      <c r="H593" s="85">
        <v>0</v>
      </c>
      <c r="I593" s="85">
        <v>0</v>
      </c>
      <c r="J593" s="85">
        <v>0</v>
      </c>
      <c r="K593" s="148">
        <v>0</v>
      </c>
      <c r="L593" s="497">
        <f t="shared" si="208"/>
        <v>0</v>
      </c>
      <c r="M593" s="99"/>
      <c r="N593" s="88"/>
      <c r="O593" s="89"/>
      <c r="P593" s="623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  <c r="AF593" s="91"/>
      <c r="AG593" s="91"/>
      <c r="AH593" s="91"/>
      <c r="AI593" s="91"/>
      <c r="AJ593" s="91"/>
      <c r="AK593" s="91"/>
      <c r="AL593" s="91"/>
      <c r="AM593" s="91"/>
      <c r="AN593" s="91"/>
      <c r="AO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2"/>
    </row>
    <row r="594" spans="1:58" s="82" customFormat="1">
      <c r="A594" s="1280"/>
      <c r="B594" s="1288"/>
      <c r="C594" s="1274"/>
      <c r="D594" s="84">
        <v>2025</v>
      </c>
      <c r="E594" s="85">
        <f t="shared" si="216"/>
        <v>0</v>
      </c>
      <c r="F594" s="85">
        <v>0</v>
      </c>
      <c r="G594" s="85">
        <v>0</v>
      </c>
      <c r="H594" s="85">
        <v>0</v>
      </c>
      <c r="I594" s="85">
        <v>0</v>
      </c>
      <c r="J594" s="85">
        <v>0</v>
      </c>
      <c r="K594" s="148">
        <v>0</v>
      </c>
      <c r="L594" s="497">
        <f t="shared" si="208"/>
        <v>0</v>
      </c>
      <c r="M594" s="99"/>
      <c r="N594" s="88"/>
      <c r="O594" s="89"/>
      <c r="P594" s="623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  <c r="AF594" s="91"/>
      <c r="AG594" s="91"/>
      <c r="AH594" s="91"/>
      <c r="AI594" s="91"/>
      <c r="AJ594" s="91"/>
      <c r="AK594" s="91"/>
      <c r="AL594" s="91"/>
      <c r="AM594" s="91"/>
      <c r="AN594" s="91"/>
      <c r="AO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2"/>
    </row>
    <row r="595" spans="1:58" s="82" customFormat="1" ht="12.75" customHeight="1">
      <c r="A595" s="926" t="s">
        <v>708</v>
      </c>
      <c r="B595" s="929" t="s">
        <v>165</v>
      </c>
      <c r="C595" s="348"/>
      <c r="D595" s="84" t="s">
        <v>16</v>
      </c>
      <c r="E595" s="85">
        <f t="shared" ref="E595:K595" si="217">E596+E597+E598+E599+E600+E601+E602+E603+E604+E605+E606+E607</f>
        <v>1016.4059999999999</v>
      </c>
      <c r="F595" s="85">
        <f t="shared" si="217"/>
        <v>6.2218</v>
      </c>
      <c r="G595" s="85">
        <f t="shared" si="217"/>
        <v>0</v>
      </c>
      <c r="H595" s="85">
        <f t="shared" si="217"/>
        <v>731.69849999999985</v>
      </c>
      <c r="I595" s="85">
        <f t="shared" si="217"/>
        <v>255.06189999999998</v>
      </c>
      <c r="J595" s="85">
        <f t="shared" si="217"/>
        <v>21.057300000000001</v>
      </c>
      <c r="K595" s="85">
        <f t="shared" si="217"/>
        <v>2.3664999999999998</v>
      </c>
      <c r="L595" s="497">
        <f t="shared" si="208"/>
        <v>1014.0395</v>
      </c>
      <c r="M595" s="99"/>
      <c r="N595" s="88"/>
      <c r="O595" s="89"/>
      <c r="P595" s="477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  <c r="AN595" s="91"/>
      <c r="AO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2"/>
    </row>
    <row r="596" spans="1:58" s="82" customFormat="1">
      <c r="A596" s="960"/>
      <c r="B596" s="953"/>
      <c r="C596" s="1218"/>
      <c r="D596" s="84">
        <v>2019</v>
      </c>
      <c r="E596" s="85">
        <f t="shared" ref="E596:K596" si="218">E640+E665+E685+E693+E712+E656+E699+E701</f>
        <v>563.55709999999999</v>
      </c>
      <c r="F596" s="85">
        <f t="shared" si="218"/>
        <v>3.2890000000000001</v>
      </c>
      <c r="G596" s="85">
        <f t="shared" si="218"/>
        <v>0</v>
      </c>
      <c r="H596" s="85">
        <f t="shared" si="218"/>
        <v>530.40409999999997</v>
      </c>
      <c r="I596" s="85">
        <f t="shared" si="218"/>
        <v>14.1075</v>
      </c>
      <c r="J596" s="85">
        <f t="shared" si="218"/>
        <v>15.756500000000001</v>
      </c>
      <c r="K596" s="85">
        <f t="shared" si="218"/>
        <v>0</v>
      </c>
      <c r="L596" s="497">
        <f t="shared" si="208"/>
        <v>563.55709999999988</v>
      </c>
      <c r="M596" s="99"/>
      <c r="N596" s="88"/>
      <c r="O596" s="89"/>
      <c r="P596" s="477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  <c r="AF596" s="91"/>
      <c r="AG596" s="91"/>
      <c r="AH596" s="91"/>
      <c r="AI596" s="91"/>
      <c r="AJ596" s="91"/>
      <c r="AK596" s="91"/>
      <c r="AL596" s="91"/>
      <c r="AM596" s="91"/>
      <c r="AN596" s="91"/>
      <c r="AO596" s="91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  <c r="BF596" s="92"/>
    </row>
    <row r="597" spans="1:58" s="82" customFormat="1">
      <c r="A597" s="960"/>
      <c r="B597" s="953"/>
      <c r="C597" s="1218"/>
      <c r="D597" s="84">
        <v>2020</v>
      </c>
      <c r="E597" s="85">
        <f t="shared" ref="E597:K597" si="219">E657+E666+E686+E694+E708+E713+E641+E638</f>
        <v>134.05719999999999</v>
      </c>
      <c r="F597" s="85">
        <f t="shared" si="219"/>
        <v>2.4327999999999999</v>
      </c>
      <c r="G597" s="85">
        <f t="shared" si="219"/>
        <v>0</v>
      </c>
      <c r="H597" s="85">
        <f t="shared" si="219"/>
        <v>120.235</v>
      </c>
      <c r="I597" s="85">
        <f t="shared" si="219"/>
        <v>9.4374000000000002</v>
      </c>
      <c r="J597" s="85">
        <f t="shared" si="219"/>
        <v>1.952</v>
      </c>
      <c r="K597" s="85">
        <f t="shared" si="219"/>
        <v>0</v>
      </c>
      <c r="L597" s="497">
        <f t="shared" si="208"/>
        <v>134.05719999999999</v>
      </c>
      <c r="M597" s="99"/>
      <c r="N597" s="88"/>
      <c r="O597" s="89"/>
      <c r="P597" s="477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  <c r="AN597" s="91"/>
      <c r="AO597" s="91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  <c r="BF597" s="92"/>
    </row>
    <row r="598" spans="1:58" s="82" customFormat="1">
      <c r="A598" s="960"/>
      <c r="B598" s="953"/>
      <c r="C598" s="1218"/>
      <c r="D598" s="84">
        <v>2021</v>
      </c>
      <c r="E598" s="85">
        <f t="shared" ref="E598:K598" si="220">E658+E695+E704+E710+E714+E691</f>
        <v>42.053000000000004</v>
      </c>
      <c r="F598" s="85">
        <f t="shared" si="220"/>
        <v>0</v>
      </c>
      <c r="G598" s="85">
        <f t="shared" si="220"/>
        <v>0</v>
      </c>
      <c r="H598" s="85">
        <f t="shared" si="220"/>
        <v>16.278199999999998</v>
      </c>
      <c r="I598" s="85">
        <f t="shared" si="220"/>
        <v>22.088000000000001</v>
      </c>
      <c r="J598" s="85">
        <f t="shared" si="220"/>
        <v>1.3203</v>
      </c>
      <c r="K598" s="85">
        <f t="shared" si="220"/>
        <v>2.3664999999999998</v>
      </c>
      <c r="L598" s="473" t="e">
        <f>L658+#REF!+L695+L704+L710+L714</f>
        <v>#REF!</v>
      </c>
      <c r="M598" s="99"/>
      <c r="N598" s="88"/>
      <c r="O598" s="89"/>
      <c r="P598" s="477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  <c r="AF598" s="91"/>
      <c r="AG598" s="91"/>
      <c r="AH598" s="91"/>
      <c r="AI598" s="91"/>
      <c r="AJ598" s="91"/>
      <c r="AK598" s="91"/>
      <c r="AL598" s="91"/>
      <c r="AM598" s="91"/>
      <c r="AN598" s="91"/>
      <c r="AO598" s="91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91"/>
      <c r="BE598" s="91"/>
      <c r="BF598" s="92"/>
    </row>
    <row r="599" spans="1:58" s="82" customFormat="1">
      <c r="A599" s="960"/>
      <c r="B599" s="953"/>
      <c r="C599" s="1218"/>
      <c r="D599" s="84">
        <v>2022</v>
      </c>
      <c r="E599" s="85">
        <f t="shared" ref="E599:K599" si="221">E636+E659+E687+E696+E706+E715</f>
        <v>49.784700000000001</v>
      </c>
      <c r="F599" s="85">
        <f t="shared" si="221"/>
        <v>0</v>
      </c>
      <c r="G599" s="85">
        <f t="shared" si="221"/>
        <v>0</v>
      </c>
      <c r="H599" s="85">
        <f t="shared" si="221"/>
        <v>8.3292000000000002</v>
      </c>
      <c r="I599" s="85">
        <f t="shared" si="221"/>
        <v>41.174999999999997</v>
      </c>
      <c r="J599" s="85">
        <f t="shared" si="221"/>
        <v>0.28050000000000003</v>
      </c>
      <c r="K599" s="85">
        <f t="shared" si="221"/>
        <v>0</v>
      </c>
      <c r="L599" s="497">
        <f>F599+G599+H599+I599+J599</f>
        <v>49.784700000000001</v>
      </c>
      <c r="M599" s="99"/>
      <c r="N599" s="88"/>
      <c r="O599" s="89"/>
      <c r="P599" s="477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  <c r="AF599" s="91"/>
      <c r="AG599" s="91"/>
      <c r="AH599" s="91"/>
      <c r="AI599" s="91"/>
      <c r="AJ599" s="91"/>
      <c r="AK599" s="91"/>
      <c r="AL599" s="91"/>
      <c r="AM599" s="91"/>
      <c r="AN599" s="91"/>
      <c r="AO599" s="91"/>
      <c r="AP599" s="9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91"/>
      <c r="BE599" s="91"/>
      <c r="BF599" s="92"/>
    </row>
    <row r="600" spans="1:58" s="82" customFormat="1">
      <c r="A600" s="960"/>
      <c r="B600" s="953"/>
      <c r="C600" s="1218"/>
      <c r="D600" s="84">
        <v>2023</v>
      </c>
      <c r="E600" s="85">
        <f t="shared" ref="E600:K600" si="222">E630+E660+E683+E688+E697</f>
        <v>48.256999999999998</v>
      </c>
      <c r="F600" s="85">
        <f t="shared" si="222"/>
        <v>0</v>
      </c>
      <c r="G600" s="85">
        <f t="shared" si="222"/>
        <v>0</v>
      </c>
      <c r="H600" s="85">
        <f t="shared" si="222"/>
        <v>6.0809999999999995</v>
      </c>
      <c r="I600" s="85">
        <f t="shared" si="222"/>
        <v>41.957000000000001</v>
      </c>
      <c r="J600" s="85">
        <f t="shared" si="222"/>
        <v>0.21899999999999997</v>
      </c>
      <c r="K600" s="85">
        <f t="shared" si="222"/>
        <v>0</v>
      </c>
      <c r="L600" s="497">
        <f>F600+G600+H600+I600+J600</f>
        <v>48.256999999999998</v>
      </c>
      <c r="M600" s="99"/>
      <c r="N600" s="88"/>
      <c r="O600" s="89"/>
      <c r="P600" s="477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  <c r="AF600" s="91"/>
      <c r="AG600" s="91"/>
      <c r="AH600" s="91"/>
      <c r="AI600" s="91"/>
      <c r="AJ600" s="91"/>
      <c r="AK600" s="91"/>
      <c r="AL600" s="91"/>
      <c r="AM600" s="91"/>
      <c r="AN600" s="91"/>
      <c r="AO600" s="91"/>
      <c r="AP600" s="9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91"/>
      <c r="BE600" s="91"/>
      <c r="BF600" s="92"/>
    </row>
    <row r="601" spans="1:58" s="82" customFormat="1">
      <c r="A601" s="960"/>
      <c r="B601" s="953"/>
      <c r="C601" s="1218"/>
      <c r="D601" s="84">
        <v>2024</v>
      </c>
      <c r="E601" s="85">
        <f t="shared" ref="E601:L601" si="223">E618+E620+E622+E634+E661+E689+E698</f>
        <v>55.753999999999998</v>
      </c>
      <c r="F601" s="85">
        <f t="shared" si="223"/>
        <v>0</v>
      </c>
      <c r="G601" s="85">
        <f t="shared" si="223"/>
        <v>0</v>
      </c>
      <c r="H601" s="85">
        <f t="shared" si="223"/>
        <v>13.55</v>
      </c>
      <c r="I601" s="85">
        <f t="shared" si="223"/>
        <v>41.753999999999998</v>
      </c>
      <c r="J601" s="85">
        <f t="shared" si="223"/>
        <v>0.45000000000000007</v>
      </c>
      <c r="K601" s="85">
        <f t="shared" si="223"/>
        <v>0</v>
      </c>
      <c r="L601" s="473">
        <f t="shared" si="223"/>
        <v>53.753999999999998</v>
      </c>
      <c r="M601" s="99"/>
      <c r="N601" s="88"/>
      <c r="O601" s="89"/>
      <c r="P601" s="477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  <c r="AF601" s="91"/>
      <c r="AG601" s="91"/>
      <c r="AH601" s="91"/>
      <c r="AI601" s="91"/>
      <c r="AJ601" s="91"/>
      <c r="AK601" s="91"/>
      <c r="AL601" s="91"/>
      <c r="AM601" s="91"/>
      <c r="AN601" s="91"/>
      <c r="AO601" s="91"/>
      <c r="AP601" s="9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91"/>
      <c r="BE601" s="91"/>
      <c r="BF601" s="92"/>
    </row>
    <row r="602" spans="1:58" s="82" customFormat="1">
      <c r="A602" s="960"/>
      <c r="B602" s="953"/>
      <c r="C602" s="1218"/>
      <c r="D602" s="84">
        <v>2025</v>
      </c>
      <c r="E602" s="85">
        <f t="shared" ref="E602:K602" si="224">E616+E624+E626+E628+E662</f>
        <v>56.493000000000002</v>
      </c>
      <c r="F602" s="85">
        <f t="shared" si="224"/>
        <v>0</v>
      </c>
      <c r="G602" s="85">
        <f t="shared" si="224"/>
        <v>0</v>
      </c>
      <c r="H602" s="85">
        <f t="shared" si="224"/>
        <v>13.651</v>
      </c>
      <c r="I602" s="85">
        <f t="shared" si="224"/>
        <v>42.393000000000001</v>
      </c>
      <c r="J602" s="85">
        <f t="shared" si="224"/>
        <v>0.44900000000000001</v>
      </c>
      <c r="K602" s="85">
        <f t="shared" si="224"/>
        <v>0</v>
      </c>
      <c r="L602" s="497">
        <f t="shared" ref="L602:L632" si="225">F602+G602+H602+I602+J602</f>
        <v>56.492999999999995</v>
      </c>
      <c r="M602" s="99"/>
      <c r="N602" s="88"/>
      <c r="O602" s="89"/>
      <c r="P602" s="477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  <c r="AF602" s="91"/>
      <c r="AG602" s="91"/>
      <c r="AH602" s="91"/>
      <c r="AI602" s="91"/>
      <c r="AJ602" s="91"/>
      <c r="AK602" s="91"/>
      <c r="AL602" s="91"/>
      <c r="AM602" s="91"/>
      <c r="AN602" s="91"/>
      <c r="AO602" s="91"/>
      <c r="AP602" s="9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91"/>
      <c r="BE602" s="91"/>
      <c r="BF602" s="92"/>
    </row>
    <row r="603" spans="1:58" s="82" customFormat="1">
      <c r="A603" s="960"/>
      <c r="B603" s="953"/>
      <c r="C603" s="1218"/>
      <c r="D603" s="84">
        <v>2026</v>
      </c>
      <c r="E603" s="85">
        <f t="shared" ref="E603:K603" si="226">E663</f>
        <v>42.15</v>
      </c>
      <c r="F603" s="85">
        <f t="shared" si="226"/>
        <v>0</v>
      </c>
      <c r="G603" s="85">
        <f t="shared" si="226"/>
        <v>0</v>
      </c>
      <c r="H603" s="85">
        <f t="shared" si="226"/>
        <v>0</v>
      </c>
      <c r="I603" s="85">
        <f t="shared" si="226"/>
        <v>42.15</v>
      </c>
      <c r="J603" s="85">
        <f t="shared" si="226"/>
        <v>0</v>
      </c>
      <c r="K603" s="85">
        <f t="shared" si="226"/>
        <v>0</v>
      </c>
      <c r="L603" s="497">
        <f t="shared" si="225"/>
        <v>42.15</v>
      </c>
      <c r="M603" s="99"/>
      <c r="N603" s="88"/>
      <c r="O603" s="89"/>
      <c r="P603" s="477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  <c r="AF603" s="91"/>
      <c r="AG603" s="91"/>
      <c r="AH603" s="91"/>
      <c r="AI603" s="91"/>
      <c r="AJ603" s="91"/>
      <c r="AK603" s="91"/>
      <c r="AL603" s="91"/>
      <c r="AM603" s="91"/>
      <c r="AN603" s="91"/>
      <c r="AO603" s="91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  <c r="BF603" s="92"/>
    </row>
    <row r="604" spans="1:58" s="82" customFormat="1">
      <c r="A604" s="960"/>
      <c r="B604" s="953"/>
      <c r="C604" s="1218"/>
      <c r="D604" s="84">
        <v>2027</v>
      </c>
      <c r="E604" s="85">
        <f t="shared" ref="E604:K604" si="227">E614</f>
        <v>10</v>
      </c>
      <c r="F604" s="85">
        <f t="shared" si="227"/>
        <v>0</v>
      </c>
      <c r="G604" s="85">
        <f t="shared" si="227"/>
        <v>0</v>
      </c>
      <c r="H604" s="85">
        <f t="shared" si="227"/>
        <v>9.5</v>
      </c>
      <c r="I604" s="85">
        <f t="shared" si="227"/>
        <v>0</v>
      </c>
      <c r="J604" s="85">
        <f t="shared" si="227"/>
        <v>0.5</v>
      </c>
      <c r="K604" s="85">
        <f t="shared" si="227"/>
        <v>0</v>
      </c>
      <c r="L604" s="497">
        <f t="shared" si="225"/>
        <v>10</v>
      </c>
      <c r="M604" s="99"/>
      <c r="N604" s="88"/>
      <c r="O604" s="89"/>
      <c r="P604" s="557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  <c r="AF604" s="91"/>
      <c r="AG604" s="91"/>
      <c r="AH604" s="91"/>
      <c r="AI604" s="91"/>
      <c r="AJ604" s="91"/>
      <c r="AK604" s="91"/>
      <c r="AL604" s="91"/>
      <c r="AM604" s="91"/>
      <c r="AN604" s="91"/>
      <c r="AO604" s="91"/>
      <c r="AP604" s="9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91"/>
      <c r="BE604" s="91"/>
      <c r="BF604" s="92"/>
    </row>
    <row r="605" spans="1:58" s="82" customFormat="1">
      <c r="A605" s="960"/>
      <c r="B605" s="953"/>
      <c r="C605" s="1218"/>
      <c r="D605" s="84">
        <v>2028</v>
      </c>
      <c r="E605" s="85">
        <f t="shared" ref="E605:K605" si="228">E611</f>
        <v>10</v>
      </c>
      <c r="F605" s="85">
        <f t="shared" si="228"/>
        <v>0.5</v>
      </c>
      <c r="G605" s="85">
        <f t="shared" si="228"/>
        <v>0</v>
      </c>
      <c r="H605" s="85">
        <f t="shared" si="228"/>
        <v>9.5</v>
      </c>
      <c r="I605" s="85">
        <f t="shared" si="228"/>
        <v>0</v>
      </c>
      <c r="J605" s="85">
        <f t="shared" si="228"/>
        <v>0</v>
      </c>
      <c r="K605" s="85">
        <f t="shared" si="228"/>
        <v>0</v>
      </c>
      <c r="L605" s="497">
        <f t="shared" si="225"/>
        <v>10</v>
      </c>
      <c r="M605" s="99"/>
      <c r="N605" s="88"/>
      <c r="O605" s="89"/>
      <c r="P605" s="557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  <c r="AN605" s="91"/>
      <c r="AO605" s="91"/>
      <c r="AP605" s="9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  <c r="BF605" s="92"/>
    </row>
    <row r="606" spans="1:58" s="82" customFormat="1">
      <c r="A606" s="960"/>
      <c r="B606" s="953"/>
      <c r="C606" s="1218"/>
      <c r="D606" s="84">
        <v>2029</v>
      </c>
      <c r="E606" s="85">
        <f t="shared" ref="E606:K606" si="229">E632</f>
        <v>4.3</v>
      </c>
      <c r="F606" s="85">
        <f t="shared" si="229"/>
        <v>0</v>
      </c>
      <c r="G606" s="85">
        <f t="shared" si="229"/>
        <v>0</v>
      </c>
      <c r="H606" s="85">
        <f t="shared" si="229"/>
        <v>4.17</v>
      </c>
      <c r="I606" s="85">
        <f t="shared" si="229"/>
        <v>0</v>
      </c>
      <c r="J606" s="85">
        <f t="shared" si="229"/>
        <v>0.13</v>
      </c>
      <c r="K606" s="85">
        <f t="shared" si="229"/>
        <v>0</v>
      </c>
      <c r="L606" s="497">
        <f t="shared" si="225"/>
        <v>4.3</v>
      </c>
      <c r="M606" s="99"/>
      <c r="N606" s="88"/>
      <c r="O606" s="89"/>
      <c r="P606" s="557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9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  <c r="BF606" s="92"/>
    </row>
    <row r="607" spans="1:58" s="82" customFormat="1">
      <c r="A607" s="961"/>
      <c r="B607" s="954"/>
      <c r="C607" s="1219"/>
      <c r="D607" s="84">
        <v>2030</v>
      </c>
      <c r="E607" s="85">
        <v>0</v>
      </c>
      <c r="F607" s="85">
        <f>F638</f>
        <v>0</v>
      </c>
      <c r="G607" s="85">
        <f>G638</f>
        <v>0</v>
      </c>
      <c r="H607" s="85">
        <v>0</v>
      </c>
      <c r="I607" s="85">
        <f>I638</f>
        <v>0</v>
      </c>
      <c r="J607" s="85">
        <v>0</v>
      </c>
      <c r="K607" s="85">
        <v>0</v>
      </c>
      <c r="L607" s="497">
        <f t="shared" si="225"/>
        <v>0</v>
      </c>
      <c r="M607" s="99"/>
      <c r="N607" s="88"/>
      <c r="O607" s="89"/>
      <c r="P607" s="557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  <c r="AF607" s="91"/>
      <c r="AG607" s="91"/>
      <c r="AH607" s="91"/>
      <c r="AI607" s="91"/>
      <c r="AJ607" s="91"/>
      <c r="AK607" s="91"/>
      <c r="AL607" s="91"/>
      <c r="AM607" s="91"/>
      <c r="AN607" s="91"/>
      <c r="AO607" s="91"/>
      <c r="AP607" s="9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  <c r="BF607" s="92"/>
    </row>
    <row r="608" spans="1:58" s="82" customFormat="1" ht="12.75" customHeight="1">
      <c r="A608" s="1128" t="s">
        <v>266</v>
      </c>
      <c r="B608" s="1080" t="s">
        <v>709</v>
      </c>
      <c r="C608" s="1224" t="s">
        <v>710</v>
      </c>
      <c r="D608" s="84" t="s">
        <v>16</v>
      </c>
      <c r="E608" s="85">
        <f t="shared" ref="E608:K608" si="230">E609+E610+E611+E612</f>
        <v>40</v>
      </c>
      <c r="F608" s="85">
        <f t="shared" si="230"/>
        <v>2</v>
      </c>
      <c r="G608" s="85">
        <f t="shared" si="230"/>
        <v>0</v>
      </c>
      <c r="H608" s="85">
        <f t="shared" si="230"/>
        <v>38</v>
      </c>
      <c r="I608" s="85">
        <f t="shared" si="230"/>
        <v>0</v>
      </c>
      <c r="J608" s="85">
        <f t="shared" si="230"/>
        <v>0</v>
      </c>
      <c r="K608" s="85">
        <f t="shared" si="230"/>
        <v>0</v>
      </c>
      <c r="L608" s="497">
        <f t="shared" si="225"/>
        <v>40</v>
      </c>
      <c r="M608" s="99"/>
      <c r="N608" s="88"/>
      <c r="O608" s="89"/>
      <c r="P608" s="1166" t="s">
        <v>561</v>
      </c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  <c r="AF608" s="91"/>
      <c r="AG608" s="91"/>
      <c r="AH608" s="91"/>
      <c r="AI608" s="91"/>
      <c r="AJ608" s="91"/>
      <c r="AK608" s="91"/>
      <c r="AL608" s="91"/>
      <c r="AM608" s="91"/>
      <c r="AN608" s="91"/>
      <c r="AO608" s="91"/>
      <c r="AP608" s="9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91"/>
      <c r="BE608" s="91"/>
      <c r="BF608" s="92"/>
    </row>
    <row r="609" spans="1:58" s="82" customFormat="1" ht="13.5" customHeight="1">
      <c r="A609" s="1183"/>
      <c r="B609" s="960"/>
      <c r="C609" s="1218"/>
      <c r="D609" s="84">
        <v>2026</v>
      </c>
      <c r="E609" s="85">
        <f>F609+G609+H609+I609+J609</f>
        <v>10</v>
      </c>
      <c r="F609" s="85">
        <v>0.5</v>
      </c>
      <c r="G609" s="85">
        <v>0</v>
      </c>
      <c r="H609" s="85">
        <v>9.5</v>
      </c>
      <c r="I609" s="85">
        <v>0</v>
      </c>
      <c r="J609" s="85">
        <v>0</v>
      </c>
      <c r="K609" s="148">
        <v>0</v>
      </c>
      <c r="L609" s="497">
        <f t="shared" si="225"/>
        <v>10</v>
      </c>
      <c r="M609" s="99" t="s">
        <v>711</v>
      </c>
      <c r="N609" s="88"/>
      <c r="O609" s="89"/>
      <c r="P609" s="1167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  <c r="AF609" s="91"/>
      <c r="AG609" s="91"/>
      <c r="AH609" s="91"/>
      <c r="AI609" s="91"/>
      <c r="AJ609" s="91"/>
      <c r="AK609" s="91"/>
      <c r="AL609" s="91"/>
      <c r="AM609" s="91"/>
      <c r="AN609" s="91"/>
      <c r="AO609" s="91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  <c r="BF609" s="92"/>
    </row>
    <row r="610" spans="1:58" s="82" customFormat="1" ht="16.5" customHeight="1">
      <c r="A610" s="1183"/>
      <c r="B610" s="960"/>
      <c r="C610" s="1218"/>
      <c r="D610" s="84">
        <v>2027</v>
      </c>
      <c r="E610" s="85">
        <f>F610+G610+H610+I610+J610</f>
        <v>10</v>
      </c>
      <c r="F610" s="85">
        <v>0.5</v>
      </c>
      <c r="G610" s="85">
        <v>0</v>
      </c>
      <c r="H610" s="85">
        <v>9.5</v>
      </c>
      <c r="I610" s="85">
        <v>0</v>
      </c>
      <c r="J610" s="85">
        <v>0</v>
      </c>
      <c r="K610" s="148">
        <v>0</v>
      </c>
      <c r="L610" s="497">
        <f t="shared" si="225"/>
        <v>10</v>
      </c>
      <c r="M610" s="99" t="s">
        <v>711</v>
      </c>
      <c r="N610" s="88"/>
      <c r="O610" s="89"/>
      <c r="P610" s="1289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  <c r="AF610" s="91"/>
      <c r="AG610" s="91"/>
      <c r="AH610" s="91"/>
      <c r="AI610" s="91"/>
      <c r="AJ610" s="91"/>
      <c r="AK610" s="91"/>
      <c r="AL610" s="91"/>
      <c r="AM610" s="91"/>
      <c r="AN610" s="91"/>
      <c r="AO610" s="91"/>
      <c r="AP610" s="9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  <c r="BF610" s="92"/>
    </row>
    <row r="611" spans="1:58" s="82" customFormat="1" ht="14.25" customHeight="1">
      <c r="A611" s="1183"/>
      <c r="B611" s="960"/>
      <c r="C611" s="1218"/>
      <c r="D611" s="84">
        <v>2028</v>
      </c>
      <c r="E611" s="85">
        <f>F611+G611+H611+I611+J611</f>
        <v>10</v>
      </c>
      <c r="F611" s="85">
        <v>0.5</v>
      </c>
      <c r="G611" s="85">
        <v>0</v>
      </c>
      <c r="H611" s="85">
        <v>9.5</v>
      </c>
      <c r="I611" s="85">
        <v>0</v>
      </c>
      <c r="J611" s="85">
        <v>0</v>
      </c>
      <c r="K611" s="148">
        <v>0</v>
      </c>
      <c r="L611" s="497">
        <f t="shared" si="225"/>
        <v>10</v>
      </c>
      <c r="M611" s="99" t="s">
        <v>711</v>
      </c>
      <c r="N611" s="88"/>
      <c r="O611" s="89"/>
      <c r="P611" s="1289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  <c r="AF611" s="91"/>
      <c r="AG611" s="91"/>
      <c r="AH611" s="91"/>
      <c r="AI611" s="91"/>
      <c r="AJ611" s="91"/>
      <c r="AK611" s="91"/>
      <c r="AL611" s="91"/>
      <c r="AM611" s="91"/>
      <c r="AN611" s="91"/>
      <c r="AO611" s="91"/>
      <c r="AP611" s="9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91"/>
      <c r="BE611" s="91"/>
      <c r="BF611" s="92"/>
    </row>
    <row r="612" spans="1:58" s="82" customFormat="1" ht="21" customHeight="1">
      <c r="A612" s="1151"/>
      <c r="B612" s="961"/>
      <c r="C612" s="1219"/>
      <c r="D612" s="84">
        <v>2029</v>
      </c>
      <c r="E612" s="85">
        <f>F612+G612+H612+I612+J612</f>
        <v>10</v>
      </c>
      <c r="F612" s="85">
        <v>0.5</v>
      </c>
      <c r="G612" s="85">
        <v>0</v>
      </c>
      <c r="H612" s="85">
        <v>9.5</v>
      </c>
      <c r="I612" s="85">
        <v>0</v>
      </c>
      <c r="J612" s="85">
        <v>0</v>
      </c>
      <c r="K612" s="148">
        <v>0</v>
      </c>
      <c r="L612" s="497">
        <f t="shared" si="225"/>
        <v>10</v>
      </c>
      <c r="M612" s="99" t="s">
        <v>711</v>
      </c>
      <c r="N612" s="88"/>
      <c r="O612" s="89"/>
      <c r="P612" s="1287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  <c r="AF612" s="91"/>
      <c r="AG612" s="91"/>
      <c r="AH612" s="91"/>
      <c r="AI612" s="91"/>
      <c r="AJ612" s="91"/>
      <c r="AK612" s="91"/>
      <c r="AL612" s="91"/>
      <c r="AM612" s="91"/>
      <c r="AN612" s="91"/>
      <c r="AO612" s="91"/>
      <c r="AP612" s="9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91"/>
      <c r="BE612" s="91"/>
      <c r="BF612" s="92"/>
    </row>
    <row r="613" spans="1:58" s="82" customFormat="1">
      <c r="A613" s="1128" t="s">
        <v>712</v>
      </c>
      <c r="B613" s="1080" t="s">
        <v>713</v>
      </c>
      <c r="C613" s="1245" t="s">
        <v>710</v>
      </c>
      <c r="D613" s="84" t="s">
        <v>16</v>
      </c>
      <c r="E613" s="85">
        <f t="shared" ref="E613:J613" si="231">E614</f>
        <v>10</v>
      </c>
      <c r="F613" s="85">
        <f t="shared" si="231"/>
        <v>0</v>
      </c>
      <c r="G613" s="85">
        <f t="shared" si="231"/>
        <v>0</v>
      </c>
      <c r="H613" s="85">
        <f t="shared" si="231"/>
        <v>9.5</v>
      </c>
      <c r="I613" s="85">
        <f t="shared" si="231"/>
        <v>0</v>
      </c>
      <c r="J613" s="85">
        <f t="shared" si="231"/>
        <v>0.5</v>
      </c>
      <c r="K613" s="148">
        <v>0</v>
      </c>
      <c r="L613" s="497">
        <f t="shared" si="225"/>
        <v>10</v>
      </c>
      <c r="M613" s="943" t="s">
        <v>714</v>
      </c>
      <c r="N613" s="895"/>
      <c r="O613" s="875"/>
      <c r="P613" s="1286" t="s">
        <v>715</v>
      </c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  <c r="AF613" s="91"/>
      <c r="AG613" s="91"/>
      <c r="AH613" s="91"/>
      <c r="AI613" s="91"/>
      <c r="AJ613" s="91"/>
      <c r="AK613" s="91"/>
      <c r="AL613" s="91"/>
      <c r="AM613" s="91"/>
      <c r="AN613" s="91"/>
      <c r="AO613" s="91"/>
      <c r="AP613" s="9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  <c r="BF613" s="92"/>
    </row>
    <row r="614" spans="1:58" s="82" customFormat="1" ht="27" customHeight="1">
      <c r="A614" s="1184"/>
      <c r="B614" s="961"/>
      <c r="C614" s="1298"/>
      <c r="D614" s="84">
        <v>2027</v>
      </c>
      <c r="E614" s="85">
        <f>F614+G614+H614+I614+J614</f>
        <v>10</v>
      </c>
      <c r="F614" s="85">
        <v>0</v>
      </c>
      <c r="G614" s="85">
        <v>0</v>
      </c>
      <c r="H614" s="85">
        <v>9.5</v>
      </c>
      <c r="I614" s="85">
        <v>0</v>
      </c>
      <c r="J614" s="85">
        <v>0.5</v>
      </c>
      <c r="K614" s="148">
        <v>0</v>
      </c>
      <c r="L614" s="497">
        <f t="shared" si="225"/>
        <v>10</v>
      </c>
      <c r="M614" s="846"/>
      <c r="N614" s="897"/>
      <c r="O614" s="876"/>
      <c r="P614" s="1299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  <c r="AF614" s="91"/>
      <c r="AG614" s="91"/>
      <c r="AH614" s="91"/>
      <c r="AI614" s="91"/>
      <c r="AJ614" s="91"/>
      <c r="AK614" s="91"/>
      <c r="AL614" s="91"/>
      <c r="AM614" s="91"/>
      <c r="AN614" s="91"/>
      <c r="AO614" s="91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91"/>
      <c r="BE614" s="91"/>
      <c r="BF614" s="92"/>
    </row>
    <row r="615" spans="1:58" s="82" customFormat="1" ht="12.75" customHeight="1">
      <c r="A615" s="1128" t="s">
        <v>716</v>
      </c>
      <c r="B615" s="1080" t="s">
        <v>717</v>
      </c>
      <c r="C615" s="1224" t="s">
        <v>1406</v>
      </c>
      <c r="D615" s="84" t="s">
        <v>16</v>
      </c>
      <c r="E615" s="85">
        <f t="shared" ref="E615:J615" si="232">E616</f>
        <v>3.5</v>
      </c>
      <c r="F615" s="85">
        <f t="shared" si="232"/>
        <v>0</v>
      </c>
      <c r="G615" s="85">
        <f t="shared" si="232"/>
        <v>0</v>
      </c>
      <c r="H615" s="85">
        <f t="shared" si="232"/>
        <v>3.4</v>
      </c>
      <c r="I615" s="85">
        <f t="shared" si="232"/>
        <v>0</v>
      </c>
      <c r="J615" s="85">
        <f t="shared" si="232"/>
        <v>0.1</v>
      </c>
      <c r="K615" s="148">
        <v>0</v>
      </c>
      <c r="L615" s="497">
        <f t="shared" si="225"/>
        <v>3.5</v>
      </c>
      <c r="M615" s="892" t="s">
        <v>718</v>
      </c>
      <c r="N615" s="895"/>
      <c r="O615" s="875"/>
      <c r="P615" s="1286" t="s">
        <v>617</v>
      </c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  <c r="AF615" s="91"/>
      <c r="AG615" s="91"/>
      <c r="AH615" s="91"/>
      <c r="AI615" s="91"/>
      <c r="AJ615" s="91"/>
      <c r="AK615" s="91"/>
      <c r="AL615" s="91"/>
      <c r="AM615" s="91"/>
      <c r="AN615" s="91"/>
      <c r="AO615" s="91"/>
      <c r="AP615" s="9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91"/>
      <c r="BE615" s="91"/>
      <c r="BF615" s="92"/>
    </row>
    <row r="616" spans="1:58" s="82" customFormat="1" ht="90" customHeight="1">
      <c r="A616" s="1184"/>
      <c r="B616" s="961"/>
      <c r="C616" s="1219"/>
      <c r="D616" s="84">
        <v>2025</v>
      </c>
      <c r="E616" s="85">
        <f>F616+G616+H616+I616+J616</f>
        <v>3.5</v>
      </c>
      <c r="F616" s="85">
        <v>0</v>
      </c>
      <c r="G616" s="85">
        <v>0</v>
      </c>
      <c r="H616" s="85">
        <v>3.4</v>
      </c>
      <c r="I616" s="85">
        <v>0</v>
      </c>
      <c r="J616" s="85">
        <v>0.1</v>
      </c>
      <c r="K616" s="148">
        <v>0</v>
      </c>
      <c r="L616" s="497">
        <f t="shared" si="225"/>
        <v>3.5</v>
      </c>
      <c r="M616" s="1280"/>
      <c r="N616" s="897"/>
      <c r="O616" s="876"/>
      <c r="P616" s="1299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  <c r="AF616" s="91"/>
      <c r="AG616" s="91"/>
      <c r="AH616" s="91"/>
      <c r="AI616" s="91"/>
      <c r="AJ616" s="91"/>
      <c r="AK616" s="91"/>
      <c r="AL616" s="91"/>
      <c r="AM616" s="91"/>
      <c r="AN616" s="91"/>
      <c r="AO616" s="91"/>
      <c r="AP616" s="9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91"/>
      <c r="BE616" s="91"/>
      <c r="BF616" s="92"/>
    </row>
    <row r="617" spans="1:58" s="82" customFormat="1" ht="27.75" customHeight="1">
      <c r="A617" s="1128" t="s">
        <v>719</v>
      </c>
      <c r="B617" s="1080" t="s">
        <v>720</v>
      </c>
      <c r="C617" s="1224" t="s">
        <v>532</v>
      </c>
      <c r="D617" s="84" t="s">
        <v>16</v>
      </c>
      <c r="E617" s="85">
        <f t="shared" ref="E617:J617" si="233">E618</f>
        <v>2.9</v>
      </c>
      <c r="F617" s="85">
        <f t="shared" si="233"/>
        <v>0</v>
      </c>
      <c r="G617" s="85">
        <f t="shared" si="233"/>
        <v>0</v>
      </c>
      <c r="H617" s="85">
        <f t="shared" si="233"/>
        <v>2.82</v>
      </c>
      <c r="I617" s="85">
        <f t="shared" si="233"/>
        <v>0</v>
      </c>
      <c r="J617" s="85">
        <f t="shared" si="233"/>
        <v>0.08</v>
      </c>
      <c r="K617" s="148">
        <v>0</v>
      </c>
      <c r="L617" s="497">
        <f t="shared" si="225"/>
        <v>2.9</v>
      </c>
      <c r="M617" s="943" t="s">
        <v>721</v>
      </c>
      <c r="N617" s="895"/>
      <c r="O617" s="875"/>
      <c r="P617" s="1166" t="s">
        <v>545</v>
      </c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  <c r="AF617" s="91"/>
      <c r="AG617" s="91"/>
      <c r="AH617" s="91"/>
      <c r="AI617" s="91"/>
      <c r="AJ617" s="91"/>
      <c r="AK617" s="91"/>
      <c r="AL617" s="91"/>
      <c r="AM617" s="91"/>
      <c r="AN617" s="91"/>
      <c r="AO617" s="91"/>
      <c r="AP617" s="9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91"/>
      <c r="BE617" s="91"/>
      <c r="BF617" s="92"/>
    </row>
    <row r="618" spans="1:58" s="82" customFormat="1" ht="21.75" customHeight="1">
      <c r="A618" s="1184"/>
      <c r="B618" s="961"/>
      <c r="C618" s="1219"/>
      <c r="D618" s="84">
        <v>2024</v>
      </c>
      <c r="E618" s="85">
        <f>F618+H618+G618+I618+J618</f>
        <v>2.9</v>
      </c>
      <c r="F618" s="85">
        <v>0</v>
      </c>
      <c r="G618" s="85">
        <v>0</v>
      </c>
      <c r="H618" s="85">
        <v>2.82</v>
      </c>
      <c r="I618" s="85">
        <v>0</v>
      </c>
      <c r="J618" s="85">
        <v>0.08</v>
      </c>
      <c r="K618" s="148">
        <v>0</v>
      </c>
      <c r="L618" s="497">
        <f t="shared" si="225"/>
        <v>2.9</v>
      </c>
      <c r="M618" s="841"/>
      <c r="N618" s="897"/>
      <c r="O618" s="876"/>
      <c r="P618" s="1302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  <c r="AN618" s="91"/>
      <c r="AO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  <c r="BF618" s="92"/>
    </row>
    <row r="619" spans="1:58" s="82" customFormat="1" ht="27.75" customHeight="1">
      <c r="A619" s="1128" t="s">
        <v>722</v>
      </c>
      <c r="B619" s="1080" t="s">
        <v>723</v>
      </c>
      <c r="C619" s="1224" t="s">
        <v>532</v>
      </c>
      <c r="D619" s="84" t="s">
        <v>16</v>
      </c>
      <c r="E619" s="85">
        <f t="shared" ref="E619:J619" si="234">E620</f>
        <v>4.8</v>
      </c>
      <c r="F619" s="85">
        <f t="shared" si="234"/>
        <v>0</v>
      </c>
      <c r="G619" s="85">
        <f t="shared" si="234"/>
        <v>0</v>
      </c>
      <c r="H619" s="85">
        <f t="shared" si="234"/>
        <v>4.66</v>
      </c>
      <c r="I619" s="85">
        <f t="shared" si="234"/>
        <v>0</v>
      </c>
      <c r="J619" s="85">
        <f t="shared" si="234"/>
        <v>0.14000000000000001</v>
      </c>
      <c r="K619" s="148">
        <v>0</v>
      </c>
      <c r="L619" s="497">
        <f t="shared" si="225"/>
        <v>4.8</v>
      </c>
      <c r="M619" s="943" t="s">
        <v>673</v>
      </c>
      <c r="N619" s="895"/>
      <c r="O619" s="875"/>
      <c r="P619" s="1286" t="s">
        <v>724</v>
      </c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  <c r="AN619" s="91"/>
      <c r="AO619" s="91"/>
      <c r="AP619" s="9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  <c r="BF619" s="92"/>
    </row>
    <row r="620" spans="1:58" s="82" customFormat="1" ht="30" customHeight="1">
      <c r="A620" s="1184"/>
      <c r="B620" s="961"/>
      <c r="C620" s="1219"/>
      <c r="D620" s="84">
        <v>2024</v>
      </c>
      <c r="E620" s="85">
        <f>F620+G620+H620+I620+J620</f>
        <v>4.8</v>
      </c>
      <c r="F620" s="85">
        <v>0</v>
      </c>
      <c r="G620" s="85">
        <v>0</v>
      </c>
      <c r="H620" s="85">
        <v>4.66</v>
      </c>
      <c r="I620" s="85">
        <v>0</v>
      </c>
      <c r="J620" s="85">
        <v>0.14000000000000001</v>
      </c>
      <c r="K620" s="148">
        <v>0</v>
      </c>
      <c r="L620" s="497">
        <f t="shared" si="225"/>
        <v>4.8</v>
      </c>
      <c r="M620" s="841"/>
      <c r="N620" s="897"/>
      <c r="O620" s="876"/>
      <c r="P620" s="1299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  <c r="AN620" s="91"/>
      <c r="AO620" s="91"/>
      <c r="AP620" s="9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  <c r="BF620" s="92"/>
    </row>
    <row r="621" spans="1:58" s="82" customFormat="1" ht="20.25" customHeight="1">
      <c r="A621" s="1128" t="s">
        <v>725</v>
      </c>
      <c r="B621" s="1080" t="s">
        <v>726</v>
      </c>
      <c r="C621" s="1224" t="s">
        <v>532</v>
      </c>
      <c r="D621" s="84" t="s">
        <v>16</v>
      </c>
      <c r="E621" s="136">
        <f t="shared" ref="E621:J621" si="235">E622</f>
        <v>4.3</v>
      </c>
      <c r="F621" s="136">
        <f t="shared" si="235"/>
        <v>0</v>
      </c>
      <c r="G621" s="136">
        <f t="shared" si="235"/>
        <v>0</v>
      </c>
      <c r="H621" s="136">
        <f t="shared" si="235"/>
        <v>4.17</v>
      </c>
      <c r="I621" s="136">
        <f t="shared" si="235"/>
        <v>0</v>
      </c>
      <c r="J621" s="313">
        <f t="shared" si="235"/>
        <v>0.13</v>
      </c>
      <c r="K621" s="148">
        <v>0</v>
      </c>
      <c r="L621" s="497">
        <f t="shared" si="225"/>
        <v>4.3</v>
      </c>
      <c r="M621" s="943" t="s">
        <v>727</v>
      </c>
      <c r="N621" s="895"/>
      <c r="O621" s="875"/>
      <c r="P621" s="1286" t="s">
        <v>728</v>
      </c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  <c r="AN621" s="91"/>
      <c r="AO621" s="91"/>
      <c r="AP621" s="9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  <c r="BF621" s="92"/>
    </row>
    <row r="622" spans="1:58" s="82" customFormat="1" ht="35.25" customHeight="1">
      <c r="A622" s="1151"/>
      <c r="B622" s="961"/>
      <c r="C622" s="1219"/>
      <c r="D622" s="84">
        <v>2024</v>
      </c>
      <c r="E622" s="85">
        <f>F622+G622+H622+I622+J622</f>
        <v>4.3</v>
      </c>
      <c r="F622" s="85">
        <v>0</v>
      </c>
      <c r="G622" s="85">
        <v>0</v>
      </c>
      <c r="H622" s="85">
        <v>4.17</v>
      </c>
      <c r="I622" s="85">
        <v>0</v>
      </c>
      <c r="J622" s="85">
        <v>0.13</v>
      </c>
      <c r="K622" s="148">
        <v>0</v>
      </c>
      <c r="L622" s="497">
        <f t="shared" si="225"/>
        <v>4.3</v>
      </c>
      <c r="M622" s="841"/>
      <c r="N622" s="897"/>
      <c r="O622" s="876"/>
      <c r="P622" s="1299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  <c r="AF622" s="91"/>
      <c r="AG622" s="91"/>
      <c r="AH622" s="91"/>
      <c r="AI622" s="91"/>
      <c r="AJ622" s="91"/>
      <c r="AK622" s="91"/>
      <c r="AL622" s="91"/>
      <c r="AM622" s="91"/>
      <c r="AN622" s="91"/>
      <c r="AO622" s="91"/>
      <c r="AP622" s="9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91"/>
      <c r="BE622" s="91"/>
      <c r="BF622" s="92"/>
    </row>
    <row r="623" spans="1:58" s="82" customFormat="1" ht="36.75" customHeight="1">
      <c r="A623" s="1128" t="s">
        <v>729</v>
      </c>
      <c r="B623" s="1080" t="s">
        <v>730</v>
      </c>
      <c r="C623" s="1224" t="s">
        <v>532</v>
      </c>
      <c r="D623" s="84" t="s">
        <v>16</v>
      </c>
      <c r="E623" s="313">
        <f t="shared" ref="E623:J623" si="236">E624</f>
        <v>4.3</v>
      </c>
      <c r="F623" s="313">
        <f t="shared" si="236"/>
        <v>0</v>
      </c>
      <c r="G623" s="313">
        <f t="shared" si="236"/>
        <v>0</v>
      </c>
      <c r="H623" s="313">
        <f t="shared" si="236"/>
        <v>4.17</v>
      </c>
      <c r="I623" s="313">
        <f t="shared" si="236"/>
        <v>0</v>
      </c>
      <c r="J623" s="313">
        <f t="shared" si="236"/>
        <v>0.13</v>
      </c>
      <c r="K623" s="148">
        <v>0</v>
      </c>
      <c r="L623" s="497">
        <f t="shared" si="225"/>
        <v>4.3</v>
      </c>
      <c r="M623" s="1027" t="s">
        <v>727</v>
      </c>
      <c r="N623" s="136"/>
      <c r="O623" s="137"/>
      <c r="P623" s="1286" t="s">
        <v>731</v>
      </c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  <c r="AN623" s="91"/>
      <c r="AO623" s="91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  <c r="BF623" s="92"/>
    </row>
    <row r="624" spans="1:58" s="82" customFormat="1" ht="21" customHeight="1">
      <c r="A624" s="1151"/>
      <c r="B624" s="961"/>
      <c r="C624" s="1219"/>
      <c r="D624" s="84">
        <v>2025</v>
      </c>
      <c r="E624" s="85">
        <f>F624+G624+H624+I624+J624</f>
        <v>4.3</v>
      </c>
      <c r="F624" s="85">
        <v>0</v>
      </c>
      <c r="G624" s="85">
        <v>0</v>
      </c>
      <c r="H624" s="85">
        <v>4.17</v>
      </c>
      <c r="I624" s="85">
        <v>0</v>
      </c>
      <c r="J624" s="85">
        <v>0.13</v>
      </c>
      <c r="K624" s="148">
        <v>0</v>
      </c>
      <c r="L624" s="497">
        <f t="shared" si="225"/>
        <v>4.3</v>
      </c>
      <c r="M624" s="1027"/>
      <c r="N624" s="136"/>
      <c r="O624" s="137"/>
      <c r="P624" s="1299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  <c r="BF624" s="92"/>
    </row>
    <row r="625" spans="1:58" s="82" customFormat="1" ht="24.75" customHeight="1">
      <c r="A625" s="1128" t="s">
        <v>732</v>
      </c>
      <c r="B625" s="1080" t="s">
        <v>733</v>
      </c>
      <c r="C625" s="1224" t="s">
        <v>532</v>
      </c>
      <c r="D625" s="84" t="s">
        <v>16</v>
      </c>
      <c r="E625" s="136">
        <f t="shared" ref="E625:J625" si="237">E626</f>
        <v>4.8</v>
      </c>
      <c r="F625" s="136">
        <f t="shared" si="237"/>
        <v>0</v>
      </c>
      <c r="G625" s="136">
        <f t="shared" si="237"/>
        <v>0</v>
      </c>
      <c r="H625" s="136">
        <f t="shared" si="237"/>
        <v>4.6559999999999997</v>
      </c>
      <c r="I625" s="136">
        <f t="shared" si="237"/>
        <v>0</v>
      </c>
      <c r="J625" s="313">
        <f t="shared" si="237"/>
        <v>0.14399999999999999</v>
      </c>
      <c r="K625" s="148">
        <v>0</v>
      </c>
      <c r="L625" s="497">
        <f t="shared" si="225"/>
        <v>4.8</v>
      </c>
      <c r="M625" s="1027" t="s">
        <v>727</v>
      </c>
      <c r="N625" s="136"/>
      <c r="O625" s="137"/>
      <c r="P625" s="1310" t="s">
        <v>734</v>
      </c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  <c r="AN625" s="91"/>
      <c r="AO625" s="91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  <c r="BF625" s="92"/>
    </row>
    <row r="626" spans="1:58" s="82" customFormat="1" ht="35.25" customHeight="1">
      <c r="A626" s="1151"/>
      <c r="B626" s="961"/>
      <c r="C626" s="1219"/>
      <c r="D626" s="654">
        <v>2025</v>
      </c>
      <c r="E626" s="85">
        <f>F626+G626+H626+I626+J626</f>
        <v>4.8</v>
      </c>
      <c r="F626" s="85">
        <v>0</v>
      </c>
      <c r="G626" s="85">
        <v>0</v>
      </c>
      <c r="H626" s="85">
        <v>4.6559999999999997</v>
      </c>
      <c r="I626" s="85">
        <v>0</v>
      </c>
      <c r="J626" s="85">
        <v>0.14399999999999999</v>
      </c>
      <c r="K626" s="148">
        <v>0</v>
      </c>
      <c r="L626" s="497">
        <f t="shared" si="225"/>
        <v>4.8</v>
      </c>
      <c r="M626" s="1027"/>
      <c r="N626" s="136"/>
      <c r="O626" s="137"/>
      <c r="P626" s="131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  <c r="BF626" s="92"/>
    </row>
    <row r="627" spans="1:58" s="82" customFormat="1" ht="23.25" customHeight="1">
      <c r="A627" s="1128" t="s">
        <v>735</v>
      </c>
      <c r="B627" s="1080" t="s">
        <v>736</v>
      </c>
      <c r="C627" s="1224" t="s">
        <v>532</v>
      </c>
      <c r="D627" s="84" t="s">
        <v>16</v>
      </c>
      <c r="E627" s="136">
        <f t="shared" ref="E627:J627" si="238">E628</f>
        <v>1.5</v>
      </c>
      <c r="F627" s="136">
        <f t="shared" si="238"/>
        <v>0</v>
      </c>
      <c r="G627" s="136">
        <f t="shared" si="238"/>
        <v>0</v>
      </c>
      <c r="H627" s="136">
        <f t="shared" si="238"/>
        <v>1.425</v>
      </c>
      <c r="I627" s="136">
        <f t="shared" si="238"/>
        <v>0</v>
      </c>
      <c r="J627" s="313">
        <f t="shared" si="238"/>
        <v>7.4999999999999997E-2</v>
      </c>
      <c r="K627" s="148">
        <v>0</v>
      </c>
      <c r="L627" s="497">
        <f t="shared" si="225"/>
        <v>1.5</v>
      </c>
      <c r="M627" s="1027" t="s">
        <v>727</v>
      </c>
      <c r="N627" s="136"/>
      <c r="O627" s="137"/>
      <c r="P627" s="1286" t="s">
        <v>737</v>
      </c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  <c r="AN627" s="91"/>
      <c r="AO627" s="91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  <c r="BF627" s="92"/>
    </row>
    <row r="628" spans="1:58" s="82" customFormat="1" ht="34.5" customHeight="1">
      <c r="A628" s="1151"/>
      <c r="B628" s="961"/>
      <c r="C628" s="1219"/>
      <c r="D628" s="84">
        <v>2025</v>
      </c>
      <c r="E628" s="85">
        <f>F628+G628+H628+I628+J628</f>
        <v>1.5</v>
      </c>
      <c r="F628" s="85">
        <v>0</v>
      </c>
      <c r="G628" s="85">
        <v>0</v>
      </c>
      <c r="H628" s="85">
        <v>1.425</v>
      </c>
      <c r="I628" s="85">
        <v>0</v>
      </c>
      <c r="J628" s="85">
        <v>7.4999999999999997E-2</v>
      </c>
      <c r="K628" s="148">
        <v>0</v>
      </c>
      <c r="L628" s="497">
        <f t="shared" si="225"/>
        <v>1.5</v>
      </c>
      <c r="M628" s="1027"/>
      <c r="N628" s="136"/>
      <c r="O628" s="137"/>
      <c r="P628" s="1299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91"/>
      <c r="BE628" s="91"/>
      <c r="BF628" s="92"/>
    </row>
    <row r="629" spans="1:58" s="82" customFormat="1" ht="21.75" customHeight="1">
      <c r="A629" s="1128" t="s">
        <v>738</v>
      </c>
      <c r="B629" s="1080" t="s">
        <v>739</v>
      </c>
      <c r="C629" s="1224" t="s">
        <v>532</v>
      </c>
      <c r="D629" s="84" t="s">
        <v>16</v>
      </c>
      <c r="E629" s="136">
        <f t="shared" ref="E629:J629" si="239">E630</f>
        <v>4.8</v>
      </c>
      <c r="F629" s="136">
        <f t="shared" si="239"/>
        <v>0</v>
      </c>
      <c r="G629" s="136">
        <f t="shared" si="239"/>
        <v>0</v>
      </c>
      <c r="H629" s="136">
        <f t="shared" si="239"/>
        <v>4.6559999999999997</v>
      </c>
      <c r="I629" s="136">
        <f t="shared" si="239"/>
        <v>0</v>
      </c>
      <c r="J629" s="313">
        <f t="shared" si="239"/>
        <v>0.14399999999999999</v>
      </c>
      <c r="K629" s="148">
        <v>0</v>
      </c>
      <c r="L629" s="497">
        <f t="shared" si="225"/>
        <v>4.8</v>
      </c>
      <c r="M629" s="1027" t="s">
        <v>673</v>
      </c>
      <c r="N629" s="136"/>
      <c r="O629" s="137"/>
      <c r="P629" s="1286" t="s">
        <v>740</v>
      </c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  <c r="AN629" s="91"/>
      <c r="AO629" s="91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  <c r="BF629" s="92"/>
    </row>
    <row r="630" spans="1:58" s="82" customFormat="1" ht="32.25" customHeight="1">
      <c r="A630" s="1151"/>
      <c r="B630" s="961"/>
      <c r="C630" s="1219"/>
      <c r="D630" s="84">
        <v>2023</v>
      </c>
      <c r="E630" s="85">
        <f>F630+G630+H630+I630+J630</f>
        <v>4.8</v>
      </c>
      <c r="F630" s="85">
        <v>0</v>
      </c>
      <c r="G630" s="85">
        <v>0</v>
      </c>
      <c r="H630" s="85">
        <v>4.6559999999999997</v>
      </c>
      <c r="I630" s="85">
        <v>0</v>
      </c>
      <c r="J630" s="85">
        <v>0.14399999999999999</v>
      </c>
      <c r="K630" s="148">
        <v>0</v>
      </c>
      <c r="L630" s="497">
        <f t="shared" si="225"/>
        <v>4.8</v>
      </c>
      <c r="M630" s="1027"/>
      <c r="N630" s="136"/>
      <c r="O630" s="137"/>
      <c r="P630" s="1299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  <c r="AN630" s="91"/>
      <c r="AO630" s="91"/>
      <c r="AP630" s="9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91"/>
      <c r="BE630" s="91"/>
      <c r="BF630" s="92"/>
    </row>
    <row r="631" spans="1:58" s="82" customFormat="1">
      <c r="A631" s="1128" t="s">
        <v>741</v>
      </c>
      <c r="B631" s="1080" t="s">
        <v>742</v>
      </c>
      <c r="C631" s="1224" t="s">
        <v>532</v>
      </c>
      <c r="D631" s="84" t="s">
        <v>16</v>
      </c>
      <c r="E631" s="136">
        <f t="shared" ref="E631:J631" si="240">E632</f>
        <v>4.3</v>
      </c>
      <c r="F631" s="136">
        <f t="shared" si="240"/>
        <v>0</v>
      </c>
      <c r="G631" s="136">
        <f t="shared" si="240"/>
        <v>0</v>
      </c>
      <c r="H631" s="136">
        <f t="shared" si="240"/>
        <v>4.17</v>
      </c>
      <c r="I631" s="136">
        <f t="shared" si="240"/>
        <v>0</v>
      </c>
      <c r="J631" s="313">
        <f t="shared" si="240"/>
        <v>0.13</v>
      </c>
      <c r="K631" s="148">
        <v>0</v>
      </c>
      <c r="L631" s="497">
        <f t="shared" si="225"/>
        <v>4.3</v>
      </c>
      <c r="M631" s="840" t="s">
        <v>673</v>
      </c>
      <c r="N631" s="136"/>
      <c r="O631" s="137"/>
      <c r="P631" s="1286" t="s">
        <v>539</v>
      </c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  <c r="AN631" s="91"/>
      <c r="AO631" s="91"/>
      <c r="AP631" s="9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91"/>
      <c r="BE631" s="91"/>
      <c r="BF631" s="92"/>
    </row>
    <row r="632" spans="1:58" s="82" customFormat="1" ht="39.75" customHeight="1">
      <c r="A632" s="1151"/>
      <c r="B632" s="961"/>
      <c r="C632" s="1219"/>
      <c r="D632" s="84">
        <v>2029</v>
      </c>
      <c r="E632" s="85">
        <f>F632+G632+H632+I632+J632</f>
        <v>4.3</v>
      </c>
      <c r="F632" s="85">
        <v>0</v>
      </c>
      <c r="G632" s="85">
        <v>0</v>
      </c>
      <c r="H632" s="85">
        <v>4.17</v>
      </c>
      <c r="I632" s="85">
        <v>0</v>
      </c>
      <c r="J632" s="85">
        <v>0.13</v>
      </c>
      <c r="K632" s="148">
        <v>0</v>
      </c>
      <c r="L632" s="497">
        <f t="shared" si="225"/>
        <v>4.3</v>
      </c>
      <c r="M632" s="841"/>
      <c r="N632" s="136"/>
      <c r="O632" s="137"/>
      <c r="P632" s="1299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2"/>
    </row>
    <row r="633" spans="1:58" s="82" customFormat="1" ht="25.5" customHeight="1">
      <c r="A633" s="1312" t="s">
        <v>1206</v>
      </c>
      <c r="B633" s="1224" t="s">
        <v>1207</v>
      </c>
      <c r="C633" s="1224" t="s">
        <v>532</v>
      </c>
      <c r="D633" s="84" t="s">
        <v>16</v>
      </c>
      <c r="E633" s="85">
        <f t="shared" ref="E633:J633" si="241">E634</f>
        <v>2</v>
      </c>
      <c r="F633" s="85">
        <f t="shared" si="241"/>
        <v>0</v>
      </c>
      <c r="G633" s="85">
        <f t="shared" si="241"/>
        <v>0</v>
      </c>
      <c r="H633" s="85">
        <f t="shared" si="241"/>
        <v>1.9</v>
      </c>
      <c r="I633" s="85">
        <f t="shared" si="241"/>
        <v>0</v>
      </c>
      <c r="J633" s="85">
        <f t="shared" si="241"/>
        <v>0.1</v>
      </c>
      <c r="K633" s="148">
        <v>0</v>
      </c>
      <c r="L633" s="497"/>
      <c r="M633" s="840" t="s">
        <v>1208</v>
      </c>
      <c r="N633" s="216"/>
      <c r="O633" s="196"/>
      <c r="P633" s="1286" t="s">
        <v>586</v>
      </c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2"/>
    </row>
    <row r="634" spans="1:58" s="82" customFormat="1" ht="34.5" customHeight="1">
      <c r="A634" s="1312"/>
      <c r="B634" s="1226"/>
      <c r="C634" s="1219"/>
      <c r="D634" s="84">
        <v>2024</v>
      </c>
      <c r="E634" s="85">
        <f>F634+G634+H634+I634+J634</f>
        <v>2</v>
      </c>
      <c r="F634" s="85">
        <v>0</v>
      </c>
      <c r="G634" s="85">
        <v>0</v>
      </c>
      <c r="H634" s="85">
        <v>1.9</v>
      </c>
      <c r="I634" s="85">
        <v>0</v>
      </c>
      <c r="J634" s="85">
        <v>0.1</v>
      </c>
      <c r="K634" s="148">
        <v>0</v>
      </c>
      <c r="L634" s="497"/>
      <c r="M634" s="841"/>
      <c r="N634" s="216"/>
      <c r="O634" s="196"/>
      <c r="P634" s="1299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2"/>
    </row>
    <row r="635" spans="1:58" s="82" customFormat="1">
      <c r="A635" s="1149" t="s">
        <v>1209</v>
      </c>
      <c r="B635" s="1224" t="s">
        <v>1210</v>
      </c>
      <c r="C635" s="1224" t="s">
        <v>1211</v>
      </c>
      <c r="D635" s="84" t="s">
        <v>16</v>
      </c>
      <c r="E635" s="85">
        <f t="shared" ref="E635:J635" si="242">E636</f>
        <v>3</v>
      </c>
      <c r="F635" s="85">
        <f t="shared" si="242"/>
        <v>0</v>
      </c>
      <c r="G635" s="85">
        <f t="shared" si="242"/>
        <v>0</v>
      </c>
      <c r="H635" s="85">
        <f t="shared" si="242"/>
        <v>3</v>
      </c>
      <c r="I635" s="85">
        <f t="shared" si="242"/>
        <v>0</v>
      </c>
      <c r="J635" s="85">
        <f t="shared" si="242"/>
        <v>0</v>
      </c>
      <c r="K635" s="148">
        <v>0</v>
      </c>
      <c r="L635" s="497"/>
      <c r="M635" s="326"/>
      <c r="N635" s="895"/>
      <c r="O635" s="875"/>
      <c r="P635" s="679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2"/>
    </row>
    <row r="636" spans="1:58" s="82" customFormat="1" ht="113.25" customHeight="1">
      <c r="A636" s="1150"/>
      <c r="B636" s="1225"/>
      <c r="C636" s="1225"/>
      <c r="D636" s="654">
        <v>2022</v>
      </c>
      <c r="E636" s="85">
        <f>F636+G636+H636+I636+J636</f>
        <v>3</v>
      </c>
      <c r="F636" s="85">
        <v>0</v>
      </c>
      <c r="G636" s="85">
        <v>0</v>
      </c>
      <c r="H636" s="85">
        <v>3</v>
      </c>
      <c r="I636" s="85">
        <v>0</v>
      </c>
      <c r="J636" s="85">
        <v>0</v>
      </c>
      <c r="K636" s="148">
        <v>0</v>
      </c>
      <c r="L636" s="497"/>
      <c r="M636" s="326"/>
      <c r="N636" s="896"/>
      <c r="O636" s="877"/>
      <c r="P636" s="679" t="s">
        <v>596</v>
      </c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  <c r="AF636" s="91"/>
      <c r="AG636" s="91"/>
      <c r="AH636" s="91"/>
      <c r="AI636" s="91"/>
      <c r="AJ636" s="91"/>
      <c r="AK636" s="91"/>
      <c r="AL636" s="91"/>
      <c r="AM636" s="91"/>
      <c r="AN636" s="91"/>
      <c r="AO636" s="91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/>
      <c r="BE636" s="91"/>
      <c r="BF636" s="92"/>
    </row>
    <row r="637" spans="1:58" s="82" customFormat="1" ht="12.75" customHeight="1">
      <c r="A637" s="1128" t="s">
        <v>1212</v>
      </c>
      <c r="B637" s="1080" t="s">
        <v>744</v>
      </c>
      <c r="C637" s="1224" t="s">
        <v>745</v>
      </c>
      <c r="D637" s="84" t="s">
        <v>16</v>
      </c>
      <c r="E637" s="136">
        <f t="shared" ref="E637:J637" si="243">E638</f>
        <v>100</v>
      </c>
      <c r="F637" s="136">
        <f t="shared" si="243"/>
        <v>0</v>
      </c>
      <c r="G637" s="136">
        <f t="shared" si="243"/>
        <v>0</v>
      </c>
      <c r="H637" s="136">
        <f t="shared" si="243"/>
        <v>99</v>
      </c>
      <c r="I637" s="136">
        <f t="shared" si="243"/>
        <v>0</v>
      </c>
      <c r="J637" s="313">
        <f t="shared" si="243"/>
        <v>1</v>
      </c>
      <c r="K637" s="148">
        <v>0</v>
      </c>
      <c r="L637" s="497">
        <f t="shared" ref="L637:L668" si="244">F637+G637+H637+I637+J637</f>
        <v>100</v>
      </c>
      <c r="M637" s="943" t="s">
        <v>746</v>
      </c>
      <c r="N637" s="1037"/>
      <c r="O637" s="875"/>
      <c r="P637" s="666" t="s">
        <v>747</v>
      </c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  <c r="AF637" s="91"/>
      <c r="AG637" s="91"/>
      <c r="AH637" s="91"/>
      <c r="AI637" s="91"/>
      <c r="AJ637" s="91"/>
      <c r="AK637" s="91"/>
      <c r="AL637" s="91"/>
      <c r="AM637" s="91"/>
      <c r="AN637" s="91"/>
      <c r="AO637" s="91"/>
      <c r="AP637" s="9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91"/>
      <c r="BE637" s="91"/>
      <c r="BF637" s="92"/>
    </row>
    <row r="638" spans="1:58" s="82" customFormat="1" ht="31.5" customHeight="1">
      <c r="A638" s="1184"/>
      <c r="B638" s="1288"/>
      <c r="C638" s="1226"/>
      <c r="D638" s="84">
        <v>2020</v>
      </c>
      <c r="E638" s="85">
        <f>F638+G638+H638+I638+J638</f>
        <v>100</v>
      </c>
      <c r="F638" s="85">
        <v>0</v>
      </c>
      <c r="G638" s="85">
        <v>0</v>
      </c>
      <c r="H638" s="85">
        <v>99</v>
      </c>
      <c r="I638" s="85">
        <v>0</v>
      </c>
      <c r="J638" s="85">
        <v>1</v>
      </c>
      <c r="K638" s="148">
        <v>0</v>
      </c>
      <c r="L638" s="497">
        <f t="shared" si="244"/>
        <v>100</v>
      </c>
      <c r="M638" s="990"/>
      <c r="N638" s="1038"/>
      <c r="O638" s="876"/>
      <c r="P638" s="679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  <c r="AN638" s="91"/>
      <c r="AO638" s="91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/>
      <c r="BE638" s="91"/>
      <c r="BF638" s="92"/>
    </row>
    <row r="639" spans="1:58" s="82" customFormat="1" ht="19.5" customHeight="1">
      <c r="A639" s="1128" t="s">
        <v>1213</v>
      </c>
      <c r="B639" s="1224" t="s">
        <v>749</v>
      </c>
      <c r="C639" s="1262" t="s">
        <v>750</v>
      </c>
      <c r="D639" s="84" t="s">
        <v>16</v>
      </c>
      <c r="E639" s="85">
        <f t="shared" ref="E639:J639" si="245">E640+E641</f>
        <v>44.984699999999997</v>
      </c>
      <c r="F639" s="85">
        <f t="shared" si="245"/>
        <v>5.7218</v>
      </c>
      <c r="G639" s="85">
        <f t="shared" si="245"/>
        <v>0</v>
      </c>
      <c r="H639" s="85">
        <f t="shared" si="245"/>
        <v>39.262899999999995</v>
      </c>
      <c r="I639" s="85">
        <f t="shared" si="245"/>
        <v>0</v>
      </c>
      <c r="J639" s="85">
        <f t="shared" si="245"/>
        <v>0</v>
      </c>
      <c r="K639" s="148">
        <v>0</v>
      </c>
      <c r="L639" s="497">
        <f t="shared" si="244"/>
        <v>44.984699999999997</v>
      </c>
      <c r="M639" s="337"/>
      <c r="N639" s="692"/>
      <c r="O639" s="111"/>
      <c r="P639" s="1242" t="s">
        <v>405</v>
      </c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/>
      <c r="BE639" s="91"/>
      <c r="BF639" s="92"/>
    </row>
    <row r="640" spans="1:58" s="82" customFormat="1" ht="45.75" customHeight="1">
      <c r="A640" s="1183"/>
      <c r="B640" s="1225"/>
      <c r="C640" s="1282"/>
      <c r="D640" s="84">
        <v>2019</v>
      </c>
      <c r="E640" s="85">
        <f t="shared" ref="E640:J640" si="246">E642+E643+E644+E645+E646+E647+E648+E649+E650+E651</f>
        <v>26.270899999999997</v>
      </c>
      <c r="F640" s="85">
        <f t="shared" si="246"/>
        <v>3.2890000000000001</v>
      </c>
      <c r="G640" s="85">
        <f t="shared" si="246"/>
        <v>0</v>
      </c>
      <c r="H640" s="85">
        <f t="shared" si="246"/>
        <v>22.981899999999996</v>
      </c>
      <c r="I640" s="85">
        <f t="shared" si="246"/>
        <v>0</v>
      </c>
      <c r="J640" s="85">
        <f t="shared" si="246"/>
        <v>0</v>
      </c>
      <c r="K640" s="148">
        <v>0</v>
      </c>
      <c r="L640" s="497">
        <f t="shared" si="244"/>
        <v>26.270899999999997</v>
      </c>
      <c r="M640" s="693"/>
      <c r="N640" s="694"/>
      <c r="O640" s="111"/>
      <c r="P640" s="1264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  <c r="AN640" s="91"/>
      <c r="AO640" s="91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2"/>
    </row>
    <row r="641" spans="1:58" s="82" customFormat="1" ht="21.75" customHeight="1">
      <c r="A641" s="553"/>
      <c r="B641" s="1226"/>
      <c r="C641" s="1282"/>
      <c r="D641" s="84">
        <v>2020</v>
      </c>
      <c r="E641" s="85">
        <f t="shared" ref="E641:J641" si="247">E652+E653+E654</f>
        <v>18.713799999999999</v>
      </c>
      <c r="F641" s="85">
        <f t="shared" si="247"/>
        <v>2.4327999999999999</v>
      </c>
      <c r="G641" s="85">
        <f t="shared" si="247"/>
        <v>0</v>
      </c>
      <c r="H641" s="85">
        <f t="shared" si="247"/>
        <v>16.280999999999999</v>
      </c>
      <c r="I641" s="85">
        <f t="shared" si="247"/>
        <v>0</v>
      </c>
      <c r="J641" s="85">
        <f t="shared" si="247"/>
        <v>0</v>
      </c>
      <c r="K641" s="148">
        <v>0</v>
      </c>
      <c r="L641" s="497">
        <f t="shared" si="244"/>
        <v>18.713799999999999</v>
      </c>
      <c r="M641" s="337"/>
      <c r="N641" s="692"/>
      <c r="O641" s="111"/>
      <c r="P641" s="1264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2"/>
    </row>
    <row r="642" spans="1:58" s="82" customFormat="1" ht="110.25" customHeight="1">
      <c r="A642" s="567" t="s">
        <v>790</v>
      </c>
      <c r="B642" s="390" t="s">
        <v>752</v>
      </c>
      <c r="C642" s="1282"/>
      <c r="D642" s="84">
        <v>2019</v>
      </c>
      <c r="E642" s="85">
        <f t="shared" ref="E642:E654" si="248">F642+G642+H642+I642+J642</f>
        <v>1.5590000000000002</v>
      </c>
      <c r="F642" s="85">
        <v>0.20300000000000001</v>
      </c>
      <c r="G642" s="85">
        <v>0</v>
      </c>
      <c r="H642" s="85">
        <v>1.3560000000000001</v>
      </c>
      <c r="I642" s="85">
        <v>0</v>
      </c>
      <c r="J642" s="85">
        <v>0</v>
      </c>
      <c r="K642" s="148">
        <v>0</v>
      </c>
      <c r="L642" s="497">
        <f t="shared" si="244"/>
        <v>1.5590000000000002</v>
      </c>
      <c r="M642" s="99" t="s">
        <v>753</v>
      </c>
      <c r="N642" s="695"/>
      <c r="O642" s="111"/>
      <c r="P642" s="1282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  <c r="AN642" s="91"/>
      <c r="AO642" s="91"/>
      <c r="AP642" s="9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2"/>
    </row>
    <row r="643" spans="1:58" s="82" customFormat="1" ht="105" customHeight="1">
      <c r="A643" s="567" t="s">
        <v>796</v>
      </c>
      <c r="B643" s="390" t="s">
        <v>755</v>
      </c>
      <c r="C643" s="1282"/>
      <c r="D643" s="84">
        <v>2019</v>
      </c>
      <c r="E643" s="85">
        <f t="shared" si="248"/>
        <v>3.2126000000000001</v>
      </c>
      <c r="F643" s="85">
        <v>0.41760000000000003</v>
      </c>
      <c r="G643" s="85">
        <v>0</v>
      </c>
      <c r="H643" s="85">
        <v>2.7949999999999999</v>
      </c>
      <c r="I643" s="85">
        <v>0</v>
      </c>
      <c r="J643" s="85">
        <v>0</v>
      </c>
      <c r="K643" s="148">
        <v>0</v>
      </c>
      <c r="L643" s="497">
        <f t="shared" si="244"/>
        <v>3.2126000000000001</v>
      </c>
      <c r="M643" s="99" t="s">
        <v>756</v>
      </c>
      <c r="N643" s="695"/>
      <c r="O643" s="111"/>
      <c r="P643" s="1282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2"/>
    </row>
    <row r="644" spans="1:58" s="82" customFormat="1" ht="103.5" customHeight="1">
      <c r="A644" s="567" t="s">
        <v>802</v>
      </c>
      <c r="B644" s="390" t="s">
        <v>758</v>
      </c>
      <c r="C644" s="1282"/>
      <c r="D644" s="84">
        <v>2019</v>
      </c>
      <c r="E644" s="85">
        <f t="shared" si="248"/>
        <v>1.7907999999999999</v>
      </c>
      <c r="F644" s="85">
        <v>0.23280000000000001</v>
      </c>
      <c r="G644" s="85">
        <v>0</v>
      </c>
      <c r="H644" s="85">
        <v>1.5580000000000001</v>
      </c>
      <c r="I644" s="85">
        <v>0</v>
      </c>
      <c r="J644" s="85">
        <v>0</v>
      </c>
      <c r="K644" s="148">
        <v>0</v>
      </c>
      <c r="L644" s="497">
        <f t="shared" si="244"/>
        <v>1.7907999999999999</v>
      </c>
      <c r="M644" s="99" t="s">
        <v>759</v>
      </c>
      <c r="N644" s="695"/>
      <c r="O644" s="111"/>
      <c r="P644" s="1282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  <c r="AN644" s="91"/>
      <c r="AO644" s="91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2"/>
    </row>
    <row r="645" spans="1:58" s="82" customFormat="1" ht="103.5" customHeight="1">
      <c r="A645" s="567" t="s">
        <v>808</v>
      </c>
      <c r="B645" s="390" t="s">
        <v>761</v>
      </c>
      <c r="C645" s="1282"/>
      <c r="D645" s="84">
        <v>2019</v>
      </c>
      <c r="E645" s="85">
        <f t="shared" si="248"/>
        <v>3.2126000000000001</v>
      </c>
      <c r="F645" s="85">
        <v>0.41760000000000003</v>
      </c>
      <c r="G645" s="85">
        <v>0</v>
      </c>
      <c r="H645" s="85">
        <v>2.7949999999999999</v>
      </c>
      <c r="I645" s="85">
        <v>0</v>
      </c>
      <c r="J645" s="85">
        <v>0</v>
      </c>
      <c r="K645" s="148">
        <v>0</v>
      </c>
      <c r="L645" s="497">
        <f t="shared" si="244"/>
        <v>3.2126000000000001</v>
      </c>
      <c r="M645" s="99" t="s">
        <v>762</v>
      </c>
      <c r="N645" s="695"/>
      <c r="O645" s="111"/>
      <c r="P645" s="1282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  <c r="AF645" s="91"/>
      <c r="AG645" s="91"/>
      <c r="AH645" s="91"/>
      <c r="AI645" s="91"/>
      <c r="AJ645" s="91"/>
      <c r="AK645" s="91"/>
      <c r="AL645" s="91"/>
      <c r="AM645" s="91"/>
      <c r="AN645" s="91"/>
      <c r="AO645" s="91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2"/>
    </row>
    <row r="646" spans="1:58" s="82" customFormat="1" ht="100.5" customHeight="1">
      <c r="A646" s="567" t="s">
        <v>818</v>
      </c>
      <c r="B646" s="390" t="s">
        <v>764</v>
      </c>
      <c r="C646" s="1282"/>
      <c r="D646" s="84">
        <v>2019</v>
      </c>
      <c r="E646" s="85">
        <f t="shared" si="248"/>
        <v>1.7907999999999999</v>
      </c>
      <c r="F646" s="85">
        <v>0.23280000000000001</v>
      </c>
      <c r="G646" s="85">
        <v>0</v>
      </c>
      <c r="H646" s="85">
        <v>1.5580000000000001</v>
      </c>
      <c r="I646" s="85">
        <v>0</v>
      </c>
      <c r="J646" s="85">
        <v>0</v>
      </c>
      <c r="K646" s="148">
        <v>0</v>
      </c>
      <c r="L646" s="497">
        <f t="shared" si="244"/>
        <v>1.7907999999999999</v>
      </c>
      <c r="M646" s="99" t="s">
        <v>759</v>
      </c>
      <c r="N646" s="695"/>
      <c r="O646" s="111"/>
      <c r="P646" s="1282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  <c r="AF646" s="91"/>
      <c r="AG646" s="91"/>
      <c r="AH646" s="91"/>
      <c r="AI646" s="91"/>
      <c r="AJ646" s="91"/>
      <c r="AK646" s="91"/>
      <c r="AL646" s="91"/>
      <c r="AM646" s="91"/>
      <c r="AN646" s="91"/>
      <c r="AO646" s="91"/>
      <c r="AP646" s="9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  <c r="BF646" s="92"/>
    </row>
    <row r="647" spans="1:58" s="82" customFormat="1" ht="105.75" customHeight="1">
      <c r="A647" s="494" t="s">
        <v>822</v>
      </c>
      <c r="B647" s="425" t="s">
        <v>766</v>
      </c>
      <c r="C647" s="1282"/>
      <c r="D647" s="84">
        <v>2019</v>
      </c>
      <c r="E647" s="85">
        <f t="shared" si="248"/>
        <v>3.2126000000000001</v>
      </c>
      <c r="F647" s="85">
        <v>0.41760000000000003</v>
      </c>
      <c r="G647" s="85">
        <v>0</v>
      </c>
      <c r="H647" s="85">
        <v>2.7949999999999999</v>
      </c>
      <c r="I647" s="85">
        <v>0</v>
      </c>
      <c r="J647" s="85">
        <v>0</v>
      </c>
      <c r="K647" s="148">
        <v>0</v>
      </c>
      <c r="L647" s="497">
        <f t="shared" si="244"/>
        <v>3.2126000000000001</v>
      </c>
      <c r="M647" s="99" t="s">
        <v>767</v>
      </c>
      <c r="N647" s="695"/>
      <c r="O647" s="111"/>
      <c r="P647" s="1282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  <c r="AF647" s="91"/>
      <c r="AG647" s="91"/>
      <c r="AH647" s="91"/>
      <c r="AI647" s="91"/>
      <c r="AJ647" s="91"/>
      <c r="AK647" s="91"/>
      <c r="AL647" s="91"/>
      <c r="AM647" s="91"/>
      <c r="AN647" s="91"/>
      <c r="AO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2"/>
    </row>
    <row r="648" spans="1:58" s="82" customFormat="1" ht="103.5" customHeight="1">
      <c r="A648" s="494" t="s">
        <v>1214</v>
      </c>
      <c r="B648" s="425" t="s">
        <v>769</v>
      </c>
      <c r="C648" s="1282"/>
      <c r="D648" s="84">
        <v>2019</v>
      </c>
      <c r="E648" s="85">
        <f t="shared" si="248"/>
        <v>2.0596999999999999</v>
      </c>
      <c r="F648" s="85">
        <v>0.26769999999999999</v>
      </c>
      <c r="G648" s="85">
        <v>0</v>
      </c>
      <c r="H648" s="85">
        <v>1.792</v>
      </c>
      <c r="I648" s="85">
        <v>0</v>
      </c>
      <c r="J648" s="85">
        <v>0</v>
      </c>
      <c r="K648" s="148">
        <v>0</v>
      </c>
      <c r="L648" s="497">
        <f t="shared" si="244"/>
        <v>2.0596999999999999</v>
      </c>
      <c r="M648" s="99" t="s">
        <v>746</v>
      </c>
      <c r="N648" s="695"/>
      <c r="O648" s="111"/>
      <c r="P648" s="1282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  <c r="AF648" s="91"/>
      <c r="AG648" s="91"/>
      <c r="AH648" s="91"/>
      <c r="AI648" s="91"/>
      <c r="AJ648" s="91"/>
      <c r="AK648" s="91"/>
      <c r="AL648" s="91"/>
      <c r="AM648" s="91"/>
      <c r="AN648" s="91"/>
      <c r="AO648" s="91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  <c r="BF648" s="92"/>
    </row>
    <row r="649" spans="1:58" s="82" customFormat="1" ht="102" customHeight="1">
      <c r="A649" s="494" t="s">
        <v>1215</v>
      </c>
      <c r="B649" s="425" t="s">
        <v>771</v>
      </c>
      <c r="C649" s="1282"/>
      <c r="D649" s="84">
        <v>2019</v>
      </c>
      <c r="E649" s="85">
        <f t="shared" si="248"/>
        <v>3.2126000000000001</v>
      </c>
      <c r="F649" s="85">
        <v>0.41760000000000003</v>
      </c>
      <c r="G649" s="85">
        <v>0</v>
      </c>
      <c r="H649" s="85">
        <v>2.7949999999999999</v>
      </c>
      <c r="I649" s="85">
        <v>0</v>
      </c>
      <c r="J649" s="85">
        <v>0</v>
      </c>
      <c r="K649" s="148">
        <v>0</v>
      </c>
      <c r="L649" s="497">
        <f t="shared" si="244"/>
        <v>3.2126000000000001</v>
      </c>
      <c r="M649" s="99" t="s">
        <v>756</v>
      </c>
      <c r="N649" s="695"/>
      <c r="O649" s="111"/>
      <c r="P649" s="1282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  <c r="AF649" s="91"/>
      <c r="AG649" s="91"/>
      <c r="AH649" s="91"/>
      <c r="AI649" s="91"/>
      <c r="AJ649" s="91"/>
      <c r="AK649" s="91"/>
      <c r="AL649" s="91"/>
      <c r="AM649" s="91"/>
      <c r="AN649" s="91"/>
      <c r="AO649" s="91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2"/>
    </row>
    <row r="650" spans="1:58" s="82" customFormat="1" ht="104.25" customHeight="1">
      <c r="A650" s="494" t="s">
        <v>1216</v>
      </c>
      <c r="B650" s="425" t="s">
        <v>773</v>
      </c>
      <c r="C650" s="1291"/>
      <c r="D650" s="84">
        <v>2019</v>
      </c>
      <c r="E650" s="85">
        <f t="shared" si="248"/>
        <v>5.2412999999999998</v>
      </c>
      <c r="F650" s="85">
        <v>0.68130000000000002</v>
      </c>
      <c r="G650" s="85">
        <v>0</v>
      </c>
      <c r="H650" s="85">
        <v>4.5599999999999996</v>
      </c>
      <c r="I650" s="85">
        <v>0</v>
      </c>
      <c r="J650" s="85">
        <v>0</v>
      </c>
      <c r="K650" s="148">
        <v>0</v>
      </c>
      <c r="L650" s="497">
        <f t="shared" si="244"/>
        <v>5.2412999999999998</v>
      </c>
      <c r="M650" s="99" t="s">
        <v>774</v>
      </c>
      <c r="N650" s="695"/>
      <c r="O650" s="111"/>
      <c r="P650" s="12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  <c r="AF650" s="91"/>
      <c r="AG650" s="91"/>
      <c r="AH650" s="91"/>
      <c r="AI650" s="91"/>
      <c r="AJ650" s="91"/>
      <c r="AK650" s="91"/>
      <c r="AL650" s="91"/>
      <c r="AM650" s="91"/>
      <c r="AN650" s="91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2"/>
    </row>
    <row r="651" spans="1:58" s="82" customFormat="1" ht="104.25" customHeight="1">
      <c r="A651" s="494" t="s">
        <v>1217</v>
      </c>
      <c r="B651" s="425" t="s">
        <v>776</v>
      </c>
      <c r="C651" s="641"/>
      <c r="D651" s="84">
        <v>2019</v>
      </c>
      <c r="E651" s="85">
        <f t="shared" si="248"/>
        <v>0.97889999999999999</v>
      </c>
      <c r="F651" s="85">
        <v>1E-3</v>
      </c>
      <c r="G651" s="85">
        <v>0</v>
      </c>
      <c r="H651" s="85">
        <v>0.97789999999999999</v>
      </c>
      <c r="I651" s="85">
        <v>0</v>
      </c>
      <c r="J651" s="85">
        <v>0</v>
      </c>
      <c r="K651" s="148">
        <v>0</v>
      </c>
      <c r="L651" s="497">
        <f t="shared" si="244"/>
        <v>0.97889999999999999</v>
      </c>
      <c r="M651" s="99"/>
      <c r="N651" s="695"/>
      <c r="O651" s="111"/>
      <c r="P651" s="668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  <c r="AF651" s="91"/>
      <c r="AG651" s="91"/>
      <c r="AH651" s="91"/>
      <c r="AI651" s="91"/>
      <c r="AJ651" s="91"/>
      <c r="AK651" s="91"/>
      <c r="AL651" s="91"/>
      <c r="AM651" s="91"/>
      <c r="AN651" s="91"/>
      <c r="AO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2"/>
    </row>
    <row r="652" spans="1:58" s="82" customFormat="1" ht="73.5" customHeight="1">
      <c r="A652" s="494" t="s">
        <v>1218</v>
      </c>
      <c r="B652" s="425" t="s">
        <v>778</v>
      </c>
      <c r="C652" s="641"/>
      <c r="D652" s="84">
        <v>2020</v>
      </c>
      <c r="E652" s="85">
        <f t="shared" si="248"/>
        <v>8.8452000000000002</v>
      </c>
      <c r="F652" s="85">
        <v>1.1498999999999999</v>
      </c>
      <c r="G652" s="85">
        <v>0</v>
      </c>
      <c r="H652" s="85">
        <v>7.6952999999999996</v>
      </c>
      <c r="I652" s="85">
        <v>0</v>
      </c>
      <c r="J652" s="85">
        <v>0</v>
      </c>
      <c r="K652" s="148">
        <v>0</v>
      </c>
      <c r="L652" s="497">
        <f t="shared" si="244"/>
        <v>8.8452000000000002</v>
      </c>
      <c r="M652" s="99" t="s">
        <v>774</v>
      </c>
      <c r="N652" s="695"/>
      <c r="O652" s="111"/>
      <c r="P652" s="668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  <c r="AN652" s="91"/>
      <c r="AO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2"/>
    </row>
    <row r="653" spans="1:58" s="82" customFormat="1" ht="73.5" customHeight="1">
      <c r="A653" s="494" t="s">
        <v>1219</v>
      </c>
      <c r="B653" s="425" t="s">
        <v>780</v>
      </c>
      <c r="C653" s="641"/>
      <c r="D653" s="84">
        <v>2020</v>
      </c>
      <c r="E653" s="85">
        <f t="shared" si="248"/>
        <v>5.4904999999999999</v>
      </c>
      <c r="F653" s="85">
        <v>0.71379999999999999</v>
      </c>
      <c r="G653" s="85">
        <v>0</v>
      </c>
      <c r="H653" s="85">
        <v>4.7766999999999999</v>
      </c>
      <c r="I653" s="85">
        <v>0</v>
      </c>
      <c r="J653" s="85">
        <v>0</v>
      </c>
      <c r="K653" s="148">
        <v>0</v>
      </c>
      <c r="L653" s="497">
        <f t="shared" si="244"/>
        <v>5.4904999999999999</v>
      </c>
      <c r="M653" s="99" t="s">
        <v>781</v>
      </c>
      <c r="N653" s="695"/>
      <c r="O653" s="111"/>
      <c r="P653" s="668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2"/>
    </row>
    <row r="654" spans="1:58" s="82" customFormat="1" ht="65.25" customHeight="1">
      <c r="A654" s="494" t="s">
        <v>1220</v>
      </c>
      <c r="B654" s="425" t="s">
        <v>783</v>
      </c>
      <c r="C654" s="641"/>
      <c r="D654" s="84">
        <v>2020</v>
      </c>
      <c r="E654" s="85">
        <f t="shared" si="248"/>
        <v>4.3780999999999999</v>
      </c>
      <c r="F654" s="85">
        <v>0.56910000000000005</v>
      </c>
      <c r="G654" s="85">
        <v>0</v>
      </c>
      <c r="H654" s="85">
        <v>3.8090000000000002</v>
      </c>
      <c r="I654" s="85">
        <v>0</v>
      </c>
      <c r="J654" s="85">
        <v>0</v>
      </c>
      <c r="K654" s="148">
        <v>0</v>
      </c>
      <c r="L654" s="497">
        <f t="shared" si="244"/>
        <v>4.3780999999999999</v>
      </c>
      <c r="M654" s="99" t="s">
        <v>756</v>
      </c>
      <c r="N654" s="695"/>
      <c r="O654" s="111"/>
      <c r="P654" s="668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  <c r="AN654" s="91"/>
      <c r="AO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  <c r="BF654" s="92"/>
    </row>
    <row r="655" spans="1:58" s="82" customFormat="1" ht="28.5" customHeight="1">
      <c r="A655" s="1128" t="s">
        <v>1221</v>
      </c>
      <c r="B655" s="1256" t="s">
        <v>785</v>
      </c>
      <c r="C655" s="1224" t="s">
        <v>599</v>
      </c>
      <c r="D655" s="84" t="s">
        <v>16</v>
      </c>
      <c r="E655" s="313">
        <f>J655+I655+H655+G655</f>
        <v>252.393</v>
      </c>
      <c r="F655" s="313">
        <f>F656+F657+F658</f>
        <v>0</v>
      </c>
      <c r="G655" s="313">
        <f>G656+G657+G658</f>
        <v>0</v>
      </c>
      <c r="H655" s="313">
        <f>H656+H657+H658</f>
        <v>0</v>
      </c>
      <c r="I655" s="313">
        <f>I656+I657+I658+I659+I660+I661+I662+I663</f>
        <v>252.393</v>
      </c>
      <c r="J655" s="313">
        <f>J656+J657+J658</f>
        <v>0</v>
      </c>
      <c r="K655" s="148">
        <v>0</v>
      </c>
      <c r="L655" s="497">
        <f t="shared" si="244"/>
        <v>252.393</v>
      </c>
      <c r="M655" s="99"/>
      <c r="N655" s="943"/>
      <c r="O655" s="844"/>
      <c r="P655" s="1286" t="s">
        <v>786</v>
      </c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  <c r="AN655" s="91"/>
      <c r="AO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  <c r="BF655" s="92"/>
    </row>
    <row r="656" spans="1:58" s="82" customFormat="1" ht="27" customHeight="1">
      <c r="A656" s="1183"/>
      <c r="B656" s="1259"/>
      <c r="C656" s="1225"/>
      <c r="D656" s="84">
        <v>2019</v>
      </c>
      <c r="E656" s="313">
        <f t="shared" ref="E656:E663" si="249">F656+G656+H656+I656+J656</f>
        <v>12.183999999999999</v>
      </c>
      <c r="F656" s="85">
        <v>0</v>
      </c>
      <c r="G656" s="85">
        <v>0</v>
      </c>
      <c r="H656" s="85">
        <v>0</v>
      </c>
      <c r="I656" s="85">
        <v>12.183999999999999</v>
      </c>
      <c r="J656" s="85">
        <v>0</v>
      </c>
      <c r="K656" s="148">
        <v>0</v>
      </c>
      <c r="L656" s="497">
        <f t="shared" si="244"/>
        <v>12.183999999999999</v>
      </c>
      <c r="M656" s="99"/>
      <c r="N656" s="970"/>
      <c r="O656" s="1283"/>
      <c r="P656" s="1300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  <c r="AF656" s="91"/>
      <c r="AG656" s="91"/>
      <c r="AH656" s="91"/>
      <c r="AI656" s="91"/>
      <c r="AJ656" s="91"/>
      <c r="AK656" s="91"/>
      <c r="AL656" s="91"/>
      <c r="AM656" s="91"/>
      <c r="AN656" s="91"/>
      <c r="AO656" s="91"/>
      <c r="AP656" s="9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  <c r="BF656" s="92"/>
    </row>
    <row r="657" spans="1:58" s="82" customFormat="1" ht="36.75" customHeight="1">
      <c r="A657" s="1183"/>
      <c r="B657" s="1259"/>
      <c r="C657" s="1225"/>
      <c r="D657" s="84">
        <v>2020</v>
      </c>
      <c r="E657" s="85">
        <f t="shared" si="249"/>
        <v>8.6920000000000002</v>
      </c>
      <c r="F657" s="85">
        <v>0</v>
      </c>
      <c r="G657" s="85">
        <v>0</v>
      </c>
      <c r="H657" s="85">
        <v>0</v>
      </c>
      <c r="I657" s="85">
        <v>8.6920000000000002</v>
      </c>
      <c r="J657" s="85">
        <v>0</v>
      </c>
      <c r="K657" s="148">
        <v>0</v>
      </c>
      <c r="L657" s="497">
        <f t="shared" si="244"/>
        <v>8.6920000000000002</v>
      </c>
      <c r="M657" s="99"/>
      <c r="N657" s="970"/>
      <c r="O657" s="1283"/>
      <c r="P657" s="1300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  <c r="AN657" s="91"/>
      <c r="AO657" s="91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2"/>
    </row>
    <row r="658" spans="1:58" s="82" customFormat="1" ht="33.75" customHeight="1">
      <c r="A658" s="1183"/>
      <c r="B658" s="1259"/>
      <c r="C658" s="1225"/>
      <c r="D658" s="84">
        <v>2021</v>
      </c>
      <c r="E658" s="85">
        <f t="shared" si="249"/>
        <v>22.088000000000001</v>
      </c>
      <c r="F658" s="85">
        <v>0</v>
      </c>
      <c r="G658" s="85">
        <v>0</v>
      </c>
      <c r="H658" s="85">
        <v>0</v>
      </c>
      <c r="I658" s="85">
        <v>22.088000000000001</v>
      </c>
      <c r="J658" s="85">
        <v>0</v>
      </c>
      <c r="K658" s="148">
        <v>0</v>
      </c>
      <c r="L658" s="497">
        <f t="shared" si="244"/>
        <v>22.088000000000001</v>
      </c>
      <c r="M658" s="99"/>
      <c r="N658" s="970"/>
      <c r="O658" s="1283"/>
      <c r="P658" s="1300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  <c r="AF658" s="91"/>
      <c r="AG658" s="91"/>
      <c r="AH658" s="91"/>
      <c r="AI658" s="91"/>
      <c r="AJ658" s="91"/>
      <c r="AK658" s="91"/>
      <c r="AL658" s="91"/>
      <c r="AM658" s="91"/>
      <c r="AN658" s="91"/>
      <c r="AO658" s="91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  <c r="BF658" s="92"/>
    </row>
    <row r="659" spans="1:58" s="82" customFormat="1" ht="28.5" customHeight="1">
      <c r="A659" s="1183"/>
      <c r="B659" s="1259"/>
      <c r="C659" s="1225"/>
      <c r="D659" s="84">
        <v>2022</v>
      </c>
      <c r="E659" s="85">
        <f t="shared" si="249"/>
        <v>41.174999999999997</v>
      </c>
      <c r="F659" s="85">
        <v>0</v>
      </c>
      <c r="G659" s="85">
        <v>0</v>
      </c>
      <c r="H659" s="85">
        <v>0</v>
      </c>
      <c r="I659" s="85">
        <v>41.174999999999997</v>
      </c>
      <c r="J659" s="85">
        <v>0</v>
      </c>
      <c r="K659" s="148">
        <v>0</v>
      </c>
      <c r="L659" s="497">
        <f t="shared" si="244"/>
        <v>41.174999999999997</v>
      </c>
      <c r="M659" s="99"/>
      <c r="N659" s="970"/>
      <c r="O659" s="1283"/>
      <c r="P659" s="1300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  <c r="AN659" s="91"/>
      <c r="AO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2"/>
    </row>
    <row r="660" spans="1:58" s="82" customFormat="1" ht="22.5" customHeight="1">
      <c r="A660" s="1183"/>
      <c r="B660" s="1259"/>
      <c r="C660" s="1225"/>
      <c r="D660" s="84">
        <v>2023</v>
      </c>
      <c r="E660" s="85">
        <f t="shared" si="249"/>
        <v>41.957000000000001</v>
      </c>
      <c r="F660" s="85">
        <v>0</v>
      </c>
      <c r="G660" s="85">
        <v>0</v>
      </c>
      <c r="H660" s="85">
        <v>0</v>
      </c>
      <c r="I660" s="85">
        <v>41.957000000000001</v>
      </c>
      <c r="J660" s="85">
        <v>0</v>
      </c>
      <c r="K660" s="148">
        <v>0</v>
      </c>
      <c r="L660" s="497">
        <f t="shared" si="244"/>
        <v>41.957000000000001</v>
      </c>
      <c r="M660" s="99"/>
      <c r="N660" s="970"/>
      <c r="O660" s="1283"/>
      <c r="P660" s="1300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  <c r="AF660" s="91"/>
      <c r="AG660" s="91"/>
      <c r="AH660" s="91"/>
      <c r="AI660" s="91"/>
      <c r="AJ660" s="91"/>
      <c r="AK660" s="91"/>
      <c r="AL660" s="91"/>
      <c r="AM660" s="91"/>
      <c r="AN660" s="91"/>
      <c r="AO660" s="91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  <c r="BF660" s="92"/>
    </row>
    <row r="661" spans="1:58" s="82" customFormat="1" ht="22.5" customHeight="1">
      <c r="A661" s="1183"/>
      <c r="B661" s="1259"/>
      <c r="C661" s="1225"/>
      <c r="D661" s="84">
        <v>2024</v>
      </c>
      <c r="E661" s="85">
        <f t="shared" si="249"/>
        <v>41.753999999999998</v>
      </c>
      <c r="F661" s="85">
        <v>0</v>
      </c>
      <c r="G661" s="85">
        <v>0</v>
      </c>
      <c r="H661" s="85">
        <v>0</v>
      </c>
      <c r="I661" s="85">
        <v>41.753999999999998</v>
      </c>
      <c r="J661" s="85">
        <v>0</v>
      </c>
      <c r="K661" s="148">
        <v>0</v>
      </c>
      <c r="L661" s="497">
        <f t="shared" si="244"/>
        <v>41.753999999999998</v>
      </c>
      <c r="M661" s="99"/>
      <c r="N661" s="970"/>
      <c r="O661" s="1283"/>
      <c r="P661" s="1300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  <c r="AF661" s="91"/>
      <c r="AG661" s="91"/>
      <c r="AH661" s="91"/>
      <c r="AI661" s="91"/>
      <c r="AJ661" s="91"/>
      <c r="AK661" s="91"/>
      <c r="AL661" s="91"/>
      <c r="AM661" s="91"/>
      <c r="AN661" s="91"/>
      <c r="AO661" s="91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  <c r="BF661" s="92"/>
    </row>
    <row r="662" spans="1:58" s="82" customFormat="1" ht="21" customHeight="1">
      <c r="A662" s="1183"/>
      <c r="B662" s="1259"/>
      <c r="C662" s="1225"/>
      <c r="D662" s="84">
        <v>2025</v>
      </c>
      <c r="E662" s="85">
        <f t="shared" si="249"/>
        <v>42.393000000000001</v>
      </c>
      <c r="F662" s="85">
        <v>0</v>
      </c>
      <c r="G662" s="85">
        <v>0</v>
      </c>
      <c r="H662" s="85">
        <v>0</v>
      </c>
      <c r="I662" s="85">
        <v>42.393000000000001</v>
      </c>
      <c r="J662" s="85">
        <v>0</v>
      </c>
      <c r="K662" s="148">
        <v>0</v>
      </c>
      <c r="L662" s="497">
        <f t="shared" si="244"/>
        <v>42.393000000000001</v>
      </c>
      <c r="M662" s="99"/>
      <c r="N662" s="970"/>
      <c r="O662" s="1283"/>
      <c r="P662" s="1300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  <c r="AF662" s="91"/>
      <c r="AG662" s="91"/>
      <c r="AH662" s="91"/>
      <c r="AI662" s="91"/>
      <c r="AJ662" s="91"/>
      <c r="AK662" s="91"/>
      <c r="AL662" s="91"/>
      <c r="AM662" s="91"/>
      <c r="AN662" s="91"/>
      <c r="AO662" s="91"/>
      <c r="AP662" s="9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  <c r="BF662" s="92"/>
    </row>
    <row r="663" spans="1:58" s="82" customFormat="1" ht="34.5" customHeight="1">
      <c r="A663" s="1183"/>
      <c r="B663" s="1259"/>
      <c r="C663" s="1225"/>
      <c r="D663" s="84">
        <v>2026</v>
      </c>
      <c r="E663" s="85">
        <f t="shared" si="249"/>
        <v>42.15</v>
      </c>
      <c r="F663" s="85">
        <v>0</v>
      </c>
      <c r="G663" s="85">
        <v>0</v>
      </c>
      <c r="H663" s="85">
        <v>0</v>
      </c>
      <c r="I663" s="85">
        <v>42.15</v>
      </c>
      <c r="J663" s="85">
        <v>0</v>
      </c>
      <c r="K663" s="148">
        <v>0</v>
      </c>
      <c r="L663" s="497">
        <f t="shared" si="244"/>
        <v>42.15</v>
      </c>
      <c r="M663" s="99"/>
      <c r="N663" s="970"/>
      <c r="O663" s="1283"/>
      <c r="P663" s="1300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  <c r="AF663" s="91"/>
      <c r="AG663" s="91"/>
      <c r="AH663" s="91"/>
      <c r="AI663" s="91"/>
      <c r="AJ663" s="91"/>
      <c r="AK663" s="91"/>
      <c r="AL663" s="91"/>
      <c r="AM663" s="91"/>
      <c r="AN663" s="91"/>
      <c r="AO663" s="91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2"/>
    </row>
    <row r="664" spans="1:58" s="82" customFormat="1" ht="17.25" customHeight="1">
      <c r="A664" s="1128" t="s">
        <v>825</v>
      </c>
      <c r="B664" s="1080" t="s">
        <v>788</v>
      </c>
      <c r="C664" s="1224" t="s">
        <v>599</v>
      </c>
      <c r="D664" s="84" t="s">
        <v>16</v>
      </c>
      <c r="E664" s="85">
        <f t="shared" ref="E664:J664" si="250">E665+E666</f>
        <v>2.6689000000000003</v>
      </c>
      <c r="F664" s="85">
        <f t="shared" si="250"/>
        <v>0</v>
      </c>
      <c r="G664" s="85">
        <f t="shared" si="250"/>
        <v>0</v>
      </c>
      <c r="H664" s="85">
        <f t="shared" si="250"/>
        <v>0</v>
      </c>
      <c r="I664" s="85">
        <f t="shared" si="250"/>
        <v>2.6689000000000003</v>
      </c>
      <c r="J664" s="85">
        <f t="shared" si="250"/>
        <v>0</v>
      </c>
      <c r="K664" s="148">
        <v>0</v>
      </c>
      <c r="L664" s="497">
        <f t="shared" si="244"/>
        <v>2.6689000000000003</v>
      </c>
      <c r="M664" s="99"/>
      <c r="N664" s="1040"/>
      <c r="O664" s="844"/>
      <c r="P664" s="1286" t="s">
        <v>789</v>
      </c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  <c r="AF664" s="91"/>
      <c r="AG664" s="91"/>
      <c r="AH664" s="91"/>
      <c r="AI664" s="91"/>
      <c r="AJ664" s="91"/>
      <c r="AK664" s="91"/>
      <c r="AL664" s="91"/>
      <c r="AM664" s="91"/>
      <c r="AN664" s="91"/>
      <c r="AO664" s="91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  <c r="BF664" s="92"/>
    </row>
    <row r="665" spans="1:58" s="82" customFormat="1">
      <c r="A665" s="1183"/>
      <c r="B665" s="960"/>
      <c r="C665" s="1225"/>
      <c r="D665" s="84">
        <v>2019</v>
      </c>
      <c r="E665" s="85">
        <f t="shared" ref="E665:J665" si="251">E672+E678+E681</f>
        <v>1.9235000000000002</v>
      </c>
      <c r="F665" s="85">
        <f t="shared" si="251"/>
        <v>0</v>
      </c>
      <c r="G665" s="85">
        <f t="shared" si="251"/>
        <v>0</v>
      </c>
      <c r="H665" s="85">
        <f t="shared" si="251"/>
        <v>0</v>
      </c>
      <c r="I665" s="85">
        <f t="shared" si="251"/>
        <v>1.9235000000000002</v>
      </c>
      <c r="J665" s="85">
        <f t="shared" si="251"/>
        <v>0</v>
      </c>
      <c r="K665" s="148">
        <v>0</v>
      </c>
      <c r="L665" s="497">
        <f t="shared" si="244"/>
        <v>1.9235000000000002</v>
      </c>
      <c r="M665" s="99"/>
      <c r="N665" s="1041"/>
      <c r="O665" s="845"/>
      <c r="P665" s="1289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  <c r="AF665" s="91"/>
      <c r="AG665" s="91"/>
      <c r="AH665" s="91"/>
      <c r="AI665" s="91"/>
      <c r="AJ665" s="91"/>
      <c r="AK665" s="91"/>
      <c r="AL665" s="91"/>
      <c r="AM665" s="91"/>
      <c r="AN665" s="91"/>
      <c r="AO665" s="91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  <c r="BF665" s="92"/>
    </row>
    <row r="666" spans="1:58" s="82" customFormat="1">
      <c r="A666" s="1183"/>
      <c r="B666" s="960"/>
      <c r="C666" s="1225"/>
      <c r="D666" s="84">
        <v>2020</v>
      </c>
      <c r="E666" s="85">
        <f t="shared" ref="E666:J666" si="252">E668+E675</f>
        <v>0.74539999999999995</v>
      </c>
      <c r="F666" s="85">
        <f t="shared" si="252"/>
        <v>0</v>
      </c>
      <c r="G666" s="85">
        <f t="shared" si="252"/>
        <v>0</v>
      </c>
      <c r="H666" s="85">
        <f t="shared" si="252"/>
        <v>0</v>
      </c>
      <c r="I666" s="85">
        <f t="shared" si="252"/>
        <v>0.74539999999999995</v>
      </c>
      <c r="J666" s="85">
        <f t="shared" si="252"/>
        <v>0</v>
      </c>
      <c r="K666" s="148">
        <v>0</v>
      </c>
      <c r="L666" s="497">
        <f t="shared" si="244"/>
        <v>0.74539999999999995</v>
      </c>
      <c r="M666" s="99"/>
      <c r="N666" s="1041"/>
      <c r="O666" s="846"/>
      <c r="P666" s="1289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  <c r="AF666" s="91"/>
      <c r="AG666" s="91"/>
      <c r="AH666" s="91"/>
      <c r="AI666" s="91"/>
      <c r="AJ666" s="91"/>
      <c r="AK666" s="91"/>
      <c r="AL666" s="91"/>
      <c r="AM666" s="91"/>
      <c r="AN666" s="91"/>
      <c r="AO666" s="91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  <c r="BF666" s="92"/>
    </row>
    <row r="667" spans="1:58" s="82" customFormat="1">
      <c r="A667" s="1128" t="s">
        <v>1222</v>
      </c>
      <c r="B667" s="1080" t="s">
        <v>791</v>
      </c>
      <c r="C667" s="571"/>
      <c r="D667" s="84" t="s">
        <v>16</v>
      </c>
      <c r="E667" s="85">
        <f t="shared" ref="E667:J667" si="253">E668</f>
        <v>0.66839999999999999</v>
      </c>
      <c r="F667" s="85">
        <f t="shared" si="253"/>
        <v>0</v>
      </c>
      <c r="G667" s="85">
        <f t="shared" si="253"/>
        <v>0</v>
      </c>
      <c r="H667" s="85">
        <f t="shared" si="253"/>
        <v>0</v>
      </c>
      <c r="I667" s="85">
        <f t="shared" si="253"/>
        <v>0.66839999999999999</v>
      </c>
      <c r="J667" s="85">
        <f t="shared" si="253"/>
        <v>0</v>
      </c>
      <c r="K667" s="148">
        <v>0</v>
      </c>
      <c r="L667" s="497">
        <f t="shared" si="244"/>
        <v>0.66839999999999999</v>
      </c>
      <c r="M667" s="99"/>
      <c r="N667" s="1041"/>
      <c r="O667" s="660"/>
      <c r="P667" s="1289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  <c r="AF667" s="91"/>
      <c r="AG667" s="91"/>
      <c r="AH667" s="91"/>
      <c r="AI667" s="91"/>
      <c r="AJ667" s="91"/>
      <c r="AK667" s="91"/>
      <c r="AL667" s="91"/>
      <c r="AM667" s="91"/>
      <c r="AN667" s="91"/>
      <c r="AO667" s="91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  <c r="BF667" s="92"/>
    </row>
    <row r="668" spans="1:58" s="82" customFormat="1">
      <c r="A668" s="1183"/>
      <c r="B668" s="1261"/>
      <c r="C668" s="571"/>
      <c r="D668" s="84">
        <v>2020</v>
      </c>
      <c r="E668" s="85">
        <f t="shared" ref="E668:J668" si="254">E670</f>
        <v>0.66839999999999999</v>
      </c>
      <c r="F668" s="85">
        <f t="shared" si="254"/>
        <v>0</v>
      </c>
      <c r="G668" s="85">
        <f t="shared" si="254"/>
        <v>0</v>
      </c>
      <c r="H668" s="85">
        <f t="shared" si="254"/>
        <v>0</v>
      </c>
      <c r="I668" s="85">
        <f t="shared" si="254"/>
        <v>0.66839999999999999</v>
      </c>
      <c r="J668" s="85">
        <f t="shared" si="254"/>
        <v>0</v>
      </c>
      <c r="K668" s="148">
        <v>0</v>
      </c>
      <c r="L668" s="497">
        <f t="shared" si="244"/>
        <v>0.66839999999999999</v>
      </c>
      <c r="M668" s="99"/>
      <c r="N668" s="1041"/>
      <c r="O668" s="660"/>
      <c r="P668" s="1289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2"/>
    </row>
    <row r="669" spans="1:58" s="82" customFormat="1">
      <c r="A669" s="553"/>
      <c r="B669" s="650"/>
      <c r="C669" s="571"/>
      <c r="D669" s="84" t="s">
        <v>429</v>
      </c>
      <c r="E669" s="85">
        <f t="shared" ref="E669:K669" si="255">E670</f>
        <v>0.66839999999999999</v>
      </c>
      <c r="F669" s="85">
        <f t="shared" si="255"/>
        <v>0</v>
      </c>
      <c r="G669" s="85">
        <f t="shared" si="255"/>
        <v>0</v>
      </c>
      <c r="H669" s="85">
        <f t="shared" si="255"/>
        <v>0</v>
      </c>
      <c r="I669" s="85">
        <f t="shared" si="255"/>
        <v>0.66839999999999999</v>
      </c>
      <c r="J669" s="85">
        <f t="shared" si="255"/>
        <v>0</v>
      </c>
      <c r="K669" s="85">
        <f t="shared" si="255"/>
        <v>0</v>
      </c>
      <c r="L669" s="497"/>
      <c r="M669" s="99"/>
      <c r="N669" s="1041"/>
      <c r="O669" s="660"/>
      <c r="P669" s="1289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  <c r="AF669" s="91"/>
      <c r="AG669" s="91"/>
      <c r="AH669" s="91"/>
      <c r="AI669" s="91"/>
      <c r="AJ669" s="91"/>
      <c r="AK669" s="91"/>
      <c r="AL669" s="91"/>
      <c r="AM669" s="91"/>
      <c r="AN669" s="91"/>
      <c r="AO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2"/>
    </row>
    <row r="670" spans="1:58" s="82" customFormat="1" ht="38.25">
      <c r="A670" s="567" t="s">
        <v>1407</v>
      </c>
      <c r="B670" s="390" t="s">
        <v>793</v>
      </c>
      <c r="C670" s="571"/>
      <c r="D670" s="84">
        <v>2020</v>
      </c>
      <c r="E670" s="85">
        <f>F670+G670+H670+I670+J670</f>
        <v>0.66839999999999999</v>
      </c>
      <c r="F670" s="85">
        <v>0</v>
      </c>
      <c r="G670" s="85">
        <v>0</v>
      </c>
      <c r="H670" s="85">
        <v>0</v>
      </c>
      <c r="I670" s="85">
        <v>0.66839999999999999</v>
      </c>
      <c r="J670" s="85">
        <v>0</v>
      </c>
      <c r="K670" s="148">
        <v>0</v>
      </c>
      <c r="L670" s="497">
        <f>F670+G670+H670+I670+J670</f>
        <v>0.66839999999999999</v>
      </c>
      <c r="M670" s="99"/>
      <c r="N670" s="1041"/>
      <c r="O670" s="660"/>
      <c r="P670" s="1289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  <c r="AF670" s="91"/>
      <c r="AG670" s="91"/>
      <c r="AH670" s="91"/>
      <c r="AI670" s="91"/>
      <c r="AJ670" s="91"/>
      <c r="AK670" s="91"/>
      <c r="AL670" s="91"/>
      <c r="AM670" s="91"/>
      <c r="AN670" s="91"/>
      <c r="AO670" s="91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2"/>
    </row>
    <row r="671" spans="1:58" s="82" customFormat="1">
      <c r="A671" s="1128" t="s">
        <v>1408</v>
      </c>
      <c r="B671" s="1080" t="s">
        <v>797</v>
      </c>
      <c r="C671" s="571"/>
      <c r="D671" s="84" t="s">
        <v>16</v>
      </c>
      <c r="E671" s="85">
        <f t="shared" ref="E671:J672" si="256">E672</f>
        <v>0.2369</v>
      </c>
      <c r="F671" s="85">
        <f t="shared" si="256"/>
        <v>0</v>
      </c>
      <c r="G671" s="85">
        <f t="shared" si="256"/>
        <v>0</v>
      </c>
      <c r="H671" s="85">
        <f t="shared" si="256"/>
        <v>0</v>
      </c>
      <c r="I671" s="85">
        <f t="shared" si="256"/>
        <v>0.2369</v>
      </c>
      <c r="J671" s="85">
        <f t="shared" si="256"/>
        <v>0</v>
      </c>
      <c r="K671" s="148">
        <v>0</v>
      </c>
      <c r="L671" s="497">
        <f>F671+G671+H671+I671+J671</f>
        <v>0.2369</v>
      </c>
      <c r="M671" s="99"/>
      <c r="N671" s="1041"/>
      <c r="O671" s="660"/>
      <c r="P671" s="1289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  <c r="AN671" s="91"/>
      <c r="AO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2"/>
    </row>
    <row r="672" spans="1:58" s="82" customFormat="1">
      <c r="A672" s="1183"/>
      <c r="B672" s="960"/>
      <c r="C672" s="571"/>
      <c r="D672" s="84">
        <v>2019</v>
      </c>
      <c r="E672" s="85">
        <f t="shared" si="256"/>
        <v>0.2369</v>
      </c>
      <c r="F672" s="85">
        <f t="shared" si="256"/>
        <v>0</v>
      </c>
      <c r="G672" s="85">
        <f t="shared" si="256"/>
        <v>0</v>
      </c>
      <c r="H672" s="85">
        <f t="shared" si="256"/>
        <v>0</v>
      </c>
      <c r="I672" s="85">
        <f t="shared" si="256"/>
        <v>0.2369</v>
      </c>
      <c r="J672" s="85">
        <f t="shared" si="256"/>
        <v>0</v>
      </c>
      <c r="K672" s="148">
        <v>0</v>
      </c>
      <c r="L672" s="497">
        <f>F672+G672+H672+I672+J672</f>
        <v>0.2369</v>
      </c>
      <c r="M672" s="99"/>
      <c r="N672" s="1041"/>
      <c r="O672" s="660"/>
      <c r="P672" s="1289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2"/>
    </row>
    <row r="673" spans="1:58" s="82" customFormat="1" ht="25.5">
      <c r="A673" s="567" t="s">
        <v>1409</v>
      </c>
      <c r="B673" s="390" t="s">
        <v>799</v>
      </c>
      <c r="C673" s="571"/>
      <c r="D673" s="84">
        <v>2019</v>
      </c>
      <c r="E673" s="85">
        <f>F673+G673+H673+J673+I673</f>
        <v>0.2369</v>
      </c>
      <c r="F673" s="85">
        <v>0</v>
      </c>
      <c r="G673" s="85">
        <v>0</v>
      </c>
      <c r="H673" s="85">
        <v>0</v>
      </c>
      <c r="I673" s="85">
        <v>0.2369</v>
      </c>
      <c r="J673" s="85">
        <v>0</v>
      </c>
      <c r="K673" s="148">
        <v>0</v>
      </c>
      <c r="L673" s="497">
        <f>F673+G673+H673+I673+J673</f>
        <v>0.2369</v>
      </c>
      <c r="M673" s="99"/>
      <c r="N673" s="1041"/>
      <c r="O673" s="660"/>
      <c r="P673" s="1289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2"/>
    </row>
    <row r="674" spans="1:58" s="82" customFormat="1">
      <c r="A674" s="1128" t="s">
        <v>1410</v>
      </c>
      <c r="B674" s="1080" t="s">
        <v>803</v>
      </c>
      <c r="C674" s="571"/>
      <c r="D674" s="84" t="s">
        <v>16</v>
      </c>
      <c r="E674" s="85">
        <f t="shared" ref="E674:J675" si="257">E675</f>
        <v>7.6999999999999999E-2</v>
      </c>
      <c r="F674" s="85">
        <f t="shared" si="257"/>
        <v>0</v>
      </c>
      <c r="G674" s="85">
        <f t="shared" si="257"/>
        <v>0</v>
      </c>
      <c r="H674" s="85">
        <f t="shared" si="257"/>
        <v>0</v>
      </c>
      <c r="I674" s="85">
        <f t="shared" si="257"/>
        <v>7.6999999999999999E-2</v>
      </c>
      <c r="J674" s="85">
        <f t="shared" si="257"/>
        <v>0</v>
      </c>
      <c r="K674" s="148">
        <v>0</v>
      </c>
      <c r="L674" s="473">
        <f>L675</f>
        <v>7.6999999999999999E-2</v>
      </c>
      <c r="M674" s="99"/>
      <c r="N674" s="1041"/>
      <c r="O674" s="660"/>
      <c r="P674" s="1289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2"/>
    </row>
    <row r="675" spans="1:58" s="82" customFormat="1">
      <c r="A675" s="1183"/>
      <c r="B675" s="960"/>
      <c r="C675" s="571"/>
      <c r="D675" s="84">
        <v>2020</v>
      </c>
      <c r="E675" s="85">
        <f t="shared" si="257"/>
        <v>7.6999999999999999E-2</v>
      </c>
      <c r="F675" s="85">
        <f t="shared" si="257"/>
        <v>0</v>
      </c>
      <c r="G675" s="85">
        <f t="shared" si="257"/>
        <v>0</v>
      </c>
      <c r="H675" s="85">
        <f t="shared" si="257"/>
        <v>0</v>
      </c>
      <c r="I675" s="85">
        <f t="shared" si="257"/>
        <v>7.6999999999999999E-2</v>
      </c>
      <c r="J675" s="85">
        <f t="shared" si="257"/>
        <v>0</v>
      </c>
      <c r="K675" s="148">
        <v>0</v>
      </c>
      <c r="L675" s="497">
        <f t="shared" ref="L675:L689" si="258">F675+G675+H675+I675+J675</f>
        <v>7.6999999999999999E-2</v>
      </c>
      <c r="M675" s="99"/>
      <c r="N675" s="1041"/>
      <c r="O675" s="660"/>
      <c r="P675" s="1289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  <c r="BF675" s="92"/>
    </row>
    <row r="676" spans="1:58" s="82" customFormat="1">
      <c r="A676" s="567" t="s">
        <v>1411</v>
      </c>
      <c r="B676" s="390" t="s">
        <v>805</v>
      </c>
      <c r="C676" s="571"/>
      <c r="D676" s="84">
        <v>2020</v>
      </c>
      <c r="E676" s="85">
        <f>F676+G676+H676+I676+J676</f>
        <v>7.6999999999999999E-2</v>
      </c>
      <c r="F676" s="85">
        <v>0</v>
      </c>
      <c r="G676" s="85">
        <v>0</v>
      </c>
      <c r="H676" s="85">
        <v>0</v>
      </c>
      <c r="I676" s="85">
        <v>7.6999999999999999E-2</v>
      </c>
      <c r="J676" s="85">
        <v>0</v>
      </c>
      <c r="K676" s="148">
        <v>0</v>
      </c>
      <c r="L676" s="497">
        <f t="shared" si="258"/>
        <v>7.6999999999999999E-2</v>
      </c>
      <c r="M676" s="99"/>
      <c r="N676" s="1041"/>
      <c r="O676" s="660"/>
      <c r="P676" s="1289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  <c r="BF676" s="92"/>
    </row>
    <row r="677" spans="1:58" s="82" customFormat="1">
      <c r="A677" s="1128" t="s">
        <v>1233</v>
      </c>
      <c r="B677" s="1080" t="s">
        <v>809</v>
      </c>
      <c r="C677" s="571"/>
      <c r="D677" s="84" t="s">
        <v>16</v>
      </c>
      <c r="E677" s="85">
        <f t="shared" ref="E677:J678" si="259">E678</f>
        <v>1.4332</v>
      </c>
      <c r="F677" s="85">
        <f t="shared" si="259"/>
        <v>0</v>
      </c>
      <c r="G677" s="85">
        <f t="shared" si="259"/>
        <v>0</v>
      </c>
      <c r="H677" s="85">
        <f t="shared" si="259"/>
        <v>0</v>
      </c>
      <c r="I677" s="85">
        <f t="shared" si="259"/>
        <v>1.4332</v>
      </c>
      <c r="J677" s="85">
        <f t="shared" si="259"/>
        <v>0</v>
      </c>
      <c r="K677" s="148">
        <v>0</v>
      </c>
      <c r="L677" s="497">
        <f t="shared" si="258"/>
        <v>1.4332</v>
      </c>
      <c r="M677" s="99"/>
      <c r="N677" s="1041"/>
      <c r="O677" s="660"/>
      <c r="P677" s="1289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  <c r="BF677" s="92"/>
    </row>
    <row r="678" spans="1:58" s="82" customFormat="1">
      <c r="A678" s="1183"/>
      <c r="B678" s="1261"/>
      <c r="C678" s="571"/>
      <c r="D678" s="84">
        <v>2019</v>
      </c>
      <c r="E678" s="85">
        <f t="shared" si="259"/>
        <v>1.4332</v>
      </c>
      <c r="F678" s="85">
        <f t="shared" si="259"/>
        <v>0</v>
      </c>
      <c r="G678" s="85">
        <f t="shared" si="259"/>
        <v>0</v>
      </c>
      <c r="H678" s="85">
        <f t="shared" si="259"/>
        <v>0</v>
      </c>
      <c r="I678" s="85">
        <f t="shared" si="259"/>
        <v>1.4332</v>
      </c>
      <c r="J678" s="85">
        <f t="shared" si="259"/>
        <v>0</v>
      </c>
      <c r="K678" s="148">
        <v>0</v>
      </c>
      <c r="L678" s="497">
        <f t="shared" si="258"/>
        <v>1.4332</v>
      </c>
      <c r="M678" s="99"/>
      <c r="N678" s="1041"/>
      <c r="O678" s="660"/>
      <c r="P678" s="1289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  <c r="AF678" s="91"/>
      <c r="AG678" s="91"/>
      <c r="AH678" s="91"/>
      <c r="AI678" s="91"/>
      <c r="AJ678" s="91"/>
      <c r="AK678" s="91"/>
      <c r="AL678" s="91"/>
      <c r="AM678" s="91"/>
      <c r="AN678" s="91"/>
      <c r="AO678" s="91"/>
      <c r="AP678" s="9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91"/>
      <c r="BE678" s="91"/>
      <c r="BF678" s="92"/>
    </row>
    <row r="679" spans="1:58" s="82" customFormat="1">
      <c r="A679" s="558" t="s">
        <v>1412</v>
      </c>
      <c r="B679" s="667" t="s">
        <v>811</v>
      </c>
      <c r="C679" s="571"/>
      <c r="D679" s="84">
        <v>2019</v>
      </c>
      <c r="E679" s="85">
        <f>F679+G679+H679+I679+J679</f>
        <v>1.4332</v>
      </c>
      <c r="F679" s="85">
        <v>0</v>
      </c>
      <c r="G679" s="85">
        <v>0</v>
      </c>
      <c r="H679" s="85">
        <v>0</v>
      </c>
      <c r="I679" s="85">
        <v>1.4332</v>
      </c>
      <c r="J679" s="85">
        <v>0</v>
      </c>
      <c r="K679" s="148">
        <v>0</v>
      </c>
      <c r="L679" s="497">
        <f t="shared" si="258"/>
        <v>1.4332</v>
      </c>
      <c r="M679" s="99"/>
      <c r="N679" s="1041"/>
      <c r="O679" s="660"/>
      <c r="P679" s="1289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  <c r="AF679" s="91"/>
      <c r="AG679" s="91"/>
      <c r="AH679" s="91"/>
      <c r="AI679" s="91"/>
      <c r="AJ679" s="91"/>
      <c r="AK679" s="91"/>
      <c r="AL679" s="91"/>
      <c r="AM679" s="91"/>
      <c r="AN679" s="91"/>
      <c r="AO679" s="91"/>
      <c r="AP679" s="9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91"/>
      <c r="BE679" s="91"/>
      <c r="BF679" s="92"/>
    </row>
    <row r="680" spans="1:58" s="82" customFormat="1" ht="18.75" customHeight="1">
      <c r="A680" s="567" t="s">
        <v>1413</v>
      </c>
      <c r="B680" s="390" t="s">
        <v>823</v>
      </c>
      <c r="C680" s="571"/>
      <c r="D680" s="84" t="s">
        <v>16</v>
      </c>
      <c r="E680" s="85">
        <f t="shared" ref="E680:J680" si="260">E681</f>
        <v>0.25340000000000001</v>
      </c>
      <c r="F680" s="85">
        <f t="shared" si="260"/>
        <v>0</v>
      </c>
      <c r="G680" s="85">
        <f t="shared" si="260"/>
        <v>0</v>
      </c>
      <c r="H680" s="85">
        <f t="shared" si="260"/>
        <v>0</v>
      </c>
      <c r="I680" s="85">
        <f t="shared" si="260"/>
        <v>0.25340000000000001</v>
      </c>
      <c r="J680" s="85">
        <f t="shared" si="260"/>
        <v>0</v>
      </c>
      <c r="K680" s="148">
        <v>0</v>
      </c>
      <c r="L680" s="497">
        <f t="shared" si="258"/>
        <v>0.25340000000000001</v>
      </c>
      <c r="M680" s="99"/>
      <c r="N680" s="1041"/>
      <c r="O680" s="660"/>
      <c r="P680" s="1289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  <c r="AF680" s="91"/>
      <c r="AG680" s="91"/>
      <c r="AH680" s="91"/>
      <c r="AI680" s="91"/>
      <c r="AJ680" s="91"/>
      <c r="AK680" s="91"/>
      <c r="AL680" s="91"/>
      <c r="AM680" s="91"/>
      <c r="AN680" s="91"/>
      <c r="AO680" s="91"/>
      <c r="AP680" s="9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91"/>
      <c r="BE680" s="91"/>
      <c r="BF680" s="92"/>
    </row>
    <row r="681" spans="1:58" s="82" customFormat="1" ht="22.5" customHeight="1">
      <c r="A681" s="567" t="s">
        <v>1414</v>
      </c>
      <c r="B681" s="390" t="s">
        <v>821</v>
      </c>
      <c r="C681" s="630"/>
      <c r="D681" s="84">
        <v>2019</v>
      </c>
      <c r="E681" s="85">
        <f>F681+G681+H681+I681+J681</f>
        <v>0.25340000000000001</v>
      </c>
      <c r="F681" s="85">
        <v>0</v>
      </c>
      <c r="G681" s="85">
        <v>0</v>
      </c>
      <c r="H681" s="85">
        <v>0</v>
      </c>
      <c r="I681" s="85">
        <v>0.25340000000000001</v>
      </c>
      <c r="J681" s="85">
        <v>0</v>
      </c>
      <c r="K681" s="148">
        <v>0</v>
      </c>
      <c r="L681" s="497">
        <f t="shared" si="258"/>
        <v>0.25340000000000001</v>
      </c>
      <c r="M681" s="99"/>
      <c r="N681" s="1042"/>
      <c r="O681" s="660"/>
      <c r="P681" s="1287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  <c r="AF681" s="91"/>
      <c r="AG681" s="91"/>
      <c r="AH681" s="91"/>
      <c r="AI681" s="91"/>
      <c r="AJ681" s="91"/>
      <c r="AK681" s="91"/>
      <c r="AL681" s="91"/>
      <c r="AM681" s="91"/>
      <c r="AN681" s="91"/>
      <c r="AO681" s="91"/>
      <c r="AP681" s="9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91"/>
      <c r="BE681" s="91"/>
      <c r="BF681" s="92"/>
    </row>
    <row r="682" spans="1:58" s="82" customFormat="1">
      <c r="A682" s="1128" t="s">
        <v>836</v>
      </c>
      <c r="B682" s="1080" t="s">
        <v>826</v>
      </c>
      <c r="C682" s="1224" t="s">
        <v>532</v>
      </c>
      <c r="D682" s="84" t="s">
        <v>16</v>
      </c>
      <c r="E682" s="85">
        <f t="shared" ref="E682:J682" si="261">E683</f>
        <v>1.5</v>
      </c>
      <c r="F682" s="85">
        <f t="shared" si="261"/>
        <v>0</v>
      </c>
      <c r="G682" s="85">
        <f t="shared" si="261"/>
        <v>0</v>
      </c>
      <c r="H682" s="85">
        <f t="shared" si="261"/>
        <v>1.425</v>
      </c>
      <c r="I682" s="85">
        <f t="shared" si="261"/>
        <v>0</v>
      </c>
      <c r="J682" s="85">
        <f t="shared" si="261"/>
        <v>7.4999999999999997E-2</v>
      </c>
      <c r="K682" s="148">
        <v>0</v>
      </c>
      <c r="L682" s="497">
        <f t="shared" si="258"/>
        <v>1.5</v>
      </c>
      <c r="M682" s="99"/>
      <c r="N682" s="88"/>
      <c r="O682" s="660"/>
      <c r="P682" s="1224" t="s">
        <v>737</v>
      </c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  <c r="AF682" s="91"/>
      <c r="AG682" s="91"/>
      <c r="AH682" s="91"/>
      <c r="AI682" s="91"/>
      <c r="AJ682" s="91"/>
      <c r="AK682" s="91"/>
      <c r="AL682" s="91"/>
      <c r="AM682" s="91"/>
      <c r="AN682" s="91"/>
      <c r="AO682" s="91"/>
      <c r="AP682" s="9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/>
      <c r="BF682" s="92"/>
    </row>
    <row r="683" spans="1:58" s="82" customFormat="1" ht="46.5" customHeight="1">
      <c r="A683" s="1183"/>
      <c r="B683" s="1261"/>
      <c r="C683" s="1219"/>
      <c r="D683" s="84">
        <v>2023</v>
      </c>
      <c r="E683" s="85">
        <f>F683+G683+H683+I683+J683</f>
        <v>1.5</v>
      </c>
      <c r="F683" s="85">
        <v>0</v>
      </c>
      <c r="G683" s="85">
        <v>0</v>
      </c>
      <c r="H683" s="85">
        <v>1.425</v>
      </c>
      <c r="I683" s="85">
        <v>0</v>
      </c>
      <c r="J683" s="85">
        <v>7.4999999999999997E-2</v>
      </c>
      <c r="K683" s="148">
        <v>0</v>
      </c>
      <c r="L683" s="497">
        <f t="shared" si="258"/>
        <v>1.5</v>
      </c>
      <c r="M683" s="99"/>
      <c r="N683" s="88"/>
      <c r="O683" s="660"/>
      <c r="P683" s="1226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  <c r="AF683" s="91"/>
      <c r="AG683" s="91"/>
      <c r="AH683" s="91"/>
      <c r="AI683" s="91"/>
      <c r="AJ683" s="91"/>
      <c r="AK683" s="91"/>
      <c r="AL683" s="91"/>
      <c r="AM683" s="91"/>
      <c r="AN683" s="91"/>
      <c r="AO683" s="91"/>
      <c r="AP683" s="9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91"/>
      <c r="BE683" s="91"/>
      <c r="BF683" s="92"/>
    </row>
    <row r="684" spans="1:58" s="82" customFormat="1" ht="12.75" customHeight="1">
      <c r="A684" s="1128" t="s">
        <v>1236</v>
      </c>
      <c r="B684" s="1313" t="s">
        <v>828</v>
      </c>
      <c r="C684" s="1286" t="s">
        <v>1415</v>
      </c>
      <c r="D684" s="84" t="s">
        <v>16</v>
      </c>
      <c r="E684" s="85">
        <f t="shared" ref="E684:J684" si="262">E685+E686+E687+E688+E689</f>
        <v>504.45300000000003</v>
      </c>
      <c r="F684" s="85">
        <f t="shared" si="262"/>
        <v>0</v>
      </c>
      <c r="G684" s="85">
        <f t="shared" si="262"/>
        <v>0</v>
      </c>
      <c r="H684" s="85">
        <f t="shared" si="262"/>
        <v>489.46320000000003</v>
      </c>
      <c r="I684" s="85">
        <f t="shared" si="262"/>
        <v>0</v>
      </c>
      <c r="J684" s="85">
        <f t="shared" si="262"/>
        <v>14.989800000000001</v>
      </c>
      <c r="K684" s="148">
        <v>0</v>
      </c>
      <c r="L684" s="497">
        <f t="shared" si="258"/>
        <v>504.45300000000003</v>
      </c>
      <c r="M684" s="99"/>
      <c r="N684" s="88"/>
      <c r="O684" s="89"/>
      <c r="P684" s="1286" t="s">
        <v>830</v>
      </c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  <c r="AF684" s="91"/>
      <c r="AG684" s="91"/>
      <c r="AH684" s="91"/>
      <c r="AI684" s="91"/>
      <c r="AJ684" s="91"/>
      <c r="AK684" s="91"/>
      <c r="AL684" s="91"/>
      <c r="AM684" s="91"/>
      <c r="AN684" s="91"/>
      <c r="AO684" s="91"/>
      <c r="AP684" s="9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91"/>
      <c r="BE684" s="91"/>
      <c r="BF684" s="92"/>
    </row>
    <row r="685" spans="1:58" s="82" customFormat="1">
      <c r="A685" s="1183"/>
      <c r="B685" s="1314"/>
      <c r="C685" s="1300"/>
      <c r="D685" s="84">
        <v>2019</v>
      </c>
      <c r="E685" s="85">
        <f>F685+G685+H685+I685+J685</f>
        <v>499.49900000000002</v>
      </c>
      <c r="F685" s="85">
        <v>0</v>
      </c>
      <c r="G685" s="85">
        <v>0</v>
      </c>
      <c r="H685" s="85">
        <v>484.50920000000002</v>
      </c>
      <c r="I685" s="85">
        <v>0</v>
      </c>
      <c r="J685" s="85">
        <v>14.989800000000001</v>
      </c>
      <c r="K685" s="148">
        <v>0</v>
      </c>
      <c r="L685" s="497">
        <f t="shared" si="258"/>
        <v>499.49900000000002</v>
      </c>
      <c r="M685" s="99"/>
      <c r="N685" s="88"/>
      <c r="O685" s="89"/>
      <c r="P685" s="1300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  <c r="AF685" s="91"/>
      <c r="AG685" s="91"/>
      <c r="AH685" s="91"/>
      <c r="AI685" s="91"/>
      <c r="AJ685" s="91"/>
      <c r="AK685" s="91"/>
      <c r="AL685" s="91"/>
      <c r="AM685" s="91"/>
      <c r="AN685" s="91"/>
      <c r="AO685" s="91"/>
      <c r="AP685" s="9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91"/>
      <c r="BE685" s="91"/>
      <c r="BF685" s="92"/>
    </row>
    <row r="686" spans="1:58" s="82" customFormat="1">
      <c r="A686" s="1183"/>
      <c r="B686" s="1314"/>
      <c r="C686" s="1300"/>
      <c r="D686" s="84">
        <v>2020</v>
      </c>
      <c r="E686" s="85">
        <f>F686+G686+H686+I686+J686</f>
        <v>4.9539999999999997</v>
      </c>
      <c r="F686" s="85">
        <v>0</v>
      </c>
      <c r="G686" s="85">
        <v>0</v>
      </c>
      <c r="H686" s="85">
        <v>4.9539999999999997</v>
      </c>
      <c r="I686" s="85">
        <v>0</v>
      </c>
      <c r="J686" s="85">
        <v>0</v>
      </c>
      <c r="K686" s="148">
        <v>0</v>
      </c>
      <c r="L686" s="497">
        <f t="shared" si="258"/>
        <v>4.9539999999999997</v>
      </c>
      <c r="M686" s="99"/>
      <c r="N686" s="88"/>
      <c r="O686" s="89"/>
      <c r="P686" s="1300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  <c r="AF686" s="91"/>
      <c r="AG686" s="91"/>
      <c r="AH686" s="91"/>
      <c r="AI686" s="91"/>
      <c r="AJ686" s="91"/>
      <c r="AK686" s="91"/>
      <c r="AL686" s="91"/>
      <c r="AM686" s="91"/>
      <c r="AN686" s="91"/>
      <c r="AO686" s="91"/>
      <c r="AP686" s="9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91"/>
      <c r="BE686" s="91"/>
      <c r="BF686" s="92"/>
    </row>
    <row r="687" spans="1:58" s="82" customFormat="1">
      <c r="A687" s="1183"/>
      <c r="B687" s="1314"/>
      <c r="C687" s="1300"/>
      <c r="D687" s="84">
        <v>2022</v>
      </c>
      <c r="E687" s="85">
        <f>F687+G687+H687+I687+J687</f>
        <v>0</v>
      </c>
      <c r="F687" s="85">
        <v>0</v>
      </c>
      <c r="G687" s="85">
        <v>0</v>
      </c>
      <c r="H687" s="85">
        <v>0</v>
      </c>
      <c r="I687" s="85">
        <v>0</v>
      </c>
      <c r="J687" s="85">
        <v>0</v>
      </c>
      <c r="K687" s="148">
        <v>0</v>
      </c>
      <c r="L687" s="497">
        <f t="shared" si="258"/>
        <v>0</v>
      </c>
      <c r="M687" s="99"/>
      <c r="N687" s="88"/>
      <c r="O687" s="89"/>
      <c r="P687" s="1300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  <c r="AF687" s="91"/>
      <c r="AG687" s="91"/>
      <c r="AH687" s="91"/>
      <c r="AI687" s="91"/>
      <c r="AJ687" s="91"/>
      <c r="AK687" s="91"/>
      <c r="AL687" s="91"/>
      <c r="AM687" s="91"/>
      <c r="AN687" s="91"/>
      <c r="AO687" s="91"/>
      <c r="AP687" s="9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91"/>
      <c r="BE687" s="91"/>
      <c r="BF687" s="92"/>
    </row>
    <row r="688" spans="1:58" s="82" customFormat="1">
      <c r="A688" s="1183"/>
      <c r="B688" s="1314"/>
      <c r="C688" s="1300"/>
      <c r="D688" s="84">
        <v>2023</v>
      </c>
      <c r="E688" s="85">
        <f>F688+G688+H688+I688+J688</f>
        <v>0</v>
      </c>
      <c r="F688" s="85">
        <v>0</v>
      </c>
      <c r="G688" s="85">
        <v>0</v>
      </c>
      <c r="H688" s="85">
        <v>0</v>
      </c>
      <c r="I688" s="85">
        <v>0</v>
      </c>
      <c r="J688" s="85">
        <v>0</v>
      </c>
      <c r="K688" s="148">
        <v>0</v>
      </c>
      <c r="L688" s="497">
        <f t="shared" si="258"/>
        <v>0</v>
      </c>
      <c r="M688" s="99"/>
      <c r="N688" s="88"/>
      <c r="O688" s="89"/>
      <c r="P688" s="1300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  <c r="AF688" s="91"/>
      <c r="AG688" s="91"/>
      <c r="AH688" s="91"/>
      <c r="AI688" s="91"/>
      <c r="AJ688" s="91"/>
      <c r="AK688" s="91"/>
      <c r="AL688" s="91"/>
      <c r="AM688" s="91"/>
      <c r="AN688" s="91"/>
      <c r="AO688" s="91"/>
      <c r="AP688" s="9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91"/>
      <c r="BE688" s="91"/>
      <c r="BF688" s="92"/>
    </row>
    <row r="689" spans="1:58" s="82" customFormat="1">
      <c r="A689" s="1184"/>
      <c r="B689" s="1315"/>
      <c r="C689" s="1300"/>
      <c r="D689" s="84">
        <v>2024</v>
      </c>
      <c r="E689" s="85">
        <v>0</v>
      </c>
      <c r="F689" s="85">
        <v>0</v>
      </c>
      <c r="G689" s="85">
        <v>0</v>
      </c>
      <c r="H689" s="85">
        <v>0</v>
      </c>
      <c r="I689" s="85">
        <v>0</v>
      </c>
      <c r="J689" s="85">
        <v>0</v>
      </c>
      <c r="K689" s="148">
        <v>0</v>
      </c>
      <c r="L689" s="497">
        <f t="shared" si="258"/>
        <v>0</v>
      </c>
      <c r="M689" s="99"/>
      <c r="N689" s="88"/>
      <c r="O689" s="89"/>
      <c r="P689" s="1300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  <c r="AF689" s="91"/>
      <c r="AG689" s="91"/>
      <c r="AH689" s="91"/>
      <c r="AI689" s="91"/>
      <c r="AJ689" s="91"/>
      <c r="AK689" s="91"/>
      <c r="AL689" s="91"/>
      <c r="AM689" s="91"/>
      <c r="AN689" s="91"/>
      <c r="AO689" s="91"/>
      <c r="AP689" s="9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/>
      <c r="BF689" s="92"/>
    </row>
    <row r="690" spans="1:58" s="82" customFormat="1">
      <c r="A690" s="1128" t="s">
        <v>1237</v>
      </c>
      <c r="B690" s="1286" t="s">
        <v>1235</v>
      </c>
      <c r="C690" s="1300"/>
      <c r="D690" s="84" t="s">
        <v>16</v>
      </c>
      <c r="E690" s="85">
        <f t="shared" ref="E690:K690" si="263">E691</f>
        <v>3.3525</v>
      </c>
      <c r="F690" s="85">
        <f t="shared" si="263"/>
        <v>0</v>
      </c>
      <c r="G690" s="85">
        <f t="shared" si="263"/>
        <v>0</v>
      </c>
      <c r="H690" s="85">
        <f t="shared" si="263"/>
        <v>0</v>
      </c>
      <c r="I690" s="85">
        <f t="shared" si="263"/>
        <v>0</v>
      </c>
      <c r="J690" s="85">
        <f t="shared" si="263"/>
        <v>0.98599999999999999</v>
      </c>
      <c r="K690" s="85">
        <f t="shared" si="263"/>
        <v>2.3664999999999998</v>
      </c>
      <c r="L690" s="497"/>
      <c r="M690" s="99"/>
      <c r="N690" s="88"/>
      <c r="O690" s="89"/>
      <c r="P690" s="679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  <c r="AF690" s="91"/>
      <c r="AG690" s="91"/>
      <c r="AH690" s="91"/>
      <c r="AI690" s="91"/>
      <c r="AJ690" s="91"/>
      <c r="AK690" s="91"/>
      <c r="AL690" s="91"/>
      <c r="AM690" s="91"/>
      <c r="AN690" s="91"/>
      <c r="AO690" s="91"/>
      <c r="AP690" s="9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91"/>
      <c r="BE690" s="91"/>
      <c r="BF690" s="92"/>
    </row>
    <row r="691" spans="1:58" s="82" customFormat="1" ht="21" customHeight="1">
      <c r="A691" s="1184"/>
      <c r="B691" s="1299"/>
      <c r="C691" s="1299"/>
      <c r="D691" s="84">
        <v>2021</v>
      </c>
      <c r="E691" s="85">
        <f>J691+K691</f>
        <v>3.3525</v>
      </c>
      <c r="F691" s="85">
        <v>0</v>
      </c>
      <c r="G691" s="85">
        <v>0</v>
      </c>
      <c r="H691" s="85">
        <v>0</v>
      </c>
      <c r="I691" s="85">
        <v>0</v>
      </c>
      <c r="J691" s="85">
        <v>0.98599999999999999</v>
      </c>
      <c r="K691" s="148">
        <v>2.3664999999999998</v>
      </c>
      <c r="L691" s="497"/>
      <c r="M691" s="99"/>
      <c r="N691" s="88"/>
      <c r="O691" s="89"/>
      <c r="P691" s="679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  <c r="AF691" s="91"/>
      <c r="AG691" s="91"/>
      <c r="AH691" s="91"/>
      <c r="AI691" s="91"/>
      <c r="AJ691" s="91"/>
      <c r="AK691" s="91"/>
      <c r="AL691" s="91"/>
      <c r="AM691" s="91"/>
      <c r="AN691" s="91"/>
      <c r="AO691" s="91"/>
      <c r="AP691" s="9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  <c r="BF691" s="92"/>
    </row>
    <row r="692" spans="1:58" s="82" customFormat="1">
      <c r="A692" s="1128" t="s">
        <v>1238</v>
      </c>
      <c r="B692" s="1080" t="s">
        <v>832</v>
      </c>
      <c r="C692" s="1286" t="s">
        <v>1416</v>
      </c>
      <c r="D692" s="84" t="s">
        <v>16</v>
      </c>
      <c r="E692" s="85">
        <f t="shared" ref="E692:J692" si="264">E693+E694+E695+E696+E697+E698</f>
        <v>17.276</v>
      </c>
      <c r="F692" s="85">
        <f t="shared" si="264"/>
        <v>0</v>
      </c>
      <c r="G692" s="85">
        <f t="shared" si="264"/>
        <v>0</v>
      </c>
      <c r="H692" s="85">
        <f t="shared" si="264"/>
        <v>16.757999999999999</v>
      </c>
      <c r="I692" s="85">
        <f t="shared" si="264"/>
        <v>0</v>
      </c>
      <c r="J692" s="85">
        <f t="shared" si="264"/>
        <v>0.51800000000000002</v>
      </c>
      <c r="K692" s="148">
        <v>0</v>
      </c>
      <c r="L692" s="497">
        <f t="shared" ref="L692:L702" si="265">F692+G692+H692+I692+J692</f>
        <v>17.276</v>
      </c>
      <c r="M692" s="99"/>
      <c r="N692" s="88"/>
      <c r="O692" s="89"/>
      <c r="P692" s="1286" t="s">
        <v>640</v>
      </c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  <c r="AF692" s="91"/>
      <c r="AG692" s="91"/>
      <c r="AH692" s="91"/>
      <c r="AI692" s="91"/>
      <c r="AJ692" s="91"/>
      <c r="AK692" s="91"/>
      <c r="AL692" s="91"/>
      <c r="AM692" s="91"/>
      <c r="AN692" s="91"/>
      <c r="AO692" s="91"/>
      <c r="AP692" s="9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91"/>
      <c r="BE692" s="91"/>
      <c r="BF692" s="92"/>
    </row>
    <row r="693" spans="1:58" s="82" customFormat="1">
      <c r="A693" s="1279"/>
      <c r="B693" s="960"/>
      <c r="C693" s="1218"/>
      <c r="D693" s="84">
        <v>2019</v>
      </c>
      <c r="E693" s="85">
        <f t="shared" ref="E693:E698" si="266">F693+G693+H693+I693+J693</f>
        <v>17.276</v>
      </c>
      <c r="F693" s="85">
        <v>0</v>
      </c>
      <c r="G693" s="85">
        <v>0</v>
      </c>
      <c r="H693" s="85">
        <v>16.757999999999999</v>
      </c>
      <c r="I693" s="85">
        <v>0</v>
      </c>
      <c r="J693" s="85">
        <v>0.51800000000000002</v>
      </c>
      <c r="K693" s="148">
        <v>0</v>
      </c>
      <c r="L693" s="497">
        <f t="shared" si="265"/>
        <v>17.276</v>
      </c>
      <c r="M693" s="99"/>
      <c r="N693" s="88"/>
      <c r="O693" s="89"/>
      <c r="P693" s="1218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  <c r="AF693" s="91"/>
      <c r="AG693" s="91"/>
      <c r="AH693" s="91"/>
      <c r="AI693" s="91"/>
      <c r="AJ693" s="91"/>
      <c r="AK693" s="91"/>
      <c r="AL693" s="91"/>
      <c r="AM693" s="91"/>
      <c r="AN693" s="91"/>
      <c r="AO693" s="91"/>
      <c r="AP693" s="9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91"/>
      <c r="BE693" s="91"/>
      <c r="BF693" s="92"/>
    </row>
    <row r="694" spans="1:58" s="82" customFormat="1">
      <c r="A694" s="1279"/>
      <c r="B694" s="960"/>
      <c r="C694" s="1218"/>
      <c r="D694" s="114">
        <v>2020</v>
      </c>
      <c r="E694" s="85">
        <f t="shared" si="266"/>
        <v>0</v>
      </c>
      <c r="F694" s="85">
        <v>0</v>
      </c>
      <c r="G694" s="85">
        <v>0</v>
      </c>
      <c r="H694" s="85">
        <v>0</v>
      </c>
      <c r="I694" s="85">
        <v>0</v>
      </c>
      <c r="J694" s="85">
        <v>0</v>
      </c>
      <c r="K694" s="148">
        <v>0</v>
      </c>
      <c r="L694" s="497">
        <f t="shared" si="265"/>
        <v>0</v>
      </c>
      <c r="M694" s="99"/>
      <c r="N694" s="88"/>
      <c r="O694" s="89"/>
      <c r="P694" s="1218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  <c r="AF694" s="91"/>
      <c r="AG694" s="91"/>
      <c r="AH694" s="91"/>
      <c r="AI694" s="91"/>
      <c r="AJ694" s="91"/>
      <c r="AK694" s="91"/>
      <c r="AL694" s="91"/>
      <c r="AM694" s="91"/>
      <c r="AN694" s="91"/>
      <c r="AO694" s="91"/>
      <c r="AP694" s="9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91"/>
      <c r="BE694" s="91"/>
      <c r="BF694" s="92"/>
    </row>
    <row r="695" spans="1:58" s="82" customFormat="1">
      <c r="A695" s="1279"/>
      <c r="B695" s="960"/>
      <c r="C695" s="1218"/>
      <c r="D695" s="114">
        <v>2021</v>
      </c>
      <c r="E695" s="85">
        <f t="shared" si="266"/>
        <v>0</v>
      </c>
      <c r="F695" s="85">
        <v>0</v>
      </c>
      <c r="G695" s="85">
        <v>0</v>
      </c>
      <c r="H695" s="85">
        <v>0</v>
      </c>
      <c r="I695" s="85">
        <v>0</v>
      </c>
      <c r="J695" s="85">
        <v>0</v>
      </c>
      <c r="K695" s="148">
        <v>0</v>
      </c>
      <c r="L695" s="497">
        <f t="shared" si="265"/>
        <v>0</v>
      </c>
      <c r="M695" s="99"/>
      <c r="N695" s="88"/>
      <c r="O695" s="89"/>
      <c r="P695" s="1218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  <c r="AF695" s="91"/>
      <c r="AG695" s="91"/>
      <c r="AH695" s="91"/>
      <c r="AI695" s="91"/>
      <c r="AJ695" s="91"/>
      <c r="AK695" s="91"/>
      <c r="AL695" s="91"/>
      <c r="AM695" s="91"/>
      <c r="AN695" s="91"/>
      <c r="AO695" s="91"/>
      <c r="AP695" s="9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91"/>
      <c r="BE695" s="91"/>
      <c r="BF695" s="92"/>
    </row>
    <row r="696" spans="1:58" s="82" customFormat="1">
      <c r="A696" s="1279"/>
      <c r="B696" s="960"/>
      <c r="C696" s="1218"/>
      <c r="D696" s="114">
        <v>2022</v>
      </c>
      <c r="E696" s="85">
        <f t="shared" si="266"/>
        <v>0</v>
      </c>
      <c r="F696" s="85">
        <v>0</v>
      </c>
      <c r="G696" s="85">
        <v>0</v>
      </c>
      <c r="H696" s="85">
        <v>0</v>
      </c>
      <c r="I696" s="85">
        <v>0</v>
      </c>
      <c r="J696" s="85">
        <v>0</v>
      </c>
      <c r="K696" s="148">
        <v>0</v>
      </c>
      <c r="L696" s="497">
        <f t="shared" si="265"/>
        <v>0</v>
      </c>
      <c r="M696" s="99"/>
      <c r="N696" s="88"/>
      <c r="O696" s="89"/>
      <c r="P696" s="1218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  <c r="AF696" s="91"/>
      <c r="AG696" s="91"/>
      <c r="AH696" s="91"/>
      <c r="AI696" s="91"/>
      <c r="AJ696" s="91"/>
      <c r="AK696" s="91"/>
      <c r="AL696" s="91"/>
      <c r="AM696" s="91"/>
      <c r="AN696" s="91"/>
      <c r="AO696" s="91"/>
      <c r="AP696" s="9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91"/>
      <c r="BE696" s="91"/>
      <c r="BF696" s="92"/>
    </row>
    <row r="697" spans="1:58" s="82" customFormat="1">
      <c r="A697" s="1279"/>
      <c r="B697" s="960"/>
      <c r="C697" s="1218"/>
      <c r="D697" s="114">
        <v>2023</v>
      </c>
      <c r="E697" s="85">
        <f t="shared" si="266"/>
        <v>0</v>
      </c>
      <c r="F697" s="85">
        <v>0</v>
      </c>
      <c r="G697" s="85">
        <v>0</v>
      </c>
      <c r="H697" s="85">
        <v>0</v>
      </c>
      <c r="I697" s="85">
        <v>0</v>
      </c>
      <c r="J697" s="85">
        <v>0</v>
      </c>
      <c r="K697" s="148">
        <v>0</v>
      </c>
      <c r="L697" s="497">
        <f t="shared" si="265"/>
        <v>0</v>
      </c>
      <c r="M697" s="99"/>
      <c r="N697" s="88"/>
      <c r="O697" s="89"/>
      <c r="P697" s="1218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  <c r="AF697" s="91"/>
      <c r="AG697" s="91"/>
      <c r="AH697" s="91"/>
      <c r="AI697" s="91"/>
      <c r="AJ697" s="91"/>
      <c r="AK697" s="91"/>
      <c r="AL697" s="91"/>
      <c r="AM697" s="91"/>
      <c r="AN697" s="91"/>
      <c r="AO697" s="91"/>
      <c r="AP697" s="9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91"/>
      <c r="BE697" s="91"/>
      <c r="BF697" s="92"/>
    </row>
    <row r="698" spans="1:58" s="82" customFormat="1">
      <c r="A698" s="1280"/>
      <c r="B698" s="961"/>
      <c r="C698" s="1219"/>
      <c r="D698" s="114">
        <v>2024</v>
      </c>
      <c r="E698" s="85">
        <f t="shared" si="266"/>
        <v>0</v>
      </c>
      <c r="F698" s="85">
        <v>0</v>
      </c>
      <c r="G698" s="85">
        <v>0</v>
      </c>
      <c r="H698" s="85">
        <v>0</v>
      </c>
      <c r="I698" s="85">
        <v>0</v>
      </c>
      <c r="J698" s="85">
        <v>0</v>
      </c>
      <c r="K698" s="148">
        <v>0</v>
      </c>
      <c r="L698" s="497">
        <f t="shared" si="265"/>
        <v>0</v>
      </c>
      <c r="M698" s="99"/>
      <c r="N698" s="88"/>
      <c r="O698" s="89"/>
      <c r="P698" s="1219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  <c r="AF698" s="91"/>
      <c r="AG698" s="91"/>
      <c r="AH698" s="91"/>
      <c r="AI698" s="91"/>
      <c r="AJ698" s="91"/>
      <c r="AK698" s="91"/>
      <c r="AL698" s="91"/>
      <c r="AM698" s="91"/>
      <c r="AN698" s="91"/>
      <c r="AO698" s="91"/>
      <c r="AP698" s="9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91"/>
      <c r="BE698" s="91"/>
      <c r="BF698" s="92"/>
    </row>
    <row r="699" spans="1:58" s="82" customFormat="1">
      <c r="A699" s="1227" t="s">
        <v>1239</v>
      </c>
      <c r="B699" s="1224" t="s">
        <v>834</v>
      </c>
      <c r="C699" s="1245" t="s">
        <v>835</v>
      </c>
      <c r="D699" s="114" t="s">
        <v>16</v>
      </c>
      <c r="E699" s="85">
        <f t="shared" ref="E699:J699" si="267">E700</f>
        <v>2.8313999999999999</v>
      </c>
      <c r="F699" s="85">
        <f t="shared" si="267"/>
        <v>0</v>
      </c>
      <c r="G699" s="85">
        <f t="shared" si="267"/>
        <v>0</v>
      </c>
      <c r="H699" s="85">
        <f t="shared" si="267"/>
        <v>2.742</v>
      </c>
      <c r="I699" s="85">
        <f t="shared" si="267"/>
        <v>0</v>
      </c>
      <c r="J699" s="85">
        <f t="shared" si="267"/>
        <v>8.9399999999999993E-2</v>
      </c>
      <c r="K699" s="148">
        <v>0</v>
      </c>
      <c r="L699" s="497">
        <f t="shared" si="265"/>
        <v>2.8313999999999999</v>
      </c>
      <c r="M699" s="99"/>
      <c r="N699" s="88"/>
      <c r="O699" s="89"/>
      <c r="P699" s="1224" t="s">
        <v>640</v>
      </c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  <c r="AF699" s="91"/>
      <c r="AG699" s="91"/>
      <c r="AH699" s="91"/>
      <c r="AI699" s="91"/>
      <c r="AJ699" s="91"/>
      <c r="AK699" s="91"/>
      <c r="AL699" s="91"/>
      <c r="AM699" s="91"/>
      <c r="AN699" s="91"/>
      <c r="AO699" s="91"/>
      <c r="AP699" s="9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91"/>
      <c r="BE699" s="91"/>
      <c r="BF699" s="92"/>
    </row>
    <row r="700" spans="1:58" s="82" customFormat="1" ht="18.75" customHeight="1">
      <c r="A700" s="1227"/>
      <c r="B700" s="1226"/>
      <c r="C700" s="1245"/>
      <c r="D700" s="114">
        <v>2019</v>
      </c>
      <c r="E700" s="85">
        <f>F700+G700+H700+I700+J700</f>
        <v>2.8313999999999999</v>
      </c>
      <c r="F700" s="85">
        <v>0</v>
      </c>
      <c r="G700" s="85">
        <v>0</v>
      </c>
      <c r="H700" s="85">
        <v>2.742</v>
      </c>
      <c r="I700" s="85">
        <v>0</v>
      </c>
      <c r="J700" s="85">
        <v>8.9399999999999993E-2</v>
      </c>
      <c r="K700" s="148">
        <v>0</v>
      </c>
      <c r="L700" s="497">
        <f t="shared" si="265"/>
        <v>2.8313999999999999</v>
      </c>
      <c r="M700" s="99"/>
      <c r="N700" s="88"/>
      <c r="O700" s="89"/>
      <c r="P700" s="1225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  <c r="AF700" s="91"/>
      <c r="AG700" s="91"/>
      <c r="AH700" s="91"/>
      <c r="AI700" s="91"/>
      <c r="AJ700" s="91"/>
      <c r="AK700" s="91"/>
      <c r="AL700" s="91"/>
      <c r="AM700" s="91"/>
      <c r="AN700" s="91"/>
      <c r="AO700" s="91"/>
      <c r="AP700" s="9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91"/>
      <c r="BE700" s="91"/>
      <c r="BF700" s="92"/>
    </row>
    <row r="701" spans="1:58" s="82" customFormat="1">
      <c r="A701" s="1149" t="s">
        <v>1242</v>
      </c>
      <c r="B701" s="1224" t="s">
        <v>837</v>
      </c>
      <c r="C701" s="1245"/>
      <c r="D701" s="114" t="s">
        <v>16</v>
      </c>
      <c r="E701" s="85">
        <f t="shared" ref="E701:J701" si="268">E702</f>
        <v>3.5242999999999998</v>
      </c>
      <c r="F701" s="85">
        <f t="shared" si="268"/>
        <v>0</v>
      </c>
      <c r="G701" s="85">
        <f t="shared" si="268"/>
        <v>0</v>
      </c>
      <c r="H701" s="85">
        <f t="shared" si="268"/>
        <v>3.4129999999999998</v>
      </c>
      <c r="I701" s="85">
        <f t="shared" si="268"/>
        <v>0</v>
      </c>
      <c r="J701" s="85">
        <f t="shared" si="268"/>
        <v>0.1113</v>
      </c>
      <c r="K701" s="148">
        <v>0</v>
      </c>
      <c r="L701" s="497">
        <f t="shared" si="265"/>
        <v>3.5242999999999998</v>
      </c>
      <c r="M701" s="99"/>
      <c r="N701" s="88"/>
      <c r="O701" s="89"/>
      <c r="P701" s="1225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  <c r="AF701" s="91"/>
      <c r="AG701" s="91"/>
      <c r="AH701" s="91"/>
      <c r="AI701" s="91"/>
      <c r="AJ701" s="91"/>
      <c r="AK701" s="91"/>
      <c r="AL701" s="91"/>
      <c r="AM701" s="91"/>
      <c r="AN701" s="91"/>
      <c r="AO701" s="91"/>
      <c r="AP701" s="9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91"/>
      <c r="BE701" s="91"/>
      <c r="BF701" s="92"/>
    </row>
    <row r="702" spans="1:58" s="82" customFormat="1" ht="24" customHeight="1">
      <c r="A702" s="1151"/>
      <c r="B702" s="1226"/>
      <c r="C702" s="1245"/>
      <c r="D702" s="114">
        <v>2019</v>
      </c>
      <c r="E702" s="85">
        <f>F702+G702+H702+I702+J702</f>
        <v>3.5242999999999998</v>
      </c>
      <c r="F702" s="85">
        <v>0</v>
      </c>
      <c r="G702" s="85">
        <v>0</v>
      </c>
      <c r="H702" s="85">
        <v>3.4129999999999998</v>
      </c>
      <c r="I702" s="85">
        <v>0</v>
      </c>
      <c r="J702" s="85">
        <v>0.1113</v>
      </c>
      <c r="K702" s="148">
        <v>0</v>
      </c>
      <c r="L702" s="497">
        <f t="shared" si="265"/>
        <v>3.5242999999999998</v>
      </c>
      <c r="M702" s="99"/>
      <c r="N702" s="88"/>
      <c r="O702" s="89"/>
      <c r="P702" s="1226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  <c r="AF702" s="91"/>
      <c r="AG702" s="91"/>
      <c r="AH702" s="91"/>
      <c r="AI702" s="91"/>
      <c r="AJ702" s="91"/>
      <c r="AK702" s="91"/>
      <c r="AL702" s="91"/>
      <c r="AM702" s="91"/>
      <c r="AN702" s="91"/>
      <c r="AO702" s="91"/>
      <c r="AP702" s="9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91"/>
      <c r="BE702" s="91"/>
      <c r="BF702" s="92"/>
    </row>
    <row r="703" spans="1:58" s="82" customFormat="1" ht="24" customHeight="1">
      <c r="A703" s="1227" t="s">
        <v>1245</v>
      </c>
      <c r="B703" s="1245" t="s">
        <v>1240</v>
      </c>
      <c r="C703" s="1224" t="s">
        <v>1417</v>
      </c>
      <c r="D703" s="114" t="s">
        <v>16</v>
      </c>
      <c r="E703" s="85">
        <f t="shared" ref="E703:J703" si="269">E704</f>
        <v>9.2197999999999993</v>
      </c>
      <c r="F703" s="85">
        <f t="shared" si="269"/>
        <v>0</v>
      </c>
      <c r="G703" s="85">
        <f t="shared" si="269"/>
        <v>0</v>
      </c>
      <c r="H703" s="85">
        <f t="shared" si="269"/>
        <v>9.0353999999999992</v>
      </c>
      <c r="I703" s="85">
        <f t="shared" si="269"/>
        <v>0</v>
      </c>
      <c r="J703" s="85">
        <f t="shared" si="269"/>
        <v>0.18440000000000001</v>
      </c>
      <c r="K703" s="148">
        <v>0</v>
      </c>
      <c r="L703" s="497"/>
      <c r="M703" s="99"/>
      <c r="N703" s="88"/>
      <c r="O703" s="89"/>
      <c r="P703" s="1224" t="s">
        <v>640</v>
      </c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  <c r="AF703" s="91"/>
      <c r="AG703" s="91"/>
      <c r="AH703" s="91"/>
      <c r="AI703" s="91"/>
      <c r="AJ703" s="91"/>
      <c r="AK703" s="91"/>
      <c r="AL703" s="91"/>
      <c r="AM703" s="91"/>
      <c r="AN703" s="91"/>
      <c r="AO703" s="91"/>
      <c r="AP703" s="9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91"/>
      <c r="BE703" s="91"/>
      <c r="BF703" s="92"/>
    </row>
    <row r="704" spans="1:58" s="82" customFormat="1" ht="86.25" customHeight="1">
      <c r="A704" s="1227"/>
      <c r="B704" s="1245"/>
      <c r="C704" s="1225"/>
      <c r="D704" s="114">
        <v>2021</v>
      </c>
      <c r="E704" s="85">
        <f>F704+G704+H704+I704+J704</f>
        <v>9.2197999999999993</v>
      </c>
      <c r="F704" s="85">
        <v>0</v>
      </c>
      <c r="G704" s="85">
        <v>0</v>
      </c>
      <c r="H704" s="85">
        <v>9.0353999999999992</v>
      </c>
      <c r="I704" s="85">
        <v>0</v>
      </c>
      <c r="J704" s="85">
        <v>0.18440000000000001</v>
      </c>
      <c r="K704" s="148">
        <v>0</v>
      </c>
      <c r="L704" s="497"/>
      <c r="M704" s="99"/>
      <c r="N704" s="88"/>
      <c r="O704" s="89"/>
      <c r="P704" s="1225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  <c r="AF704" s="91"/>
      <c r="AG704" s="91"/>
      <c r="AH704" s="91"/>
      <c r="AI704" s="91"/>
      <c r="AJ704" s="91"/>
      <c r="AK704" s="91"/>
      <c r="AL704" s="91"/>
      <c r="AM704" s="91"/>
      <c r="AN704" s="91"/>
      <c r="AO704" s="91"/>
      <c r="AP704" s="9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91"/>
      <c r="BE704" s="91"/>
      <c r="BF704" s="92"/>
    </row>
    <row r="705" spans="1:138" s="82" customFormat="1" ht="26.25" customHeight="1">
      <c r="A705" s="1022" t="s">
        <v>1247</v>
      </c>
      <c r="B705" s="621" t="s">
        <v>1243</v>
      </c>
      <c r="C705" s="1224" t="s">
        <v>1418</v>
      </c>
      <c r="D705" s="114" t="s">
        <v>16</v>
      </c>
      <c r="E705" s="85">
        <f t="shared" ref="E705:J705" si="270">E706</f>
        <v>0</v>
      </c>
      <c r="F705" s="85">
        <f t="shared" si="270"/>
        <v>0</v>
      </c>
      <c r="G705" s="85">
        <f t="shared" si="270"/>
        <v>0</v>
      </c>
      <c r="H705" s="85">
        <f t="shared" si="270"/>
        <v>0</v>
      </c>
      <c r="I705" s="85">
        <f t="shared" si="270"/>
        <v>0</v>
      </c>
      <c r="J705" s="85">
        <f t="shared" si="270"/>
        <v>0</v>
      </c>
      <c r="K705" s="148">
        <v>0</v>
      </c>
      <c r="L705" s="497"/>
      <c r="M705" s="99"/>
      <c r="N705" s="88"/>
      <c r="O705" s="89"/>
      <c r="P705" s="1225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  <c r="AF705" s="91"/>
      <c r="AG705" s="91"/>
      <c r="AH705" s="91"/>
      <c r="AI705" s="91"/>
      <c r="AJ705" s="91"/>
      <c r="AK705" s="91"/>
      <c r="AL705" s="91"/>
      <c r="AM705" s="91"/>
      <c r="AN705" s="91"/>
      <c r="AO705" s="91"/>
      <c r="AP705" s="9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91"/>
      <c r="BE705" s="91"/>
      <c r="BF705" s="92"/>
    </row>
    <row r="706" spans="1:138" s="82" customFormat="1" ht="69.75" customHeight="1">
      <c r="A706" s="1280"/>
      <c r="B706" s="621"/>
      <c r="C706" s="1225"/>
      <c r="D706" s="114">
        <v>2022</v>
      </c>
      <c r="E706" s="85">
        <f>F706+G706+H706+I706+J706</f>
        <v>0</v>
      </c>
      <c r="F706" s="85">
        <v>0</v>
      </c>
      <c r="G706" s="85">
        <v>0</v>
      </c>
      <c r="H706" s="85">
        <v>0</v>
      </c>
      <c r="I706" s="85">
        <v>0</v>
      </c>
      <c r="J706" s="85">
        <v>0</v>
      </c>
      <c r="K706" s="148">
        <v>0</v>
      </c>
      <c r="L706" s="497"/>
      <c r="M706" s="99"/>
      <c r="N706" s="88"/>
      <c r="O706" s="89"/>
      <c r="P706" s="1225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  <c r="AF706" s="91"/>
      <c r="AG706" s="91"/>
      <c r="AH706" s="91"/>
      <c r="AI706" s="91"/>
      <c r="AJ706" s="91"/>
      <c r="AK706" s="91"/>
      <c r="AL706" s="91"/>
      <c r="AM706" s="91"/>
      <c r="AN706" s="91"/>
      <c r="AO706" s="91"/>
      <c r="AP706" s="9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91"/>
      <c r="BE706" s="91"/>
      <c r="BF706" s="92"/>
    </row>
    <row r="707" spans="1:138" s="82" customFormat="1" ht="12.75" customHeight="1">
      <c r="A707" s="1210" t="s">
        <v>1249</v>
      </c>
      <c r="B707" s="1223" t="s">
        <v>839</v>
      </c>
      <c r="C707" s="1245" t="s">
        <v>1419</v>
      </c>
      <c r="D707" s="114" t="s">
        <v>16</v>
      </c>
      <c r="E707" s="85">
        <f t="shared" ref="E707:J707" si="271">E708</f>
        <v>0.5</v>
      </c>
      <c r="F707" s="85">
        <f t="shared" si="271"/>
        <v>0</v>
      </c>
      <c r="G707" s="85">
        <f t="shared" si="271"/>
        <v>0</v>
      </c>
      <c r="H707" s="85">
        <f t="shared" si="271"/>
        <v>0</v>
      </c>
      <c r="I707" s="85">
        <f t="shared" si="271"/>
        <v>0</v>
      </c>
      <c r="J707" s="85">
        <f t="shared" si="271"/>
        <v>0.5</v>
      </c>
      <c r="K707" s="148">
        <v>0</v>
      </c>
      <c r="L707" s="473">
        <f>L708</f>
        <v>0.5</v>
      </c>
      <c r="M707" s="99"/>
      <c r="N707" s="88"/>
      <c r="O707" s="89"/>
      <c r="P707" s="1225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  <c r="AF707" s="91"/>
      <c r="AG707" s="91"/>
      <c r="AH707" s="91"/>
      <c r="AI707" s="91"/>
      <c r="AJ707" s="91"/>
      <c r="AK707" s="91"/>
      <c r="AL707" s="91"/>
      <c r="AM707" s="91"/>
      <c r="AN707" s="91"/>
      <c r="AO707" s="91"/>
      <c r="AP707" s="9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91"/>
      <c r="BE707" s="91"/>
      <c r="BF707" s="92"/>
      <c r="EH707" s="82" t="s">
        <v>841</v>
      </c>
    </row>
    <row r="708" spans="1:138" s="82" customFormat="1" ht="51" customHeight="1">
      <c r="A708" s="1210"/>
      <c r="B708" s="1223"/>
      <c r="C708" s="1245"/>
      <c r="D708" s="114">
        <v>2020</v>
      </c>
      <c r="E708" s="85">
        <f>F708+G708+H708+I708+J708</f>
        <v>0.5</v>
      </c>
      <c r="F708" s="85">
        <v>0</v>
      </c>
      <c r="G708" s="85">
        <v>0</v>
      </c>
      <c r="H708" s="85">
        <v>0</v>
      </c>
      <c r="I708" s="85">
        <v>0</v>
      </c>
      <c r="J708" s="85">
        <v>0.5</v>
      </c>
      <c r="K708" s="148">
        <v>0</v>
      </c>
      <c r="L708" s="497">
        <f>F708+G708+H708+I708+J708</f>
        <v>0.5</v>
      </c>
      <c r="M708" s="99"/>
      <c r="N708" s="88"/>
      <c r="O708" s="89"/>
      <c r="P708" s="1225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  <c r="AF708" s="91"/>
      <c r="AG708" s="91"/>
      <c r="AH708" s="91"/>
      <c r="AI708" s="91"/>
      <c r="AJ708" s="91"/>
      <c r="AK708" s="91"/>
      <c r="AL708" s="91"/>
      <c r="AM708" s="91"/>
      <c r="AN708" s="91"/>
      <c r="AO708" s="91"/>
      <c r="AP708" s="9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91"/>
      <c r="BE708" s="91"/>
      <c r="BF708" s="92"/>
    </row>
    <row r="709" spans="1:138" s="82" customFormat="1" ht="31.5" customHeight="1">
      <c r="A709" s="1128" t="s">
        <v>1420</v>
      </c>
      <c r="B709" s="1224" t="s">
        <v>1248</v>
      </c>
      <c r="C709" s="1245" t="s">
        <v>1419</v>
      </c>
      <c r="D709" s="114" t="s">
        <v>16</v>
      </c>
      <c r="E709" s="85">
        <f>E710</f>
        <v>7.3876999999999997</v>
      </c>
      <c r="F709" s="85">
        <v>0</v>
      </c>
      <c r="G709" s="85">
        <v>0</v>
      </c>
      <c r="H709" s="85">
        <f>H710</f>
        <v>7.2427999999999999</v>
      </c>
      <c r="I709" s="85">
        <v>0</v>
      </c>
      <c r="J709" s="85">
        <v>0</v>
      </c>
      <c r="K709" s="148">
        <v>0</v>
      </c>
      <c r="L709" s="497"/>
      <c r="M709" s="99"/>
      <c r="N709" s="88"/>
      <c r="O709" s="89"/>
      <c r="P709" s="1225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9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  <c r="BF709" s="92"/>
    </row>
    <row r="710" spans="1:138" s="82" customFormat="1" ht="34.5" customHeight="1">
      <c r="A710" s="1184"/>
      <c r="B710" s="1226"/>
      <c r="C710" s="1245"/>
      <c r="D710" s="84">
        <v>2021</v>
      </c>
      <c r="E710" s="85">
        <f>F710+G710+H710+I710+J710</f>
        <v>7.3876999999999997</v>
      </c>
      <c r="F710" s="85">
        <v>0</v>
      </c>
      <c r="G710" s="85">
        <v>0</v>
      </c>
      <c r="H710" s="85">
        <v>7.2427999999999999</v>
      </c>
      <c r="I710" s="85">
        <v>0</v>
      </c>
      <c r="J710" s="85">
        <v>0.1449</v>
      </c>
      <c r="K710" s="148">
        <v>0</v>
      </c>
      <c r="L710" s="497"/>
      <c r="M710" s="99"/>
      <c r="N710" s="88"/>
      <c r="O710" s="89"/>
      <c r="P710" s="1225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  <c r="AF710" s="91"/>
      <c r="AG710" s="91"/>
      <c r="AH710" s="91"/>
      <c r="AI710" s="91"/>
      <c r="AJ710" s="91"/>
      <c r="AK710" s="91"/>
      <c r="AL710" s="91"/>
      <c r="AM710" s="91"/>
      <c r="AN710" s="91"/>
      <c r="AO710" s="91"/>
      <c r="AP710" s="9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91"/>
      <c r="BE710" s="91"/>
      <c r="BF710" s="92"/>
    </row>
    <row r="711" spans="1:138">
      <c r="A711" s="1128" t="s">
        <v>1421</v>
      </c>
      <c r="B711" s="1080" t="s">
        <v>1250</v>
      </c>
      <c r="C711" s="1224" t="s">
        <v>1419</v>
      </c>
      <c r="D711" s="114" t="s">
        <v>16</v>
      </c>
      <c r="E711" s="85">
        <f t="shared" ref="E711:J711" si="272">E712+E713+E714+E715</f>
        <v>6.1147</v>
      </c>
      <c r="F711" s="85">
        <f t="shared" si="272"/>
        <v>0</v>
      </c>
      <c r="G711" s="85">
        <f t="shared" si="272"/>
        <v>0</v>
      </c>
      <c r="H711" s="85">
        <f t="shared" si="272"/>
        <v>5.3292000000000002</v>
      </c>
      <c r="I711" s="85">
        <f t="shared" si="272"/>
        <v>0</v>
      </c>
      <c r="J711" s="85">
        <f t="shared" si="272"/>
        <v>0.78550000000000009</v>
      </c>
      <c r="K711" s="148">
        <v>0</v>
      </c>
      <c r="L711" s="497">
        <f t="shared" ref="L711:L729" si="273">F711+G711+H711+I711+J711</f>
        <v>6.1147</v>
      </c>
      <c r="M711" s="99"/>
      <c r="N711" s="88"/>
      <c r="O711" s="89"/>
      <c r="P711" s="1224" t="s">
        <v>574</v>
      </c>
    </row>
    <row r="712" spans="1:138">
      <c r="A712" s="1183"/>
      <c r="B712" s="1261"/>
      <c r="C712" s="1225"/>
      <c r="D712" s="114">
        <v>2019</v>
      </c>
      <c r="E712" s="85">
        <f>F712+G712+H712+I712+J712</f>
        <v>4.8000000000000001E-2</v>
      </c>
      <c r="F712" s="85">
        <v>0</v>
      </c>
      <c r="G712" s="85">
        <v>0</v>
      </c>
      <c r="H712" s="85">
        <v>0</v>
      </c>
      <c r="I712" s="85">
        <v>0</v>
      </c>
      <c r="J712" s="85">
        <v>4.8000000000000001E-2</v>
      </c>
      <c r="K712" s="148">
        <v>0</v>
      </c>
      <c r="L712" s="497">
        <f t="shared" si="273"/>
        <v>4.8000000000000001E-2</v>
      </c>
      <c r="M712" s="99"/>
      <c r="N712" s="88"/>
      <c r="O712" s="89"/>
      <c r="P712" s="1225"/>
    </row>
    <row r="713" spans="1:138">
      <c r="A713" s="1183"/>
      <c r="B713" s="1261"/>
      <c r="C713" s="1225"/>
      <c r="D713" s="114">
        <v>2020</v>
      </c>
      <c r="E713" s="85">
        <f>F713+G713+H713+I713+J713</f>
        <v>0.45200000000000001</v>
      </c>
      <c r="F713" s="85">
        <v>0</v>
      </c>
      <c r="G713" s="85">
        <v>0</v>
      </c>
      <c r="H713" s="85">
        <v>0</v>
      </c>
      <c r="I713" s="85">
        <v>0</v>
      </c>
      <c r="J713" s="85">
        <v>0.45200000000000001</v>
      </c>
      <c r="K713" s="148">
        <v>0</v>
      </c>
      <c r="L713" s="497">
        <f t="shared" si="273"/>
        <v>0.45200000000000001</v>
      </c>
      <c r="M713" s="99"/>
      <c r="N713" s="88"/>
      <c r="O713" s="89"/>
      <c r="P713" s="1225"/>
    </row>
    <row r="714" spans="1:138">
      <c r="A714" s="1183"/>
      <c r="B714" s="1261"/>
      <c r="C714" s="1225"/>
      <c r="D714" s="114">
        <v>2021</v>
      </c>
      <c r="E714" s="85">
        <f>F714+G714+H714+I714+J714</f>
        <v>5.0000000000000001E-3</v>
      </c>
      <c r="F714" s="85">
        <v>0</v>
      </c>
      <c r="G714" s="85">
        <v>0</v>
      </c>
      <c r="H714" s="85">
        <v>0</v>
      </c>
      <c r="I714" s="85">
        <v>0</v>
      </c>
      <c r="J714" s="85">
        <v>5.0000000000000001E-3</v>
      </c>
      <c r="K714" s="148">
        <v>0</v>
      </c>
      <c r="L714" s="497">
        <f t="shared" si="273"/>
        <v>5.0000000000000001E-3</v>
      </c>
      <c r="M714" s="99"/>
      <c r="N714" s="88"/>
      <c r="O714" s="89"/>
      <c r="P714" s="1225"/>
    </row>
    <row r="715" spans="1:138">
      <c r="A715" s="1184"/>
      <c r="B715" s="1288"/>
      <c r="C715" s="1226"/>
      <c r="D715" s="114">
        <v>2022</v>
      </c>
      <c r="E715" s="85">
        <f>F715+G715+H715+I715+J715</f>
        <v>5.6097000000000001</v>
      </c>
      <c r="F715" s="85">
        <v>0</v>
      </c>
      <c r="G715" s="85">
        <v>0</v>
      </c>
      <c r="H715" s="85">
        <v>5.3292000000000002</v>
      </c>
      <c r="I715" s="85">
        <v>0</v>
      </c>
      <c r="J715" s="85">
        <v>0.28050000000000003</v>
      </c>
      <c r="K715" s="148">
        <v>0</v>
      </c>
      <c r="L715" s="497">
        <f t="shared" si="273"/>
        <v>5.6097000000000001</v>
      </c>
      <c r="M715" s="99"/>
      <c r="N715" s="88"/>
      <c r="O715" s="89"/>
      <c r="P715" s="1226"/>
    </row>
    <row r="716" spans="1:138">
      <c r="A716" s="1316" t="s">
        <v>844</v>
      </c>
      <c r="B716" s="929" t="s">
        <v>1251</v>
      </c>
      <c r="D716" s="84" t="s">
        <v>16</v>
      </c>
      <c r="E716" s="85">
        <f t="shared" ref="E716:J716" si="274">E717+E718+E719</f>
        <v>34.537700000000001</v>
      </c>
      <c r="F716" s="85">
        <f t="shared" si="274"/>
        <v>0</v>
      </c>
      <c r="G716" s="85">
        <f t="shared" si="274"/>
        <v>25.077800000000003</v>
      </c>
      <c r="H716" s="85">
        <f t="shared" si="274"/>
        <v>6.9562000000000008</v>
      </c>
      <c r="I716" s="85">
        <f t="shared" si="274"/>
        <v>0</v>
      </c>
      <c r="J716" s="85">
        <f t="shared" si="274"/>
        <v>2.5036999999999998</v>
      </c>
      <c r="K716" s="148">
        <v>0</v>
      </c>
      <c r="L716" s="497">
        <f t="shared" si="273"/>
        <v>34.537700000000008</v>
      </c>
      <c r="M716" s="533"/>
      <c r="N716" s="82"/>
      <c r="O716" s="137"/>
    </row>
    <row r="717" spans="1:138" ht="12.75" customHeight="1">
      <c r="A717" s="1317"/>
      <c r="B717" s="953"/>
      <c r="D717" s="84">
        <v>2021</v>
      </c>
      <c r="E717" s="85">
        <f t="shared" ref="E717:J717" si="275">E721+E723+E727+E729+E731+E733+E735</f>
        <v>29.191700000000001</v>
      </c>
      <c r="F717" s="85">
        <f t="shared" si="275"/>
        <v>0</v>
      </c>
      <c r="G717" s="85">
        <f t="shared" si="275"/>
        <v>21.169800000000002</v>
      </c>
      <c r="H717" s="85">
        <f t="shared" si="275"/>
        <v>5.7842000000000002</v>
      </c>
      <c r="I717" s="85">
        <f t="shared" si="275"/>
        <v>0</v>
      </c>
      <c r="J717" s="85">
        <f t="shared" si="275"/>
        <v>2.2376999999999998</v>
      </c>
      <c r="K717" s="148">
        <v>0</v>
      </c>
      <c r="L717" s="497">
        <f t="shared" si="273"/>
        <v>29.191700000000001</v>
      </c>
      <c r="M717" s="533"/>
      <c r="N717" s="82"/>
      <c r="O717" s="137"/>
    </row>
    <row r="718" spans="1:138" ht="12.75" customHeight="1">
      <c r="A718" s="1317"/>
      <c r="B718" s="953"/>
      <c r="D718" s="84">
        <v>2022</v>
      </c>
      <c r="E718" s="85">
        <f t="shared" ref="E718:J719" si="276">E724</f>
        <v>2.673</v>
      </c>
      <c r="F718" s="85">
        <f t="shared" si="276"/>
        <v>0</v>
      </c>
      <c r="G718" s="85">
        <f t="shared" si="276"/>
        <v>1.954</v>
      </c>
      <c r="H718" s="85">
        <f t="shared" si="276"/>
        <v>0.58599999999999997</v>
      </c>
      <c r="I718" s="85">
        <f t="shared" si="276"/>
        <v>0</v>
      </c>
      <c r="J718" s="85">
        <f t="shared" si="276"/>
        <v>0.13300000000000001</v>
      </c>
      <c r="K718" s="148">
        <v>0</v>
      </c>
      <c r="L718" s="497">
        <f t="shared" si="273"/>
        <v>2.673</v>
      </c>
      <c r="M718" s="533"/>
      <c r="N718" s="533"/>
      <c r="O718" s="137"/>
    </row>
    <row r="719" spans="1:138" ht="12.75" customHeight="1">
      <c r="A719" s="1317"/>
      <c r="B719" s="954"/>
      <c r="D719" s="84">
        <v>2023</v>
      </c>
      <c r="E719" s="85">
        <f t="shared" si="276"/>
        <v>2.673</v>
      </c>
      <c r="F719" s="85">
        <f t="shared" si="276"/>
        <v>0</v>
      </c>
      <c r="G719" s="85">
        <f t="shared" si="276"/>
        <v>1.954</v>
      </c>
      <c r="H719" s="85">
        <f t="shared" si="276"/>
        <v>0.58599999999999997</v>
      </c>
      <c r="I719" s="85">
        <f t="shared" si="276"/>
        <v>0</v>
      </c>
      <c r="J719" s="85">
        <f t="shared" si="276"/>
        <v>0.13300000000000001</v>
      </c>
      <c r="K719" s="148">
        <v>0</v>
      </c>
      <c r="L719" s="497">
        <f t="shared" si="273"/>
        <v>2.673</v>
      </c>
      <c r="M719" s="533"/>
      <c r="N719" s="82"/>
      <c r="O719" s="137"/>
    </row>
    <row r="720" spans="1:138" s="138" customFormat="1" ht="19.5" customHeight="1">
      <c r="A720" s="1210" t="s">
        <v>287</v>
      </c>
      <c r="B720" s="1256" t="s">
        <v>1252</v>
      </c>
      <c r="C720" s="1262" t="s">
        <v>1422</v>
      </c>
      <c r="D720" s="140" t="s">
        <v>16</v>
      </c>
      <c r="E720" s="141">
        <f>F720+G720+H720+I720+J720</f>
        <v>0.28060000000000007</v>
      </c>
      <c r="F720" s="141">
        <f>J721</f>
        <v>1.34E-2</v>
      </c>
      <c r="G720" s="141">
        <f>G721</f>
        <v>0</v>
      </c>
      <c r="H720" s="141">
        <f>H721</f>
        <v>0.25380000000000003</v>
      </c>
      <c r="I720" s="141">
        <f>I721</f>
        <v>0</v>
      </c>
      <c r="J720" s="141">
        <f>J721</f>
        <v>1.34E-2</v>
      </c>
      <c r="K720" s="148">
        <v>0</v>
      </c>
      <c r="L720" s="497">
        <f t="shared" si="273"/>
        <v>0.28060000000000007</v>
      </c>
      <c r="M720" s="337"/>
      <c r="N720" s="143"/>
      <c r="O720" s="144"/>
      <c r="P720" s="1166" t="s">
        <v>645</v>
      </c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  <c r="AF720" s="91"/>
      <c r="AG720" s="91"/>
      <c r="AH720" s="91"/>
      <c r="AI720" s="91"/>
      <c r="AJ720" s="91"/>
      <c r="AK720" s="91"/>
      <c r="AL720" s="91"/>
      <c r="AM720" s="91"/>
      <c r="AN720" s="91"/>
      <c r="AO720" s="91"/>
      <c r="AP720" s="9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91"/>
      <c r="BE720" s="91"/>
      <c r="BF720" s="146"/>
    </row>
    <row r="721" spans="1:58" s="138" customFormat="1" ht="28.5" customHeight="1">
      <c r="A721" s="1210"/>
      <c r="B721" s="1260"/>
      <c r="C721" s="1274"/>
      <c r="D721" s="227">
        <v>2021</v>
      </c>
      <c r="E721" s="141">
        <f>F721+G721+H721+I721+J721</f>
        <v>0.26720000000000005</v>
      </c>
      <c r="F721" s="141">
        <v>0</v>
      </c>
      <c r="G721" s="141">
        <v>0</v>
      </c>
      <c r="H721" s="684">
        <v>0.25380000000000003</v>
      </c>
      <c r="I721" s="141">
        <v>0</v>
      </c>
      <c r="J721" s="141">
        <v>1.34E-2</v>
      </c>
      <c r="K721" s="148">
        <v>0</v>
      </c>
      <c r="L721" s="497">
        <f t="shared" si="273"/>
        <v>0.26720000000000005</v>
      </c>
      <c r="M721" s="337"/>
      <c r="N721" s="143"/>
      <c r="O721" s="144"/>
      <c r="P721" s="1302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  <c r="AF721" s="91"/>
      <c r="AG721" s="91"/>
      <c r="AH721" s="91"/>
      <c r="AI721" s="91"/>
      <c r="AJ721" s="91"/>
      <c r="AK721" s="91"/>
      <c r="AL721" s="91"/>
      <c r="AM721" s="91"/>
      <c r="AN721" s="91"/>
      <c r="AO721" s="91"/>
      <c r="AP721" s="9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91"/>
      <c r="BE721" s="91"/>
      <c r="BF721" s="146"/>
    </row>
    <row r="722" spans="1:58" s="82" customFormat="1" ht="25.5" customHeight="1">
      <c r="A722" s="1210" t="s">
        <v>1254</v>
      </c>
      <c r="B722" s="1321" t="s">
        <v>1255</v>
      </c>
      <c r="C722" s="1321" t="s">
        <v>1423</v>
      </c>
      <c r="D722" s="84" t="s">
        <v>16</v>
      </c>
      <c r="E722" s="85">
        <f>E723+E724+E725</f>
        <v>7.5217999999999998</v>
      </c>
      <c r="F722" s="85">
        <f>F723+F724</f>
        <v>0</v>
      </c>
      <c r="G722" s="85">
        <f>G723+G724+G725</f>
        <v>5.4994999999999994</v>
      </c>
      <c r="H722" s="85">
        <f>H723+H724+H725</f>
        <v>1.649</v>
      </c>
      <c r="I722" s="85">
        <f>I723+I724+I725</f>
        <v>0</v>
      </c>
      <c r="J722" s="85">
        <f>J723+J724+J725</f>
        <v>0.37330000000000002</v>
      </c>
      <c r="K722" s="148">
        <v>0</v>
      </c>
      <c r="L722" s="497">
        <f t="shared" si="273"/>
        <v>7.5217999999999998</v>
      </c>
      <c r="M722" s="223"/>
      <c r="N722" s="88"/>
      <c r="O722" s="89"/>
      <c r="P722" s="1224" t="s">
        <v>611</v>
      </c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  <c r="AF722" s="91"/>
      <c r="AG722" s="91"/>
      <c r="AH722" s="91"/>
      <c r="AI722" s="91"/>
      <c r="AJ722" s="91"/>
      <c r="AK722" s="91"/>
      <c r="AL722" s="91"/>
      <c r="AM722" s="91"/>
      <c r="AN722" s="91"/>
      <c r="AO722" s="91"/>
      <c r="AP722" s="9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91"/>
      <c r="BE722" s="91"/>
      <c r="BF722" s="92"/>
    </row>
    <row r="723" spans="1:58" s="82" customFormat="1">
      <c r="A723" s="1210"/>
      <c r="B723" s="1322"/>
      <c r="C723" s="1322"/>
      <c r="D723" s="84">
        <v>2021</v>
      </c>
      <c r="E723" s="85">
        <f>F723+G723+H723+I723+J723</f>
        <v>2.1757999999999997</v>
      </c>
      <c r="F723" s="85">
        <v>0</v>
      </c>
      <c r="G723" s="85">
        <v>1.5914999999999999</v>
      </c>
      <c r="H723" s="85">
        <v>0.47699999999999998</v>
      </c>
      <c r="I723" s="85">
        <v>0</v>
      </c>
      <c r="J723" s="85">
        <v>0.10730000000000001</v>
      </c>
      <c r="K723" s="148">
        <v>0</v>
      </c>
      <c r="L723" s="497">
        <f t="shared" si="273"/>
        <v>2.1757999999999997</v>
      </c>
      <c r="M723" s="223"/>
      <c r="N723" s="88"/>
      <c r="O723" s="89"/>
      <c r="P723" s="1225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  <c r="AF723" s="91"/>
      <c r="AG723" s="91"/>
      <c r="AH723" s="91"/>
      <c r="AI723" s="91"/>
      <c r="AJ723" s="91"/>
      <c r="AK723" s="91"/>
      <c r="AL723" s="91"/>
      <c r="AM723" s="91"/>
      <c r="AN723" s="91"/>
      <c r="AO723" s="91"/>
      <c r="AP723" s="9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91"/>
      <c r="BE723" s="91"/>
      <c r="BF723" s="92"/>
    </row>
    <row r="724" spans="1:58" s="82" customFormat="1" ht="12.75" customHeight="1">
      <c r="A724" s="1210"/>
      <c r="B724" s="1322"/>
      <c r="C724" s="1322"/>
      <c r="D724" s="84">
        <v>2022</v>
      </c>
      <c r="E724" s="85">
        <f>F724+G724+H724+I724+J724</f>
        <v>2.673</v>
      </c>
      <c r="F724" s="85">
        <v>0</v>
      </c>
      <c r="G724" s="85">
        <v>1.954</v>
      </c>
      <c r="H724" s="85">
        <v>0.58599999999999997</v>
      </c>
      <c r="I724" s="85">
        <v>0</v>
      </c>
      <c r="J724" s="85">
        <v>0.13300000000000001</v>
      </c>
      <c r="K724" s="148">
        <v>0</v>
      </c>
      <c r="L724" s="497">
        <f t="shared" si="273"/>
        <v>2.673</v>
      </c>
      <c r="M724" s="223"/>
      <c r="N724" s="88"/>
      <c r="O724" s="89"/>
      <c r="P724" s="1225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  <c r="AF724" s="91"/>
      <c r="AG724" s="91"/>
      <c r="AH724" s="91"/>
      <c r="AI724" s="91"/>
      <c r="AJ724" s="91"/>
      <c r="AK724" s="91"/>
      <c r="AL724" s="91"/>
      <c r="AM724" s="91"/>
      <c r="AN724" s="91"/>
      <c r="AO724" s="91"/>
      <c r="AP724" s="9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91"/>
      <c r="BE724" s="91"/>
      <c r="BF724" s="92"/>
    </row>
    <row r="725" spans="1:58" s="82" customFormat="1" ht="30" customHeight="1">
      <c r="A725" s="1210"/>
      <c r="B725" s="1323"/>
      <c r="C725" s="1323"/>
      <c r="D725" s="84">
        <v>2023</v>
      </c>
      <c r="E725" s="85">
        <f>F725+G725+H725+I725+J725</f>
        <v>2.673</v>
      </c>
      <c r="F725" s="85">
        <v>0</v>
      </c>
      <c r="G725" s="85">
        <v>1.954</v>
      </c>
      <c r="H725" s="85">
        <v>0.58599999999999997</v>
      </c>
      <c r="I725" s="85">
        <v>0</v>
      </c>
      <c r="J725" s="85">
        <v>0.13300000000000001</v>
      </c>
      <c r="K725" s="148">
        <v>0</v>
      </c>
      <c r="L725" s="497">
        <f t="shared" si="273"/>
        <v>2.673</v>
      </c>
      <c r="M725" s="223"/>
      <c r="N725" s="88"/>
      <c r="O725" s="89"/>
      <c r="P725" s="1226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  <c r="AF725" s="91"/>
      <c r="AG725" s="91"/>
      <c r="AH725" s="91"/>
      <c r="AI725" s="91"/>
      <c r="AJ725" s="91"/>
      <c r="AK725" s="91"/>
      <c r="AL725" s="91"/>
      <c r="AM725" s="91"/>
      <c r="AN725" s="91"/>
      <c r="AO725" s="91"/>
      <c r="AP725" s="9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91"/>
      <c r="BE725" s="91"/>
      <c r="BF725" s="92"/>
    </row>
    <row r="726" spans="1:58" s="82" customFormat="1" ht="17.25" customHeight="1">
      <c r="A726" s="1210" t="s">
        <v>855</v>
      </c>
      <c r="B726" s="1318" t="s">
        <v>1257</v>
      </c>
      <c r="C726" s="1318" t="s">
        <v>1424</v>
      </c>
      <c r="D726" s="84" t="s">
        <v>16</v>
      </c>
      <c r="E726" s="85">
        <f t="shared" ref="E726:J726" si="277">E727</f>
        <v>5.5150999999999994</v>
      </c>
      <c r="F726" s="85">
        <f t="shared" si="277"/>
        <v>0</v>
      </c>
      <c r="G726" s="85">
        <f t="shared" si="277"/>
        <v>3.7277</v>
      </c>
      <c r="H726" s="85">
        <f t="shared" si="277"/>
        <v>1.1173</v>
      </c>
      <c r="I726" s="85">
        <f t="shared" si="277"/>
        <v>0</v>
      </c>
      <c r="J726" s="85">
        <f t="shared" si="277"/>
        <v>0.67010000000000003</v>
      </c>
      <c r="K726" s="148">
        <v>0</v>
      </c>
      <c r="L726" s="497">
        <f t="shared" si="273"/>
        <v>5.5150999999999994</v>
      </c>
      <c r="P726" s="1224" t="s">
        <v>1259</v>
      </c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  <c r="AF726" s="91"/>
      <c r="AG726" s="91"/>
      <c r="AH726" s="91"/>
      <c r="AI726" s="91"/>
      <c r="AJ726" s="91"/>
      <c r="AK726" s="91"/>
      <c r="AL726" s="91"/>
      <c r="AM726" s="91"/>
      <c r="AN726" s="91"/>
      <c r="AO726" s="91"/>
      <c r="AP726" s="9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91"/>
      <c r="BE726" s="91"/>
      <c r="BF726" s="92"/>
    </row>
    <row r="727" spans="1:58" s="82" customFormat="1" ht="92.25" customHeight="1">
      <c r="A727" s="1210"/>
      <c r="B727" s="1318"/>
      <c r="C727" s="1318"/>
      <c r="D727" s="84">
        <v>2021</v>
      </c>
      <c r="E727" s="85">
        <f>F727+G727+H727+I727+J727</f>
        <v>5.5150999999999994</v>
      </c>
      <c r="F727" s="85">
        <v>0</v>
      </c>
      <c r="G727" s="85">
        <v>3.7277</v>
      </c>
      <c r="H727" s="85">
        <v>1.1173</v>
      </c>
      <c r="I727" s="85">
        <v>0</v>
      </c>
      <c r="J727" s="85">
        <v>0.67010000000000003</v>
      </c>
      <c r="K727" s="148">
        <v>0</v>
      </c>
      <c r="L727" s="497">
        <f t="shared" si="273"/>
        <v>5.5150999999999994</v>
      </c>
      <c r="P727" s="1226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  <c r="AF727" s="91"/>
      <c r="AG727" s="91"/>
      <c r="AH727" s="91"/>
      <c r="AI727" s="91"/>
      <c r="AJ727" s="91"/>
      <c r="AK727" s="91"/>
      <c r="AL727" s="91"/>
      <c r="AM727" s="91"/>
      <c r="AN727" s="91"/>
      <c r="AO727" s="91"/>
      <c r="AP727" s="9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91"/>
      <c r="BE727" s="91"/>
      <c r="BF727" s="92"/>
    </row>
    <row r="728" spans="1:58" s="82" customFormat="1">
      <c r="A728" s="1210" t="s">
        <v>858</v>
      </c>
      <c r="B728" s="1223" t="s">
        <v>591</v>
      </c>
      <c r="C728" s="1245" t="s">
        <v>1425</v>
      </c>
      <c r="D728" s="84" t="s">
        <v>16</v>
      </c>
      <c r="E728" s="85">
        <f t="shared" ref="E728:J728" si="278">E729</f>
        <v>2.7131000000000003</v>
      </c>
      <c r="F728" s="85">
        <f t="shared" si="278"/>
        <v>0</v>
      </c>
      <c r="G728" s="85">
        <f t="shared" si="278"/>
        <v>1.6689000000000001</v>
      </c>
      <c r="H728" s="85">
        <f t="shared" si="278"/>
        <v>0.50019999999999998</v>
      </c>
      <c r="I728" s="85">
        <f t="shared" si="278"/>
        <v>0</v>
      </c>
      <c r="J728" s="85">
        <f t="shared" si="278"/>
        <v>0.54400000000000004</v>
      </c>
      <c r="K728" s="148">
        <v>0</v>
      </c>
      <c r="L728" s="497">
        <f t="shared" si="273"/>
        <v>2.7131000000000003</v>
      </c>
      <c r="M728" s="217"/>
      <c r="N728" s="88"/>
      <c r="O728" s="89"/>
      <c r="P728" s="62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  <c r="AF728" s="91"/>
      <c r="AG728" s="91"/>
      <c r="AH728" s="91"/>
      <c r="AI728" s="91"/>
      <c r="AJ728" s="91"/>
      <c r="AK728" s="91"/>
      <c r="AL728" s="91"/>
      <c r="AM728" s="91"/>
      <c r="AN728" s="91"/>
      <c r="AO728" s="91"/>
      <c r="AP728" s="9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91"/>
      <c r="BE728" s="91"/>
      <c r="BF728" s="92"/>
    </row>
    <row r="729" spans="1:58" s="82" customFormat="1" ht="63" customHeight="1">
      <c r="A729" s="1210"/>
      <c r="B729" s="1223"/>
      <c r="C729" s="1245"/>
      <c r="D729" s="84">
        <v>2021</v>
      </c>
      <c r="E729" s="85">
        <f>F729+G729+H729+I729+J729</f>
        <v>2.7131000000000003</v>
      </c>
      <c r="F729" s="85">
        <v>0</v>
      </c>
      <c r="G729" s="85">
        <v>1.6689000000000001</v>
      </c>
      <c r="H729" s="85">
        <v>0.50019999999999998</v>
      </c>
      <c r="I729" s="85">
        <v>0</v>
      </c>
      <c r="J729" s="85">
        <v>0.54400000000000004</v>
      </c>
      <c r="K729" s="148">
        <v>0</v>
      </c>
      <c r="L729" s="497">
        <f t="shared" si="273"/>
        <v>2.7131000000000003</v>
      </c>
      <c r="M729" s="136"/>
      <c r="N729" s="88"/>
      <c r="O729" s="89"/>
      <c r="P729" s="634" t="s">
        <v>1261</v>
      </c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  <c r="AN729" s="91"/>
      <c r="AO729" s="91"/>
      <c r="AP729" s="9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91"/>
      <c r="BE729" s="91"/>
      <c r="BF729" s="92"/>
    </row>
    <row r="730" spans="1:58" s="82" customFormat="1">
      <c r="A730" s="1319" t="s">
        <v>860</v>
      </c>
      <c r="B730" s="1321" t="s">
        <v>1262</v>
      </c>
      <c r="C730" s="1245" t="s">
        <v>1426</v>
      </c>
      <c r="D730" s="84" t="s">
        <v>16</v>
      </c>
      <c r="E730" s="85">
        <f t="shared" ref="E730:J730" si="279">E731</f>
        <v>7.0885999999999996</v>
      </c>
      <c r="F730" s="85">
        <f t="shared" si="279"/>
        <v>0</v>
      </c>
      <c r="G730" s="85">
        <f t="shared" si="279"/>
        <v>5.1531000000000002</v>
      </c>
      <c r="H730" s="85">
        <f t="shared" si="279"/>
        <v>1.2215</v>
      </c>
      <c r="I730" s="85">
        <f t="shared" si="279"/>
        <v>0</v>
      </c>
      <c r="J730" s="85">
        <f t="shared" si="279"/>
        <v>0.71399999999999997</v>
      </c>
      <c r="K730" s="148">
        <v>0</v>
      </c>
      <c r="L730" s="696"/>
      <c r="M730" s="697"/>
      <c r="N730" s="697"/>
      <c r="O730" s="697"/>
      <c r="P730" s="1239" t="s">
        <v>1264</v>
      </c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  <c r="AF730" s="91"/>
      <c r="AG730" s="91"/>
      <c r="AH730" s="91"/>
      <c r="AI730" s="91"/>
      <c r="AJ730" s="91"/>
      <c r="AK730" s="91"/>
      <c r="AL730" s="91"/>
      <c r="AM730" s="91"/>
      <c r="AN730" s="91"/>
      <c r="AO730" s="91"/>
      <c r="AP730" s="9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91"/>
      <c r="BE730" s="91"/>
      <c r="BF730" s="92"/>
    </row>
    <row r="731" spans="1:58" s="82" customFormat="1">
      <c r="A731" s="1320"/>
      <c r="B731" s="1322"/>
      <c r="C731" s="1245"/>
      <c r="D731" s="84">
        <v>2021</v>
      </c>
      <c r="E731" s="85">
        <f>F731+G731+H731+I731+J731</f>
        <v>7.0885999999999996</v>
      </c>
      <c r="F731" s="85">
        <v>0</v>
      </c>
      <c r="G731" s="85">
        <v>5.1531000000000002</v>
      </c>
      <c r="H731" s="85">
        <v>1.2215</v>
      </c>
      <c r="I731" s="85">
        <v>0</v>
      </c>
      <c r="J731" s="85">
        <v>0.71399999999999997</v>
      </c>
      <c r="K731" s="148">
        <v>0</v>
      </c>
      <c r="L731" s="696"/>
      <c r="M731" s="697"/>
      <c r="N731" s="697"/>
      <c r="O731" s="697"/>
      <c r="P731" s="1240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  <c r="AN731" s="91"/>
      <c r="AO731" s="91"/>
      <c r="AP731" s="9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91"/>
      <c r="BE731" s="91"/>
      <c r="BF731" s="92"/>
    </row>
    <row r="732" spans="1:58" s="82" customFormat="1" ht="12.75" customHeight="1">
      <c r="A732" s="840" t="s">
        <v>1265</v>
      </c>
      <c r="B732" s="1321" t="s">
        <v>1266</v>
      </c>
      <c r="C732" s="1245"/>
      <c r="D732" s="84" t="s">
        <v>16</v>
      </c>
      <c r="E732" s="85">
        <f t="shared" ref="E732:J732" si="280">E733</f>
        <v>9.8864000000000001</v>
      </c>
      <c r="F732" s="85">
        <f t="shared" si="280"/>
        <v>0</v>
      </c>
      <c r="G732" s="85">
        <f t="shared" si="280"/>
        <v>7.8441000000000001</v>
      </c>
      <c r="H732" s="85">
        <f t="shared" si="280"/>
        <v>1.8593999999999999</v>
      </c>
      <c r="I732" s="85">
        <f t="shared" si="280"/>
        <v>0</v>
      </c>
      <c r="J732" s="85">
        <f t="shared" si="280"/>
        <v>0.18290000000000001</v>
      </c>
      <c r="K732" s="148">
        <v>0</v>
      </c>
      <c r="L732" s="696"/>
      <c r="M732" s="697"/>
      <c r="N732" s="697"/>
      <c r="O732" s="697"/>
      <c r="P732" s="1240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  <c r="AF732" s="91"/>
      <c r="AG732" s="91"/>
      <c r="AH732" s="91"/>
      <c r="AI732" s="91"/>
      <c r="AJ732" s="91"/>
      <c r="AK732" s="91"/>
      <c r="AL732" s="91"/>
      <c r="AM732" s="91"/>
      <c r="AN732" s="91"/>
      <c r="AO732" s="91"/>
      <c r="AP732" s="9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91"/>
      <c r="BE732" s="91"/>
      <c r="BF732" s="92"/>
    </row>
    <row r="733" spans="1:58" s="82" customFormat="1" ht="30.75" customHeight="1">
      <c r="A733" s="841"/>
      <c r="B733" s="1322"/>
      <c r="C733" s="1245"/>
      <c r="D733" s="84">
        <v>2021</v>
      </c>
      <c r="E733" s="85">
        <f>F733+G733+H733+I733+J733</f>
        <v>9.8864000000000001</v>
      </c>
      <c r="F733" s="85">
        <v>0</v>
      </c>
      <c r="G733" s="85">
        <v>7.8441000000000001</v>
      </c>
      <c r="H733" s="85">
        <v>1.8593999999999999</v>
      </c>
      <c r="I733" s="85">
        <v>0</v>
      </c>
      <c r="J733" s="85">
        <v>0.18290000000000001</v>
      </c>
      <c r="K733" s="148">
        <v>0</v>
      </c>
      <c r="L733" s="696"/>
      <c r="M733" s="697"/>
      <c r="N733" s="697"/>
      <c r="O733" s="697"/>
      <c r="P733" s="124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  <c r="AN733" s="91"/>
      <c r="AO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  <c r="BF733" s="92"/>
    </row>
    <row r="734" spans="1:58" s="82" customFormat="1" ht="17.25" customHeight="1">
      <c r="A734" s="1027" t="s">
        <v>1267</v>
      </c>
      <c r="B734" s="1321" t="s">
        <v>1268</v>
      </c>
      <c r="C734" s="1321" t="s">
        <v>1427</v>
      </c>
      <c r="D734" s="84" t="s">
        <v>16</v>
      </c>
      <c r="E734" s="85">
        <f t="shared" ref="E734:J734" si="281">E735</f>
        <v>1.5455000000000001</v>
      </c>
      <c r="F734" s="85">
        <f t="shared" si="281"/>
        <v>0</v>
      </c>
      <c r="G734" s="85">
        <f t="shared" si="281"/>
        <v>1.1845000000000001</v>
      </c>
      <c r="H734" s="85">
        <f t="shared" si="281"/>
        <v>0.35499999999999998</v>
      </c>
      <c r="I734" s="85">
        <f t="shared" si="281"/>
        <v>0</v>
      </c>
      <c r="J734" s="85">
        <f t="shared" si="281"/>
        <v>6.0000000000000001E-3</v>
      </c>
      <c r="K734" s="148">
        <v>0</v>
      </c>
      <c r="L734" s="696"/>
      <c r="M734" s="697"/>
      <c r="N734" s="697"/>
      <c r="O734" s="697"/>
      <c r="P734" s="1239" t="s">
        <v>1270</v>
      </c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  <c r="AF734" s="91"/>
      <c r="AG734" s="91"/>
      <c r="AH734" s="91"/>
      <c r="AI734" s="91"/>
      <c r="AJ734" s="91"/>
      <c r="AK734" s="91"/>
      <c r="AL734" s="91"/>
      <c r="AM734" s="91"/>
      <c r="AN734" s="91"/>
      <c r="AO734" s="91"/>
      <c r="AP734" s="9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91"/>
      <c r="BE734" s="91"/>
      <c r="BF734" s="92"/>
    </row>
    <row r="735" spans="1:58" s="82" customFormat="1" ht="27" customHeight="1">
      <c r="A735" s="1027"/>
      <c r="B735" s="1323"/>
      <c r="C735" s="1323"/>
      <c r="D735" s="84">
        <v>2021</v>
      </c>
      <c r="E735" s="85">
        <f>F735+G735+H735+I735+J735</f>
        <v>1.5455000000000001</v>
      </c>
      <c r="F735" s="85">
        <v>0</v>
      </c>
      <c r="G735" s="85">
        <v>1.1845000000000001</v>
      </c>
      <c r="H735" s="85">
        <v>0.35499999999999998</v>
      </c>
      <c r="I735" s="85">
        <v>0</v>
      </c>
      <c r="J735" s="85">
        <v>6.0000000000000001E-3</v>
      </c>
      <c r="K735" s="148">
        <v>0</v>
      </c>
      <c r="L735" s="696"/>
      <c r="M735" s="697"/>
      <c r="N735" s="697"/>
      <c r="O735" s="697"/>
      <c r="P735" s="124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  <c r="AF735" s="91"/>
      <c r="AG735" s="91"/>
      <c r="AH735" s="91"/>
      <c r="AI735" s="91"/>
      <c r="AJ735" s="91"/>
      <c r="AK735" s="91"/>
      <c r="AL735" s="91"/>
      <c r="AM735" s="91"/>
      <c r="AN735" s="91"/>
      <c r="AO735" s="91"/>
      <c r="AP735" s="9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91"/>
      <c r="BE735" s="91"/>
      <c r="BF735" s="92"/>
    </row>
    <row r="736" spans="1:58" s="82" customFormat="1" ht="12.75" customHeight="1">
      <c r="A736" s="926" t="s">
        <v>863</v>
      </c>
      <c r="B736" s="1000" t="s">
        <v>845</v>
      </c>
      <c r="C736" s="1170"/>
      <c r="D736" s="84" t="s">
        <v>16</v>
      </c>
      <c r="E736" s="85">
        <f t="shared" ref="E736:J736" si="282">E737+E738+E740+E739</f>
        <v>113.80110000000001</v>
      </c>
      <c r="F736" s="85">
        <f t="shared" si="282"/>
        <v>2.1884000000000001</v>
      </c>
      <c r="G736" s="85">
        <f t="shared" si="282"/>
        <v>0</v>
      </c>
      <c r="H736" s="85">
        <f t="shared" si="282"/>
        <v>111.03689999999999</v>
      </c>
      <c r="I736" s="85">
        <f t="shared" si="282"/>
        <v>0</v>
      </c>
      <c r="J736" s="85">
        <f t="shared" si="282"/>
        <v>0.57579999999999998</v>
      </c>
      <c r="K736" s="148">
        <v>0</v>
      </c>
      <c r="L736" s="497">
        <f t="shared" ref="L736:L752" si="283">F736+G736+H736+I736+J736</f>
        <v>113.80109999999999</v>
      </c>
      <c r="M736" s="99"/>
      <c r="N736" s="88"/>
      <c r="O736" s="89"/>
      <c r="P736" s="477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9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91"/>
      <c r="BE736" s="91"/>
      <c r="BF736" s="92"/>
    </row>
    <row r="737" spans="1:58" s="82" customFormat="1" ht="12.75" customHeight="1">
      <c r="A737" s="1003"/>
      <c r="B737" s="1001"/>
      <c r="C737" s="1218"/>
      <c r="D737" s="84">
        <v>2019</v>
      </c>
      <c r="E737" s="85">
        <f t="shared" ref="E737:J737" si="284">E743+E751+E756</f>
        <v>6.0781999999999998</v>
      </c>
      <c r="F737" s="85">
        <f t="shared" si="284"/>
        <v>0</v>
      </c>
      <c r="G737" s="85">
        <f t="shared" si="284"/>
        <v>0</v>
      </c>
      <c r="H737" s="85">
        <f t="shared" si="284"/>
        <v>6.0495999999999999</v>
      </c>
      <c r="I737" s="85">
        <f t="shared" si="284"/>
        <v>0</v>
      </c>
      <c r="J737" s="85">
        <f t="shared" si="284"/>
        <v>2.86E-2</v>
      </c>
      <c r="K737" s="148">
        <v>0</v>
      </c>
      <c r="L737" s="497">
        <f t="shared" si="283"/>
        <v>6.0781999999999998</v>
      </c>
      <c r="M737" s="99"/>
      <c r="N737" s="88"/>
      <c r="O737" s="89"/>
      <c r="P737" s="477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  <c r="AF737" s="91"/>
      <c r="AG737" s="91"/>
      <c r="AH737" s="91"/>
      <c r="AI737" s="91"/>
      <c r="AJ737" s="91"/>
      <c r="AK737" s="91"/>
      <c r="AL737" s="91"/>
      <c r="AM737" s="91"/>
      <c r="AN737" s="91"/>
      <c r="AO737" s="91"/>
      <c r="AP737" s="9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91"/>
      <c r="BE737" s="91"/>
      <c r="BF737" s="92"/>
    </row>
    <row r="738" spans="1:58" s="82" customFormat="1" ht="12.75" customHeight="1">
      <c r="A738" s="1003"/>
      <c r="B738" s="1001"/>
      <c r="C738" s="1218"/>
      <c r="D738" s="84">
        <v>2020</v>
      </c>
      <c r="E738" s="85">
        <f t="shared" ref="E738:J738" si="285">E744+E746+E752+E762</f>
        <v>83.241600000000005</v>
      </c>
      <c r="F738" s="85">
        <f t="shared" si="285"/>
        <v>2.1884000000000001</v>
      </c>
      <c r="G738" s="85">
        <f t="shared" si="285"/>
        <v>0</v>
      </c>
      <c r="H738" s="85">
        <f t="shared" si="285"/>
        <v>80.974599999999995</v>
      </c>
      <c r="I738" s="85">
        <f t="shared" si="285"/>
        <v>0</v>
      </c>
      <c r="J738" s="85">
        <f t="shared" si="285"/>
        <v>7.8600000000000003E-2</v>
      </c>
      <c r="K738" s="148">
        <v>0</v>
      </c>
      <c r="L738" s="497">
        <f t="shared" si="283"/>
        <v>83.241599999999991</v>
      </c>
      <c r="M738" s="99"/>
      <c r="N738" s="88"/>
      <c r="O738" s="89"/>
      <c r="P738" s="477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9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91"/>
      <c r="BE738" s="91"/>
      <c r="BF738" s="92"/>
    </row>
    <row r="739" spans="1:58" s="82" customFormat="1" ht="12.75" customHeight="1">
      <c r="A739" s="1003"/>
      <c r="B739" s="1001"/>
      <c r="C739" s="1218"/>
      <c r="D739" s="84">
        <v>2021</v>
      </c>
      <c r="E739" s="85">
        <f t="shared" ref="E739:J739" si="286">E747+E763+E770+E772+E774+E776</f>
        <v>9.4652999999999992</v>
      </c>
      <c r="F739" s="85">
        <f t="shared" si="286"/>
        <v>0</v>
      </c>
      <c r="G739" s="85">
        <f t="shared" si="286"/>
        <v>0</v>
      </c>
      <c r="H739" s="85">
        <f t="shared" si="286"/>
        <v>9.0127000000000006</v>
      </c>
      <c r="I739" s="85">
        <f t="shared" si="286"/>
        <v>0</v>
      </c>
      <c r="J739" s="85">
        <f t="shared" si="286"/>
        <v>0.4526</v>
      </c>
      <c r="K739" s="148">
        <v>0</v>
      </c>
      <c r="L739" s="497">
        <f t="shared" si="283"/>
        <v>9.4653000000000009</v>
      </c>
      <c r="M739" s="99"/>
      <c r="N739" s="88"/>
      <c r="O739" s="89"/>
      <c r="P739" s="477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  <c r="AF739" s="91"/>
      <c r="AG739" s="91"/>
      <c r="AH739" s="91"/>
      <c r="AI739" s="91"/>
      <c r="AJ739" s="91"/>
      <c r="AK739" s="91"/>
      <c r="AL739" s="91"/>
      <c r="AM739" s="91"/>
      <c r="AN739" s="91"/>
      <c r="AO739" s="91"/>
      <c r="AP739" s="9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91"/>
      <c r="BE739" s="91"/>
      <c r="BF739" s="92"/>
    </row>
    <row r="740" spans="1:58" s="82" customFormat="1" ht="15.75" customHeight="1">
      <c r="A740" s="1003"/>
      <c r="B740" s="1001"/>
      <c r="C740" s="1218"/>
      <c r="D740" s="84">
        <v>2022</v>
      </c>
      <c r="E740" s="85">
        <f t="shared" ref="E740:J740" si="287">E764+E767</f>
        <v>15.016</v>
      </c>
      <c r="F740" s="85">
        <f t="shared" si="287"/>
        <v>0</v>
      </c>
      <c r="G740" s="85">
        <f t="shared" si="287"/>
        <v>0</v>
      </c>
      <c r="H740" s="85">
        <f t="shared" si="287"/>
        <v>15</v>
      </c>
      <c r="I740" s="85">
        <f t="shared" si="287"/>
        <v>0</v>
      </c>
      <c r="J740" s="85">
        <f t="shared" si="287"/>
        <v>1.6E-2</v>
      </c>
      <c r="K740" s="148">
        <v>0</v>
      </c>
      <c r="L740" s="497">
        <f t="shared" si="283"/>
        <v>15.016</v>
      </c>
      <c r="M740" s="99"/>
      <c r="N740" s="88"/>
      <c r="O740" s="89"/>
      <c r="P740" s="557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  <c r="AF740" s="91"/>
      <c r="AG740" s="91"/>
      <c r="AH740" s="91"/>
      <c r="AI740" s="91"/>
      <c r="AJ740" s="91"/>
      <c r="AK740" s="91"/>
      <c r="AL740" s="91"/>
      <c r="AM740" s="91"/>
      <c r="AN740" s="91"/>
      <c r="AO740" s="91"/>
      <c r="AP740" s="9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91"/>
      <c r="BE740" s="91"/>
      <c r="BF740" s="92"/>
    </row>
    <row r="741" spans="1:58" s="82" customFormat="1" ht="15.75" customHeight="1">
      <c r="A741" s="1004"/>
      <c r="B741" s="1002"/>
      <c r="C741" s="1219"/>
      <c r="D741" s="84">
        <v>2023</v>
      </c>
      <c r="E741" s="85">
        <f t="shared" ref="E741:J741" si="288">E749+E765+E768</f>
        <v>55</v>
      </c>
      <c r="F741" s="85">
        <f t="shared" si="288"/>
        <v>0</v>
      </c>
      <c r="G741" s="85">
        <f t="shared" si="288"/>
        <v>0</v>
      </c>
      <c r="H741" s="85">
        <f t="shared" si="288"/>
        <v>55</v>
      </c>
      <c r="I741" s="85">
        <f t="shared" si="288"/>
        <v>0</v>
      </c>
      <c r="J741" s="85">
        <f t="shared" si="288"/>
        <v>0</v>
      </c>
      <c r="K741" s="148">
        <v>0</v>
      </c>
      <c r="L741" s="497">
        <f t="shared" si="283"/>
        <v>55</v>
      </c>
      <c r="M741" s="99"/>
      <c r="N741" s="88"/>
      <c r="O741" s="89"/>
      <c r="P741" s="557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  <c r="AF741" s="91"/>
      <c r="AG741" s="91"/>
      <c r="AH741" s="91"/>
      <c r="AI741" s="91"/>
      <c r="AJ741" s="91"/>
      <c r="AK741" s="91"/>
      <c r="AL741" s="91"/>
      <c r="AM741" s="91"/>
      <c r="AN741" s="91"/>
      <c r="AO741" s="91"/>
      <c r="AP741" s="9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91"/>
      <c r="BE741" s="91"/>
      <c r="BF741" s="92"/>
    </row>
    <row r="742" spans="1:58" s="82" customFormat="1" ht="22.5" customHeight="1">
      <c r="A742" s="1128" t="s">
        <v>865</v>
      </c>
      <c r="B742" s="1080" t="s">
        <v>847</v>
      </c>
      <c r="C742" s="1262" t="s">
        <v>848</v>
      </c>
      <c r="D742" s="84" t="s">
        <v>16</v>
      </c>
      <c r="E742" s="85">
        <f t="shared" ref="E742:J742" si="289">E743+E744</f>
        <v>19.005200000000002</v>
      </c>
      <c r="F742" s="85">
        <f t="shared" si="289"/>
        <v>2.1884000000000001</v>
      </c>
      <c r="G742" s="85">
        <f t="shared" si="289"/>
        <v>0</v>
      </c>
      <c r="H742" s="85">
        <f t="shared" si="289"/>
        <v>16.816800000000001</v>
      </c>
      <c r="I742" s="85">
        <f t="shared" si="289"/>
        <v>0</v>
      </c>
      <c r="J742" s="85">
        <f t="shared" si="289"/>
        <v>0</v>
      </c>
      <c r="K742" s="148">
        <v>0</v>
      </c>
      <c r="L742" s="497">
        <f t="shared" si="283"/>
        <v>19.005200000000002</v>
      </c>
      <c r="M742" s="99" t="s">
        <v>849</v>
      </c>
      <c r="N742" s="88"/>
      <c r="O742" s="89"/>
      <c r="P742" s="1286" t="s">
        <v>360</v>
      </c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  <c r="AF742" s="91"/>
      <c r="AG742" s="91"/>
      <c r="AH742" s="91"/>
      <c r="AI742" s="91"/>
      <c r="AJ742" s="91"/>
      <c r="AK742" s="91"/>
      <c r="AL742" s="91"/>
      <c r="AM742" s="91"/>
      <c r="AN742" s="91"/>
      <c r="AO742" s="91"/>
      <c r="AP742" s="9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91"/>
      <c r="BE742" s="91"/>
      <c r="BF742" s="92"/>
    </row>
    <row r="743" spans="1:58" s="82" customFormat="1" ht="15" customHeight="1">
      <c r="A743" s="1183"/>
      <c r="B743" s="960"/>
      <c r="C743" s="1263"/>
      <c r="D743" s="84">
        <v>2019</v>
      </c>
      <c r="E743" s="85">
        <v>0</v>
      </c>
      <c r="F743" s="85">
        <v>0</v>
      </c>
      <c r="G743" s="85">
        <v>0</v>
      </c>
      <c r="H743" s="85">
        <v>0</v>
      </c>
      <c r="I743" s="85">
        <v>0</v>
      </c>
      <c r="J743" s="85">
        <v>0</v>
      </c>
      <c r="K743" s="148">
        <v>0</v>
      </c>
      <c r="L743" s="497">
        <f t="shared" si="283"/>
        <v>0</v>
      </c>
      <c r="M743" s="99" t="s">
        <v>850</v>
      </c>
      <c r="N743" s="88"/>
      <c r="O743" s="89"/>
      <c r="P743" s="1300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  <c r="BF743" s="92"/>
    </row>
    <row r="744" spans="1:58" s="82" customFormat="1">
      <c r="A744" s="1183"/>
      <c r="B744" s="960"/>
      <c r="C744" s="1263"/>
      <c r="D744" s="84">
        <v>2020</v>
      </c>
      <c r="E744" s="85">
        <f>F744+H744</f>
        <v>19.005200000000002</v>
      </c>
      <c r="F744" s="85">
        <v>2.1884000000000001</v>
      </c>
      <c r="G744" s="85">
        <v>0</v>
      </c>
      <c r="H744" s="85">
        <v>16.816800000000001</v>
      </c>
      <c r="I744" s="85">
        <v>0</v>
      </c>
      <c r="J744" s="85">
        <v>0</v>
      </c>
      <c r="K744" s="148">
        <v>0</v>
      </c>
      <c r="L744" s="497">
        <f t="shared" si="283"/>
        <v>19.005200000000002</v>
      </c>
      <c r="M744" s="99" t="s">
        <v>850</v>
      </c>
      <c r="N744" s="88"/>
      <c r="O744" s="89"/>
      <c r="P744" s="1300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  <c r="AF744" s="91"/>
      <c r="AG744" s="91"/>
      <c r="AH744" s="91"/>
      <c r="AI744" s="91"/>
      <c r="AJ744" s="91"/>
      <c r="AK744" s="91"/>
      <c r="AL744" s="91"/>
      <c r="AM744" s="91"/>
      <c r="AN744" s="91"/>
      <c r="AO744" s="91"/>
      <c r="AP744" s="9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91"/>
      <c r="BE744" s="91"/>
      <c r="BF744" s="92"/>
    </row>
    <row r="745" spans="1:58" s="82" customFormat="1" ht="12.75" customHeight="1">
      <c r="A745" s="1128" t="s">
        <v>869</v>
      </c>
      <c r="B745" s="1224" t="s">
        <v>853</v>
      </c>
      <c r="C745" s="1224" t="s">
        <v>1428</v>
      </c>
      <c r="D745" s="84" t="s">
        <v>16</v>
      </c>
      <c r="E745" s="85">
        <f t="shared" ref="E745:J745" si="290">E746+E747+E748</f>
        <v>30.61</v>
      </c>
      <c r="F745" s="85">
        <f t="shared" si="290"/>
        <v>0</v>
      </c>
      <c r="G745" s="85">
        <f t="shared" si="290"/>
        <v>0</v>
      </c>
      <c r="H745" s="85">
        <f t="shared" si="290"/>
        <v>30.58</v>
      </c>
      <c r="I745" s="85">
        <f t="shared" si="290"/>
        <v>0</v>
      </c>
      <c r="J745" s="85">
        <f t="shared" si="290"/>
        <v>0.03</v>
      </c>
      <c r="K745" s="148">
        <v>0</v>
      </c>
      <c r="L745" s="497">
        <f t="shared" si="283"/>
        <v>30.61</v>
      </c>
      <c r="M745" s="99"/>
      <c r="N745" s="88"/>
      <c r="O745" s="89"/>
      <c r="P745" s="1286" t="s">
        <v>1272</v>
      </c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  <c r="AF745" s="91"/>
      <c r="AG745" s="91"/>
      <c r="AH745" s="91"/>
      <c r="AI745" s="91"/>
      <c r="AJ745" s="91"/>
      <c r="AK745" s="91"/>
      <c r="AL745" s="91"/>
      <c r="AM745" s="91"/>
      <c r="AN745" s="91"/>
      <c r="AO745" s="91"/>
      <c r="AP745" s="9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91"/>
      <c r="BE745" s="91"/>
      <c r="BF745" s="92"/>
    </row>
    <row r="746" spans="1:58" s="82" customFormat="1">
      <c r="A746" s="1183"/>
      <c r="B746" s="1225"/>
      <c r="C746" s="1225"/>
      <c r="D746" s="84">
        <v>2020</v>
      </c>
      <c r="E746" s="85">
        <f>F746+G746+H746+I746+J746</f>
        <v>30.61</v>
      </c>
      <c r="F746" s="85">
        <v>0</v>
      </c>
      <c r="G746" s="85">
        <v>0</v>
      </c>
      <c r="H746" s="85">
        <v>30.58</v>
      </c>
      <c r="I746" s="85">
        <v>0</v>
      </c>
      <c r="J746" s="85">
        <v>0.03</v>
      </c>
      <c r="K746" s="148">
        <v>0</v>
      </c>
      <c r="L746" s="497">
        <f t="shared" si="283"/>
        <v>30.61</v>
      </c>
      <c r="M746" s="99"/>
      <c r="N746" s="88"/>
      <c r="O746" s="89"/>
      <c r="P746" s="1300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  <c r="AF746" s="91"/>
      <c r="AG746" s="91"/>
      <c r="AH746" s="91"/>
      <c r="AI746" s="91"/>
      <c r="AJ746" s="91"/>
      <c r="AK746" s="91"/>
      <c r="AL746" s="91"/>
      <c r="AM746" s="91"/>
      <c r="AN746" s="91"/>
      <c r="AO746" s="91"/>
      <c r="AP746" s="9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91"/>
      <c r="BE746" s="91"/>
      <c r="BF746" s="92"/>
    </row>
    <row r="747" spans="1:58" s="82" customFormat="1">
      <c r="A747" s="1183"/>
      <c r="B747" s="1225"/>
      <c r="C747" s="1225"/>
      <c r="D747" s="84">
        <v>2021</v>
      </c>
      <c r="E747" s="85">
        <f>F747+G747+H747+I747+J747</f>
        <v>0</v>
      </c>
      <c r="F747" s="85">
        <v>0</v>
      </c>
      <c r="G747" s="85">
        <v>0</v>
      </c>
      <c r="H747" s="85">
        <v>0</v>
      </c>
      <c r="I747" s="85">
        <v>0</v>
      </c>
      <c r="J747" s="85">
        <v>0</v>
      </c>
      <c r="K747" s="148">
        <v>0</v>
      </c>
      <c r="L747" s="497">
        <f t="shared" si="283"/>
        <v>0</v>
      </c>
      <c r="M747" s="99"/>
      <c r="N747" s="88"/>
      <c r="O747" s="89"/>
      <c r="P747" s="1300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  <c r="AF747" s="91"/>
      <c r="AG747" s="91"/>
      <c r="AH747" s="91"/>
      <c r="AI747" s="91"/>
      <c r="AJ747" s="91"/>
      <c r="AK747" s="91"/>
      <c r="AL747" s="91"/>
      <c r="AM747" s="91"/>
      <c r="AN747" s="91"/>
      <c r="AO747" s="91"/>
      <c r="AP747" s="9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91"/>
      <c r="BE747" s="91"/>
      <c r="BF747" s="92"/>
    </row>
    <row r="748" spans="1:58" s="82" customFormat="1">
      <c r="A748" s="1183"/>
      <c r="B748" s="1225"/>
      <c r="C748" s="1225"/>
      <c r="D748" s="84">
        <v>2022</v>
      </c>
      <c r="E748" s="85">
        <f>F748+G748+H748+I748+J748</f>
        <v>0</v>
      </c>
      <c r="F748" s="85">
        <v>0</v>
      </c>
      <c r="G748" s="85">
        <v>0</v>
      </c>
      <c r="H748" s="85">
        <v>0</v>
      </c>
      <c r="I748" s="85">
        <v>0</v>
      </c>
      <c r="J748" s="85">
        <v>0</v>
      </c>
      <c r="K748" s="148">
        <v>0</v>
      </c>
      <c r="L748" s="497">
        <f t="shared" si="283"/>
        <v>0</v>
      </c>
      <c r="M748" s="99"/>
      <c r="N748" s="88"/>
      <c r="O748" s="89"/>
      <c r="P748" s="1300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  <c r="AF748" s="91"/>
      <c r="AG748" s="91"/>
      <c r="AH748" s="91"/>
      <c r="AI748" s="91"/>
      <c r="AJ748" s="91"/>
      <c r="AK748" s="91"/>
      <c r="AL748" s="91"/>
      <c r="AM748" s="91"/>
      <c r="AN748" s="91"/>
      <c r="AO748" s="91"/>
      <c r="AP748" s="9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91"/>
      <c r="BE748" s="91"/>
      <c r="BF748" s="92"/>
    </row>
    <row r="749" spans="1:58" s="82" customFormat="1">
      <c r="A749" s="1184"/>
      <c r="B749" s="1226"/>
      <c r="C749" s="1225"/>
      <c r="D749" s="84">
        <v>2023</v>
      </c>
      <c r="E749" s="85">
        <v>0</v>
      </c>
      <c r="F749" s="85">
        <v>0</v>
      </c>
      <c r="G749" s="85">
        <v>0</v>
      </c>
      <c r="H749" s="85">
        <v>0</v>
      </c>
      <c r="I749" s="85">
        <v>0</v>
      </c>
      <c r="J749" s="85">
        <v>0</v>
      </c>
      <c r="K749" s="148">
        <v>0</v>
      </c>
      <c r="L749" s="497">
        <f t="shared" si="283"/>
        <v>0</v>
      </c>
      <c r="M749" s="99"/>
      <c r="N749" s="88"/>
      <c r="O749" s="89"/>
      <c r="P749" s="1299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  <c r="BF749" s="92"/>
    </row>
    <row r="750" spans="1:58" s="82" customFormat="1" ht="12.75" customHeight="1">
      <c r="A750" s="1210" t="s">
        <v>1273</v>
      </c>
      <c r="B750" s="1245" t="s">
        <v>856</v>
      </c>
      <c r="C750" s="1225"/>
      <c r="D750" s="84" t="s">
        <v>16</v>
      </c>
      <c r="E750" s="85">
        <f t="shared" ref="E750:J750" si="291">E751+E752</f>
        <v>4.1509999999999998</v>
      </c>
      <c r="F750" s="85">
        <f t="shared" si="291"/>
        <v>0</v>
      </c>
      <c r="G750" s="85">
        <f t="shared" si="291"/>
        <v>0</v>
      </c>
      <c r="H750" s="85">
        <f t="shared" si="291"/>
        <v>4.1093999999999999</v>
      </c>
      <c r="I750" s="85">
        <f t="shared" si="291"/>
        <v>0</v>
      </c>
      <c r="J750" s="85">
        <f t="shared" si="291"/>
        <v>4.1599999999999998E-2</v>
      </c>
      <c r="K750" s="148">
        <v>0</v>
      </c>
      <c r="L750" s="497">
        <f t="shared" si="283"/>
        <v>4.1509999999999998</v>
      </c>
      <c r="M750" s="99"/>
      <c r="N750" s="88"/>
      <c r="O750" s="89"/>
      <c r="P750" s="1286" t="s">
        <v>1274</v>
      </c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  <c r="AF750" s="91"/>
      <c r="AG750" s="91"/>
      <c r="AH750" s="91"/>
      <c r="AI750" s="91"/>
      <c r="AJ750" s="91"/>
      <c r="AK750" s="91"/>
      <c r="AL750" s="91"/>
      <c r="AM750" s="91"/>
      <c r="AN750" s="91"/>
      <c r="AO750" s="91"/>
      <c r="AP750" s="9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91"/>
      <c r="BE750" s="91"/>
      <c r="BF750" s="92"/>
    </row>
    <row r="751" spans="1:58" s="82" customFormat="1" ht="12.75" customHeight="1">
      <c r="A751" s="1210"/>
      <c r="B751" s="1245"/>
      <c r="C751" s="1225"/>
      <c r="D751" s="84">
        <v>2019</v>
      </c>
      <c r="E751" s="85">
        <f>F751+G751+H751+I751+J751</f>
        <v>2.4905999999999997</v>
      </c>
      <c r="F751" s="85">
        <v>0</v>
      </c>
      <c r="G751" s="85">
        <v>0</v>
      </c>
      <c r="H751" s="85">
        <v>2.4655999999999998</v>
      </c>
      <c r="I751" s="85">
        <v>0</v>
      </c>
      <c r="J751" s="85">
        <v>2.5000000000000001E-2</v>
      </c>
      <c r="K751" s="148">
        <v>0</v>
      </c>
      <c r="L751" s="497">
        <f t="shared" si="283"/>
        <v>2.4905999999999997</v>
      </c>
      <c r="M751" s="99"/>
      <c r="N751" s="88"/>
      <c r="O751" s="89"/>
      <c r="P751" s="1300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2"/>
    </row>
    <row r="752" spans="1:58" s="82" customFormat="1">
      <c r="A752" s="1210"/>
      <c r="B752" s="1245"/>
      <c r="C752" s="1225"/>
      <c r="D752" s="84">
        <v>2020</v>
      </c>
      <c r="E752" s="85">
        <f>F752+G752+H752+I752+J752</f>
        <v>1.6603999999999999</v>
      </c>
      <c r="F752" s="85">
        <v>0</v>
      </c>
      <c r="G752" s="85">
        <v>0</v>
      </c>
      <c r="H752" s="85">
        <v>1.6437999999999999</v>
      </c>
      <c r="I752" s="85">
        <v>0</v>
      </c>
      <c r="J752" s="373">
        <v>1.66E-2</v>
      </c>
      <c r="K752" s="148">
        <v>0</v>
      </c>
      <c r="L752" s="497">
        <f t="shared" si="283"/>
        <v>1.6603999999999999</v>
      </c>
      <c r="M752" s="99"/>
      <c r="N752" s="88"/>
      <c r="O752" s="89"/>
      <c r="P752" s="1299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  <c r="AF752" s="91"/>
      <c r="AG752" s="91"/>
      <c r="AH752" s="91"/>
      <c r="AI752" s="91"/>
      <c r="AJ752" s="91"/>
      <c r="AK752" s="91"/>
      <c r="AL752" s="91"/>
      <c r="AM752" s="91"/>
      <c r="AN752" s="91"/>
      <c r="AO752" s="91"/>
      <c r="AP752" s="9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91"/>
      <c r="BE752" s="91"/>
      <c r="BF752" s="92"/>
    </row>
    <row r="753" spans="1:58" s="82" customFormat="1">
      <c r="A753" s="1128" t="s">
        <v>873</v>
      </c>
      <c r="B753" s="1224" t="s">
        <v>1275</v>
      </c>
      <c r="C753" s="1225"/>
      <c r="D753" s="84" t="s">
        <v>16</v>
      </c>
      <c r="E753" s="85">
        <v>0</v>
      </c>
      <c r="F753" s="85">
        <f>F754+F755</f>
        <v>0</v>
      </c>
      <c r="G753" s="85">
        <f>G754+G755</f>
        <v>0</v>
      </c>
      <c r="H753" s="85">
        <v>0</v>
      </c>
      <c r="I753" s="85">
        <f>I754+I755</f>
        <v>0</v>
      </c>
      <c r="J753" s="85">
        <v>0</v>
      </c>
      <c r="K753" s="148">
        <v>0</v>
      </c>
      <c r="L753" s="497"/>
      <c r="M753" s="99"/>
      <c r="N753" s="88"/>
      <c r="O753" s="89"/>
      <c r="P753" s="1297" t="s">
        <v>1276</v>
      </c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  <c r="AM753" s="91"/>
      <c r="AN753" s="91"/>
      <c r="AO753" s="91"/>
      <c r="AP753" s="9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  <c r="BF753" s="92"/>
    </row>
    <row r="754" spans="1:58" s="82" customFormat="1" ht="27.75" customHeight="1">
      <c r="A754" s="1184"/>
      <c r="B754" s="1226"/>
      <c r="C754" s="1225"/>
      <c r="D754" s="84">
        <v>2021</v>
      </c>
      <c r="E754" s="85">
        <v>0</v>
      </c>
      <c r="F754" s="85">
        <v>0</v>
      </c>
      <c r="G754" s="85">
        <v>0</v>
      </c>
      <c r="H754" s="85">
        <v>0</v>
      </c>
      <c r="I754" s="85">
        <v>0</v>
      </c>
      <c r="J754" s="85">
        <v>0</v>
      </c>
      <c r="K754" s="148">
        <v>0</v>
      </c>
      <c r="L754" s="497"/>
      <c r="M754" s="99"/>
      <c r="N754" s="88"/>
      <c r="O754" s="89"/>
      <c r="P754" s="1297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  <c r="AF754" s="91"/>
      <c r="AG754" s="91"/>
      <c r="AH754" s="91"/>
      <c r="AI754" s="91"/>
      <c r="AJ754" s="91"/>
      <c r="AK754" s="91"/>
      <c r="AL754" s="91"/>
      <c r="AM754" s="91"/>
      <c r="AN754" s="91"/>
      <c r="AO754" s="91"/>
      <c r="AP754" s="9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91"/>
      <c r="BE754" s="91"/>
      <c r="BF754" s="92"/>
    </row>
    <row r="755" spans="1:58" s="82" customFormat="1" ht="18.75" customHeight="1">
      <c r="A755" s="1210" t="s">
        <v>1277</v>
      </c>
      <c r="B755" s="1224" t="s">
        <v>859</v>
      </c>
      <c r="C755" s="1225"/>
      <c r="D755" s="84" t="s">
        <v>16</v>
      </c>
      <c r="E755" s="85">
        <f t="shared" ref="E755:J755" si="292">E756</f>
        <v>3.5876000000000001</v>
      </c>
      <c r="F755" s="85">
        <f t="shared" si="292"/>
        <v>0</v>
      </c>
      <c r="G755" s="85">
        <f t="shared" si="292"/>
        <v>0</v>
      </c>
      <c r="H755" s="85">
        <f t="shared" si="292"/>
        <v>3.5840000000000001</v>
      </c>
      <c r="I755" s="85">
        <f t="shared" si="292"/>
        <v>0</v>
      </c>
      <c r="J755" s="85">
        <f t="shared" si="292"/>
        <v>3.5999999999999999E-3</v>
      </c>
      <c r="K755" s="148">
        <v>0</v>
      </c>
      <c r="L755" s="497">
        <f>F755+G755+H755+I755+J755</f>
        <v>3.5876000000000001</v>
      </c>
      <c r="M755" s="99"/>
      <c r="N755" s="88"/>
      <c r="O755" s="89"/>
      <c r="P755" s="1286" t="s">
        <v>1278</v>
      </c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  <c r="AF755" s="91"/>
      <c r="AG755" s="91"/>
      <c r="AH755" s="91"/>
      <c r="AI755" s="91"/>
      <c r="AJ755" s="91"/>
      <c r="AK755" s="91"/>
      <c r="AL755" s="91"/>
      <c r="AM755" s="91"/>
      <c r="AN755" s="91"/>
      <c r="AO755" s="91"/>
      <c r="AP755" s="9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91"/>
      <c r="BE755" s="91"/>
      <c r="BF755" s="92"/>
    </row>
    <row r="756" spans="1:58" s="82" customFormat="1" ht="32.25" customHeight="1">
      <c r="A756" s="1210"/>
      <c r="B756" s="1226"/>
      <c r="C756" s="1225"/>
      <c r="D756" s="84">
        <v>2019</v>
      </c>
      <c r="E756" s="85">
        <f>F756+G756+H756+I756+J756</f>
        <v>3.5876000000000001</v>
      </c>
      <c r="F756" s="85">
        <v>0</v>
      </c>
      <c r="G756" s="85">
        <v>0</v>
      </c>
      <c r="H756" s="85">
        <v>3.5840000000000001</v>
      </c>
      <c r="I756" s="85">
        <v>0</v>
      </c>
      <c r="J756" s="85">
        <v>3.5999999999999999E-3</v>
      </c>
      <c r="K756" s="148">
        <v>0</v>
      </c>
      <c r="L756" s="497">
        <f>F756+G756+H756+I756+J756</f>
        <v>3.5876000000000001</v>
      </c>
      <c r="M756" s="99"/>
      <c r="N756" s="88"/>
      <c r="O756" s="89"/>
      <c r="P756" s="1300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9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91"/>
      <c r="BE756" s="91"/>
      <c r="BF756" s="92"/>
    </row>
    <row r="757" spans="1:58" s="82" customFormat="1" ht="12.75" customHeight="1">
      <c r="A757" s="1128" t="s">
        <v>1279</v>
      </c>
      <c r="B757" s="1224" t="s">
        <v>1280</v>
      </c>
      <c r="C757" s="1225"/>
      <c r="D757" s="84" t="s">
        <v>16</v>
      </c>
      <c r="E757" s="85">
        <v>0</v>
      </c>
      <c r="F757" s="85">
        <v>0</v>
      </c>
      <c r="G757" s="85">
        <v>0</v>
      </c>
      <c r="H757" s="85">
        <v>0</v>
      </c>
      <c r="I757" s="85">
        <v>0</v>
      </c>
      <c r="J757" s="85">
        <v>3.5999999999999999E-3</v>
      </c>
      <c r="K757" s="148">
        <v>0</v>
      </c>
      <c r="L757" s="497"/>
      <c r="M757" s="99"/>
      <c r="N757" s="88"/>
      <c r="O757" s="89"/>
      <c r="P757" s="1300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  <c r="AF757" s="91"/>
      <c r="AG757" s="91"/>
      <c r="AH757" s="91"/>
      <c r="AI757" s="91"/>
      <c r="AJ757" s="91"/>
      <c r="AK757" s="91"/>
      <c r="AL757" s="91"/>
      <c r="AM757" s="91"/>
      <c r="AN757" s="91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2"/>
    </row>
    <row r="758" spans="1:58" s="82" customFormat="1" ht="36.75" customHeight="1">
      <c r="A758" s="1183"/>
      <c r="B758" s="1225"/>
      <c r="C758" s="1225"/>
      <c r="D758" s="84">
        <v>2021</v>
      </c>
      <c r="E758" s="85">
        <v>0</v>
      </c>
      <c r="F758" s="85">
        <v>0</v>
      </c>
      <c r="G758" s="85">
        <v>0</v>
      </c>
      <c r="H758" s="85">
        <v>0</v>
      </c>
      <c r="I758" s="85">
        <v>0</v>
      </c>
      <c r="J758" s="85">
        <v>0</v>
      </c>
      <c r="K758" s="148">
        <v>0</v>
      </c>
      <c r="L758" s="497"/>
      <c r="M758" s="99"/>
      <c r="N758" s="88"/>
      <c r="O758" s="89"/>
      <c r="P758" s="1300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  <c r="AM758" s="91"/>
      <c r="AN758" s="91"/>
      <c r="AO758" s="91"/>
      <c r="AP758" s="9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91"/>
      <c r="BE758" s="91"/>
      <c r="BF758" s="92"/>
    </row>
    <row r="759" spans="1:58" s="82" customFormat="1">
      <c r="A759" s="1183"/>
      <c r="B759" s="1225"/>
      <c r="C759" s="1225"/>
      <c r="D759" s="84">
        <v>2022</v>
      </c>
      <c r="E759" s="85">
        <v>0</v>
      </c>
      <c r="F759" s="85">
        <v>0</v>
      </c>
      <c r="G759" s="85">
        <v>0</v>
      </c>
      <c r="H759" s="85">
        <v>0</v>
      </c>
      <c r="I759" s="85">
        <v>0</v>
      </c>
      <c r="J759" s="85">
        <v>0</v>
      </c>
      <c r="K759" s="148">
        <v>0</v>
      </c>
      <c r="L759" s="497"/>
      <c r="M759" s="99"/>
      <c r="N759" s="88"/>
      <c r="O759" s="89"/>
      <c r="P759" s="1300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  <c r="AF759" s="91"/>
      <c r="AG759" s="91"/>
      <c r="AH759" s="91"/>
      <c r="AI759" s="91"/>
      <c r="AJ759" s="91"/>
      <c r="AK759" s="91"/>
      <c r="AL759" s="91"/>
      <c r="AM759" s="91"/>
      <c r="AN759" s="91"/>
      <c r="AO759" s="91"/>
      <c r="AP759" s="9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91"/>
      <c r="BE759" s="91"/>
      <c r="BF759" s="92"/>
    </row>
    <row r="760" spans="1:58" s="82" customFormat="1">
      <c r="A760" s="1184"/>
      <c r="B760" s="1226"/>
      <c r="C760" s="1225"/>
      <c r="D760" s="84">
        <v>2023</v>
      </c>
      <c r="E760" s="85">
        <v>0</v>
      </c>
      <c r="F760" s="85">
        <v>0</v>
      </c>
      <c r="G760" s="85">
        <v>0</v>
      </c>
      <c r="H760" s="85">
        <v>0</v>
      </c>
      <c r="I760" s="85">
        <v>0</v>
      </c>
      <c r="J760" s="85">
        <v>0</v>
      </c>
      <c r="K760" s="148">
        <v>0</v>
      </c>
      <c r="L760" s="497"/>
      <c r="M760" s="99"/>
      <c r="N760" s="88"/>
      <c r="O760" s="89"/>
      <c r="P760" s="1299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  <c r="AF760" s="91"/>
      <c r="AG760" s="91"/>
      <c r="AH760" s="91"/>
      <c r="AI760" s="91"/>
      <c r="AJ760" s="91"/>
      <c r="AK760" s="91"/>
      <c r="AL760" s="91"/>
      <c r="AM760" s="91"/>
      <c r="AN760" s="91"/>
      <c r="AO760" s="91"/>
      <c r="AP760" s="9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91"/>
      <c r="BE760" s="91"/>
      <c r="BF760" s="92"/>
    </row>
    <row r="761" spans="1:58" s="82" customFormat="1" ht="23.25" customHeight="1">
      <c r="A761" s="1128" t="s">
        <v>1281</v>
      </c>
      <c r="B761" s="1224" t="s">
        <v>861</v>
      </c>
      <c r="C761" s="1225"/>
      <c r="D761" s="84" t="s">
        <v>16</v>
      </c>
      <c r="E761" s="85">
        <f t="shared" ref="E761:J761" si="293">E762+E763+E764</f>
        <v>31.995000000000001</v>
      </c>
      <c r="F761" s="85">
        <f t="shared" si="293"/>
        <v>0</v>
      </c>
      <c r="G761" s="85">
        <f t="shared" si="293"/>
        <v>0</v>
      </c>
      <c r="H761" s="85">
        <f t="shared" si="293"/>
        <v>31.934000000000001</v>
      </c>
      <c r="I761" s="85">
        <f t="shared" si="293"/>
        <v>0</v>
      </c>
      <c r="J761" s="85">
        <f t="shared" si="293"/>
        <v>6.0999999999999999E-2</v>
      </c>
      <c r="K761" s="148">
        <v>0</v>
      </c>
      <c r="L761" s="497">
        <f t="shared" ref="L761:L775" si="294">F761+G761+H761+I761+J761</f>
        <v>31.995000000000001</v>
      </c>
      <c r="M761" s="99"/>
      <c r="N761" s="88"/>
      <c r="O761" s="89"/>
      <c r="P761" s="1286" t="s">
        <v>1282</v>
      </c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  <c r="AF761" s="91"/>
      <c r="AG761" s="91"/>
      <c r="AH761" s="91"/>
      <c r="AI761" s="91"/>
      <c r="AJ761" s="91"/>
      <c r="AK761" s="91"/>
      <c r="AL761" s="91"/>
      <c r="AM761" s="91"/>
      <c r="AN761" s="91"/>
      <c r="AO761" s="91"/>
      <c r="AP761" s="9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91"/>
      <c r="BE761" s="91"/>
      <c r="BF761" s="92"/>
    </row>
    <row r="762" spans="1:58" s="82" customFormat="1">
      <c r="A762" s="1183"/>
      <c r="B762" s="1225"/>
      <c r="C762" s="1225"/>
      <c r="D762" s="84">
        <v>2020</v>
      </c>
      <c r="E762" s="85">
        <f>F762+G762+H762+I762+J762</f>
        <v>31.966000000000001</v>
      </c>
      <c r="F762" s="85">
        <v>0</v>
      </c>
      <c r="G762" s="85">
        <v>0</v>
      </c>
      <c r="H762" s="85">
        <v>31.934000000000001</v>
      </c>
      <c r="I762" s="85">
        <v>0</v>
      </c>
      <c r="J762" s="85">
        <v>3.2000000000000001E-2</v>
      </c>
      <c r="K762" s="148">
        <v>0</v>
      </c>
      <c r="L762" s="497">
        <f t="shared" si="294"/>
        <v>31.966000000000001</v>
      </c>
      <c r="M762" s="99"/>
      <c r="N762" s="88"/>
      <c r="O762" s="89"/>
      <c r="P762" s="1300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  <c r="AF762" s="91"/>
      <c r="AG762" s="91"/>
      <c r="AH762" s="91"/>
      <c r="AI762" s="91"/>
      <c r="AJ762" s="91"/>
      <c r="AK762" s="91"/>
      <c r="AL762" s="91"/>
      <c r="AM762" s="91"/>
      <c r="AN762" s="91"/>
      <c r="AO762" s="91"/>
      <c r="AP762" s="9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91"/>
      <c r="BE762" s="91"/>
      <c r="BF762" s="92"/>
    </row>
    <row r="763" spans="1:58" s="82" customFormat="1">
      <c r="A763" s="1183"/>
      <c r="B763" s="1225"/>
      <c r="C763" s="1225"/>
      <c r="D763" s="84">
        <v>2021</v>
      </c>
      <c r="E763" s="85">
        <f>F763+G763+H763+I763+J763</f>
        <v>1.2999999999999999E-2</v>
      </c>
      <c r="F763" s="85">
        <v>0</v>
      </c>
      <c r="G763" s="85">
        <v>0</v>
      </c>
      <c r="H763" s="85">
        <v>0</v>
      </c>
      <c r="I763" s="85">
        <v>0</v>
      </c>
      <c r="J763" s="85">
        <v>1.2999999999999999E-2</v>
      </c>
      <c r="K763" s="148">
        <v>0</v>
      </c>
      <c r="L763" s="497">
        <f t="shared" si="294"/>
        <v>1.2999999999999999E-2</v>
      </c>
      <c r="M763" s="99"/>
      <c r="N763" s="88"/>
      <c r="O763" s="89"/>
      <c r="P763" s="1299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  <c r="AF763" s="91"/>
      <c r="AG763" s="91"/>
      <c r="AH763" s="91"/>
      <c r="AI763" s="91"/>
      <c r="AJ763" s="91"/>
      <c r="AK763" s="91"/>
      <c r="AL763" s="91"/>
      <c r="AM763" s="91"/>
      <c r="AN763" s="91"/>
      <c r="AO763" s="91"/>
      <c r="AP763" s="9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91"/>
      <c r="BE763" s="91"/>
      <c r="BF763" s="92"/>
    </row>
    <row r="764" spans="1:58" s="82" customFormat="1">
      <c r="A764" s="1183"/>
      <c r="B764" s="1225"/>
      <c r="C764" s="1225"/>
      <c r="D764" s="84">
        <v>2022</v>
      </c>
      <c r="E764" s="85">
        <f>F764+G764+H764+I764+J764</f>
        <v>1.6E-2</v>
      </c>
      <c r="F764" s="85">
        <v>0</v>
      </c>
      <c r="G764" s="85">
        <v>0</v>
      </c>
      <c r="H764" s="85">
        <v>0</v>
      </c>
      <c r="I764" s="85">
        <v>0</v>
      </c>
      <c r="J764" s="85">
        <v>1.6E-2</v>
      </c>
      <c r="K764" s="148">
        <v>0</v>
      </c>
      <c r="L764" s="497">
        <f t="shared" si="294"/>
        <v>1.6E-2</v>
      </c>
      <c r="M764" s="99"/>
      <c r="N764" s="88"/>
      <c r="O764" s="89"/>
      <c r="P764" s="678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  <c r="AF764" s="91"/>
      <c r="AG764" s="91"/>
      <c r="AH764" s="91"/>
      <c r="AI764" s="91"/>
      <c r="AJ764" s="91"/>
      <c r="AK764" s="91"/>
      <c r="AL764" s="91"/>
      <c r="AM764" s="91"/>
      <c r="AN764" s="91"/>
      <c r="AO764" s="91"/>
      <c r="AP764" s="9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91"/>
      <c r="BE764" s="91"/>
      <c r="BF764" s="92"/>
    </row>
    <row r="765" spans="1:58" s="82" customFormat="1">
      <c r="A765" s="1184"/>
      <c r="B765" s="1226"/>
      <c r="C765" s="1226"/>
      <c r="D765" s="84">
        <v>2023</v>
      </c>
      <c r="E765" s="85">
        <f>F765+G765+H765+I765+J765</f>
        <v>0</v>
      </c>
      <c r="F765" s="85">
        <v>0</v>
      </c>
      <c r="G765" s="85">
        <v>0</v>
      </c>
      <c r="H765" s="85">
        <v>0</v>
      </c>
      <c r="I765" s="85">
        <v>0</v>
      </c>
      <c r="J765" s="85">
        <v>0</v>
      </c>
      <c r="K765" s="148">
        <v>0</v>
      </c>
      <c r="L765" s="497">
        <f t="shared" si="294"/>
        <v>0</v>
      </c>
      <c r="M765" s="99"/>
      <c r="N765" s="88"/>
      <c r="O765" s="89"/>
      <c r="P765" s="678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  <c r="AF765" s="91"/>
      <c r="AG765" s="91"/>
      <c r="AH765" s="91"/>
      <c r="AI765" s="91"/>
      <c r="AJ765" s="91"/>
      <c r="AK765" s="91"/>
      <c r="AL765" s="91"/>
      <c r="AM765" s="91"/>
      <c r="AN765" s="91"/>
      <c r="AO765" s="91"/>
      <c r="AP765" s="9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91"/>
      <c r="BE765" s="91"/>
      <c r="BF765" s="92"/>
    </row>
    <row r="766" spans="1:58" s="82" customFormat="1" ht="12.75" customHeight="1">
      <c r="A766" s="553"/>
      <c r="B766" s="1224" t="s">
        <v>1283</v>
      </c>
      <c r="C766" s="1224" t="s">
        <v>1429</v>
      </c>
      <c r="D766" s="114" t="s">
        <v>16</v>
      </c>
      <c r="E766" s="85">
        <f t="shared" ref="E766:J766" si="295">E767+E768</f>
        <v>70</v>
      </c>
      <c r="F766" s="85">
        <f t="shared" si="295"/>
        <v>0</v>
      </c>
      <c r="G766" s="85">
        <f t="shared" si="295"/>
        <v>0</v>
      </c>
      <c r="H766" s="85">
        <f t="shared" si="295"/>
        <v>70</v>
      </c>
      <c r="I766" s="85">
        <f t="shared" si="295"/>
        <v>0</v>
      </c>
      <c r="J766" s="85">
        <f t="shared" si="295"/>
        <v>0</v>
      </c>
      <c r="K766" s="148">
        <v>0</v>
      </c>
      <c r="L766" s="497">
        <f t="shared" si="294"/>
        <v>70</v>
      </c>
      <c r="M766" s="99"/>
      <c r="N766" s="88"/>
      <c r="O766" s="89"/>
      <c r="P766" s="1286" t="s">
        <v>830</v>
      </c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  <c r="AF766" s="91"/>
      <c r="AG766" s="91"/>
      <c r="AH766" s="91"/>
      <c r="AI766" s="91"/>
      <c r="AJ766" s="91"/>
      <c r="AK766" s="91"/>
      <c r="AL766" s="91"/>
      <c r="AM766" s="91"/>
      <c r="AN766" s="91"/>
      <c r="AO766" s="91"/>
      <c r="AP766" s="9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91"/>
      <c r="BE766" s="91"/>
      <c r="BF766" s="92"/>
    </row>
    <row r="767" spans="1:58" s="82" customFormat="1" ht="26.25" customHeight="1">
      <c r="A767" s="553" t="s">
        <v>1285</v>
      </c>
      <c r="B767" s="1225"/>
      <c r="C767" s="1225"/>
      <c r="D767" s="114">
        <v>2022</v>
      </c>
      <c r="E767" s="85">
        <f>H767</f>
        <v>15</v>
      </c>
      <c r="F767" s="85">
        <v>0</v>
      </c>
      <c r="G767" s="85">
        <v>0</v>
      </c>
      <c r="H767" s="85">
        <v>15</v>
      </c>
      <c r="I767" s="85">
        <v>0</v>
      </c>
      <c r="J767" s="85">
        <v>0</v>
      </c>
      <c r="K767" s="148">
        <v>0</v>
      </c>
      <c r="L767" s="497">
        <f t="shared" si="294"/>
        <v>15</v>
      </c>
      <c r="M767" s="99"/>
      <c r="N767" s="88"/>
      <c r="O767" s="89"/>
      <c r="P767" s="1300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  <c r="AF767" s="91"/>
      <c r="AG767" s="91"/>
      <c r="AH767" s="91"/>
      <c r="AI767" s="91"/>
      <c r="AJ767" s="91"/>
      <c r="AK767" s="91"/>
      <c r="AL767" s="91"/>
      <c r="AM767" s="91"/>
      <c r="AN767" s="91"/>
      <c r="AO767" s="91"/>
      <c r="AP767" s="9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91"/>
      <c r="BE767" s="91"/>
      <c r="BF767" s="92"/>
    </row>
    <row r="768" spans="1:58" s="82" customFormat="1" ht="27.75" customHeight="1">
      <c r="A768" s="553"/>
      <c r="B768" s="1226"/>
      <c r="C768" s="1226"/>
      <c r="D768" s="114">
        <v>2023</v>
      </c>
      <c r="E768" s="85">
        <f>H768</f>
        <v>55</v>
      </c>
      <c r="F768" s="85">
        <v>0</v>
      </c>
      <c r="G768" s="85">
        <v>0</v>
      </c>
      <c r="H768" s="85">
        <v>55</v>
      </c>
      <c r="I768" s="85">
        <v>0</v>
      </c>
      <c r="J768" s="85">
        <v>0</v>
      </c>
      <c r="K768" s="148">
        <v>0</v>
      </c>
      <c r="L768" s="497">
        <f t="shared" si="294"/>
        <v>55</v>
      </c>
      <c r="M768" s="99"/>
      <c r="N768" s="88"/>
      <c r="O768" s="89"/>
      <c r="P768" s="1299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  <c r="AF768" s="91"/>
      <c r="AG768" s="91"/>
      <c r="AH768" s="91"/>
      <c r="AI768" s="91"/>
      <c r="AJ768" s="91"/>
      <c r="AK768" s="91"/>
      <c r="AL768" s="91"/>
      <c r="AM768" s="91"/>
      <c r="AN768" s="91"/>
      <c r="AO768" s="91"/>
      <c r="AP768" s="9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91"/>
      <c r="BE768" s="91"/>
      <c r="BF768" s="92"/>
    </row>
    <row r="769" spans="1:139" s="82" customFormat="1" ht="25.5" customHeight="1">
      <c r="A769" s="1128" t="s">
        <v>1286</v>
      </c>
      <c r="B769" s="1224" t="s">
        <v>1287</v>
      </c>
      <c r="C769" s="1224" t="s">
        <v>1430</v>
      </c>
      <c r="D769" s="114" t="s">
        <v>16</v>
      </c>
      <c r="E769" s="85">
        <f>E770</f>
        <v>3.3479000000000001</v>
      </c>
      <c r="F769" s="85">
        <v>0</v>
      </c>
      <c r="G769" s="85">
        <v>0</v>
      </c>
      <c r="H769" s="85">
        <f>H770</f>
        <v>3.2816000000000001</v>
      </c>
      <c r="I769" s="85">
        <f>I770</f>
        <v>0</v>
      </c>
      <c r="J769" s="85">
        <f>J770</f>
        <v>6.6299999999999998E-2</v>
      </c>
      <c r="K769" s="148">
        <v>0</v>
      </c>
      <c r="L769" s="497">
        <f t="shared" si="294"/>
        <v>3.3479000000000001</v>
      </c>
      <c r="M769" s="99"/>
      <c r="N769" s="88"/>
      <c r="O769" s="89"/>
      <c r="P769" s="1286" t="s">
        <v>640</v>
      </c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  <c r="AF769" s="91"/>
      <c r="AG769" s="91"/>
      <c r="AH769" s="91"/>
      <c r="AI769" s="91"/>
      <c r="AJ769" s="91"/>
      <c r="AK769" s="91"/>
      <c r="AL769" s="91"/>
      <c r="AM769" s="91"/>
      <c r="AN769" s="91"/>
      <c r="AO769" s="91"/>
      <c r="AP769" s="9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91"/>
      <c r="BE769" s="91"/>
      <c r="BF769" s="92"/>
    </row>
    <row r="770" spans="1:139" s="82" customFormat="1" ht="84.75" customHeight="1">
      <c r="A770" s="1184"/>
      <c r="B770" s="1225"/>
      <c r="C770" s="1226"/>
      <c r="D770" s="114">
        <v>2021</v>
      </c>
      <c r="E770" s="85">
        <f>F770+G770+H770+I770+J770</f>
        <v>3.3479000000000001</v>
      </c>
      <c r="F770" s="85">
        <v>0</v>
      </c>
      <c r="G770" s="85">
        <v>0</v>
      </c>
      <c r="H770" s="85">
        <v>3.2816000000000001</v>
      </c>
      <c r="I770" s="85">
        <v>0</v>
      </c>
      <c r="J770" s="85">
        <v>6.6299999999999998E-2</v>
      </c>
      <c r="K770" s="148">
        <v>0</v>
      </c>
      <c r="L770" s="497">
        <f t="shared" si="294"/>
        <v>3.3479000000000001</v>
      </c>
      <c r="M770" s="99"/>
      <c r="N770" s="88"/>
      <c r="O770" s="89"/>
      <c r="P770" s="1299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  <c r="AF770" s="91"/>
      <c r="AG770" s="91"/>
      <c r="AH770" s="91"/>
      <c r="AI770" s="91"/>
      <c r="AJ770" s="91"/>
      <c r="AK770" s="91"/>
      <c r="AL770" s="91"/>
      <c r="AM770" s="91"/>
      <c r="AN770" s="91"/>
      <c r="AO770" s="91"/>
      <c r="AP770" s="9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91"/>
      <c r="BE770" s="91"/>
      <c r="BF770" s="92"/>
    </row>
    <row r="771" spans="1:139" s="82" customFormat="1" ht="25.5" customHeight="1">
      <c r="A771" s="1128" t="s">
        <v>1289</v>
      </c>
      <c r="B771" s="1224" t="s">
        <v>1287</v>
      </c>
      <c r="C771" s="1245" t="s">
        <v>1431</v>
      </c>
      <c r="D771" s="84" t="s">
        <v>16</v>
      </c>
      <c r="E771" s="85">
        <f t="shared" ref="E771:E776" si="296">H771+J771</f>
        <v>3.4807000000000001</v>
      </c>
      <c r="F771" s="85">
        <v>0</v>
      </c>
      <c r="G771" s="85">
        <v>0</v>
      </c>
      <c r="H771" s="85">
        <f>H772</f>
        <v>3.1673</v>
      </c>
      <c r="I771" s="85">
        <v>0</v>
      </c>
      <c r="J771" s="85">
        <f>J772</f>
        <v>0.31340000000000001</v>
      </c>
      <c r="K771" s="148">
        <v>0</v>
      </c>
      <c r="L771" s="497">
        <f t="shared" si="294"/>
        <v>3.4807000000000001</v>
      </c>
      <c r="M771" s="99"/>
      <c r="N771" s="88"/>
      <c r="O771" s="89"/>
      <c r="P771" s="1286" t="s">
        <v>830</v>
      </c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  <c r="AF771" s="91"/>
      <c r="AG771" s="91"/>
      <c r="AH771" s="91"/>
      <c r="AI771" s="91"/>
      <c r="AJ771" s="91"/>
      <c r="AK771" s="91"/>
      <c r="AL771" s="91"/>
      <c r="AM771" s="91"/>
      <c r="AN771" s="91"/>
      <c r="AO771" s="91"/>
      <c r="AP771" s="9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91"/>
      <c r="BE771" s="91"/>
      <c r="BF771" s="92"/>
    </row>
    <row r="772" spans="1:139" s="82" customFormat="1" ht="60.75" customHeight="1">
      <c r="A772" s="1184"/>
      <c r="B772" s="1226"/>
      <c r="C772" s="1245"/>
      <c r="D772" s="84">
        <v>2021</v>
      </c>
      <c r="E772" s="85">
        <f t="shared" si="296"/>
        <v>3.4807000000000001</v>
      </c>
      <c r="F772" s="85">
        <v>0</v>
      </c>
      <c r="G772" s="85">
        <v>0</v>
      </c>
      <c r="H772" s="85">
        <v>3.1673</v>
      </c>
      <c r="I772" s="85">
        <v>0</v>
      </c>
      <c r="J772" s="85">
        <v>0.31340000000000001</v>
      </c>
      <c r="K772" s="148">
        <v>0</v>
      </c>
      <c r="L772" s="497">
        <f t="shared" si="294"/>
        <v>3.4807000000000001</v>
      </c>
      <c r="M772" s="99"/>
      <c r="N772" s="88"/>
      <c r="O772" s="89"/>
      <c r="P772" s="1299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  <c r="AF772" s="91"/>
      <c r="AG772" s="91"/>
      <c r="AH772" s="91"/>
      <c r="AI772" s="91"/>
      <c r="AJ772" s="91"/>
      <c r="AK772" s="91"/>
      <c r="AL772" s="91"/>
      <c r="AM772" s="91"/>
      <c r="AN772" s="91"/>
      <c r="AO772" s="91"/>
      <c r="AP772" s="9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91"/>
      <c r="BE772" s="91"/>
      <c r="BF772" s="92"/>
    </row>
    <row r="773" spans="1:139" s="82" customFormat="1" ht="24" customHeight="1">
      <c r="A773" s="1128" t="s">
        <v>1291</v>
      </c>
      <c r="B773" s="1224" t="s">
        <v>1287</v>
      </c>
      <c r="C773" s="1286" t="s">
        <v>1432</v>
      </c>
      <c r="D773" s="84" t="s">
        <v>16</v>
      </c>
      <c r="E773" s="85">
        <f t="shared" si="296"/>
        <v>0.37240000000000001</v>
      </c>
      <c r="F773" s="85">
        <v>0</v>
      </c>
      <c r="G773" s="85">
        <v>0</v>
      </c>
      <c r="H773" s="85">
        <f>H774</f>
        <v>0.35749999999999998</v>
      </c>
      <c r="I773" s="85">
        <v>0</v>
      </c>
      <c r="J773" s="85">
        <f>J774</f>
        <v>1.49E-2</v>
      </c>
      <c r="K773" s="148">
        <v>0</v>
      </c>
      <c r="L773" s="497">
        <f t="shared" si="294"/>
        <v>0.37240000000000001</v>
      </c>
      <c r="M773" s="84"/>
      <c r="N773" s="136"/>
      <c r="O773" s="137"/>
      <c r="P773" s="1297" t="s">
        <v>617</v>
      </c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  <c r="AF773" s="91"/>
      <c r="AG773" s="91"/>
      <c r="AH773" s="91"/>
      <c r="AI773" s="91"/>
      <c r="AJ773" s="91"/>
      <c r="AK773" s="91"/>
      <c r="AL773" s="91"/>
      <c r="AM773" s="91"/>
      <c r="AN773" s="91"/>
      <c r="AO773" s="91"/>
      <c r="AP773" s="9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91"/>
      <c r="BE773" s="91"/>
      <c r="BF773" s="92"/>
      <c r="EI773" s="82" t="s">
        <v>1293</v>
      </c>
    </row>
    <row r="774" spans="1:139" s="82" customFormat="1" ht="46.5" customHeight="1">
      <c r="A774" s="1184"/>
      <c r="B774" s="1226"/>
      <c r="C774" s="1300"/>
      <c r="D774" s="84">
        <v>2021</v>
      </c>
      <c r="E774" s="85">
        <f t="shared" si="296"/>
        <v>0.37240000000000001</v>
      </c>
      <c r="F774" s="85">
        <v>0</v>
      </c>
      <c r="G774" s="85">
        <v>0</v>
      </c>
      <c r="H774" s="85">
        <v>0.35749999999999998</v>
      </c>
      <c r="I774" s="85">
        <v>0</v>
      </c>
      <c r="J774" s="85">
        <v>1.49E-2</v>
      </c>
      <c r="K774" s="148">
        <v>0</v>
      </c>
      <c r="L774" s="497">
        <f t="shared" si="294"/>
        <v>0.37240000000000001</v>
      </c>
      <c r="M774" s="84"/>
      <c r="N774" s="136"/>
      <c r="O774" s="137"/>
      <c r="P774" s="1297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  <c r="AF774" s="91"/>
      <c r="AG774" s="91"/>
      <c r="AH774" s="91"/>
      <c r="AI774" s="91"/>
      <c r="AJ774" s="91"/>
      <c r="AK774" s="91"/>
      <c r="AL774" s="91"/>
      <c r="AM774" s="91"/>
      <c r="AN774" s="91"/>
      <c r="AO774" s="91"/>
      <c r="AP774" s="9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91"/>
      <c r="BE774" s="91"/>
      <c r="BF774" s="92"/>
    </row>
    <row r="775" spans="1:139" s="82" customFormat="1" ht="17.25" customHeight="1">
      <c r="A775" s="1128" t="s">
        <v>1294</v>
      </c>
      <c r="B775" s="1224" t="s">
        <v>1287</v>
      </c>
      <c r="C775" s="1245" t="s">
        <v>1433</v>
      </c>
      <c r="D775" s="84" t="s">
        <v>16</v>
      </c>
      <c r="E775" s="85">
        <f t="shared" si="296"/>
        <v>2.2513000000000001</v>
      </c>
      <c r="F775" s="85">
        <v>0</v>
      </c>
      <c r="G775" s="85">
        <v>0</v>
      </c>
      <c r="H775" s="85">
        <f>H776</f>
        <v>2.2063000000000001</v>
      </c>
      <c r="I775" s="85">
        <v>0</v>
      </c>
      <c r="J775" s="141">
        <f>J776</f>
        <v>4.4999999999999998E-2</v>
      </c>
      <c r="K775" s="148">
        <v>0</v>
      </c>
      <c r="L775" s="497">
        <f t="shared" si="294"/>
        <v>2.2513000000000001</v>
      </c>
      <c r="M775" s="693"/>
      <c r="N775" s="374"/>
      <c r="O775" s="669"/>
      <c r="P775" s="1225" t="s">
        <v>604</v>
      </c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  <c r="AF775" s="91"/>
      <c r="AG775" s="91"/>
      <c r="AH775" s="91"/>
      <c r="AI775" s="91"/>
      <c r="AJ775" s="91"/>
      <c r="AK775" s="91"/>
      <c r="AL775" s="91"/>
      <c r="AM775" s="91"/>
      <c r="AN775" s="91"/>
      <c r="AO775" s="91"/>
      <c r="AP775" s="9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91"/>
      <c r="BE775" s="91"/>
      <c r="BF775" s="92"/>
    </row>
    <row r="776" spans="1:139" s="82" customFormat="1" ht="82.5" customHeight="1">
      <c r="A776" s="1184"/>
      <c r="B776" s="1226"/>
      <c r="C776" s="1245"/>
      <c r="D776" s="84">
        <v>2021</v>
      </c>
      <c r="E776" s="85">
        <f t="shared" si="296"/>
        <v>2.2513000000000001</v>
      </c>
      <c r="F776" s="85">
        <v>0</v>
      </c>
      <c r="G776" s="85">
        <v>0</v>
      </c>
      <c r="H776" s="85">
        <v>2.2063000000000001</v>
      </c>
      <c r="I776" s="85">
        <v>0</v>
      </c>
      <c r="J776" s="85">
        <v>4.4999999999999998E-2</v>
      </c>
      <c r="K776" s="148">
        <v>0</v>
      </c>
      <c r="L776" s="497"/>
      <c r="M776" s="693"/>
      <c r="N776" s="374"/>
      <c r="O776" s="669"/>
      <c r="P776" s="1226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  <c r="AF776" s="91"/>
      <c r="AG776" s="91"/>
      <c r="AH776" s="91"/>
      <c r="AI776" s="91"/>
      <c r="AJ776" s="91"/>
      <c r="AK776" s="91"/>
      <c r="AL776" s="91"/>
      <c r="AM776" s="91"/>
      <c r="AN776" s="91"/>
      <c r="AO776" s="91"/>
      <c r="AP776" s="9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91"/>
      <c r="BE776" s="91"/>
      <c r="BF776" s="92"/>
    </row>
    <row r="777" spans="1:139" s="82" customFormat="1" ht="15" customHeight="1">
      <c r="A777" s="926" t="s">
        <v>1296</v>
      </c>
      <c r="B777" s="1200" t="s">
        <v>864</v>
      </c>
      <c r="C777" s="564"/>
      <c r="D777" s="84" t="s">
        <v>16</v>
      </c>
      <c r="E777" s="85">
        <f t="shared" ref="E777:J777" si="297">SUM(E778:E789)</f>
        <v>1.060351302315008</v>
      </c>
      <c r="F777" s="85">
        <f t="shared" si="297"/>
        <v>1.060351302315008</v>
      </c>
      <c r="G777" s="85">
        <f t="shared" si="297"/>
        <v>0</v>
      </c>
      <c r="H777" s="85">
        <f t="shared" si="297"/>
        <v>0</v>
      </c>
      <c r="I777" s="85">
        <f t="shared" si="297"/>
        <v>0</v>
      </c>
      <c r="J777" s="85">
        <f t="shared" si="297"/>
        <v>0</v>
      </c>
      <c r="K777" s="148">
        <v>0</v>
      </c>
      <c r="L777" s="497">
        <f t="shared" ref="L777:L808" si="298">F777+G777+H777+I777+J777</f>
        <v>1.060351302315008</v>
      </c>
      <c r="M777" s="99"/>
      <c r="N777" s="88"/>
      <c r="O777" s="89"/>
      <c r="P777" s="678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  <c r="AF777" s="91"/>
      <c r="AG777" s="91"/>
      <c r="AH777" s="91"/>
      <c r="AI777" s="91"/>
      <c r="AJ777" s="91"/>
      <c r="AK777" s="91"/>
      <c r="AL777" s="91"/>
      <c r="AM777" s="91"/>
      <c r="AN777" s="91"/>
      <c r="AO777" s="91"/>
      <c r="AP777" s="9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91"/>
      <c r="BE777" s="91"/>
      <c r="BF777" s="92"/>
    </row>
    <row r="778" spans="1:139" s="82" customFormat="1" ht="15" customHeight="1">
      <c r="A778" s="927"/>
      <c r="B778" s="1200"/>
      <c r="C778" s="571"/>
      <c r="D778" s="84">
        <v>2019</v>
      </c>
      <c r="E778" s="85">
        <f t="shared" ref="E778:J778" si="299">E791+E804+E805</f>
        <v>2.0999999999999998E-2</v>
      </c>
      <c r="F778" s="85">
        <f t="shared" si="299"/>
        <v>2.0999999999999998E-2</v>
      </c>
      <c r="G778" s="85">
        <f t="shared" si="299"/>
        <v>0</v>
      </c>
      <c r="H778" s="85">
        <f t="shared" si="299"/>
        <v>0</v>
      </c>
      <c r="I778" s="85">
        <f t="shared" si="299"/>
        <v>0</v>
      </c>
      <c r="J778" s="85">
        <f t="shared" si="299"/>
        <v>0</v>
      </c>
      <c r="K778" s="148">
        <v>0</v>
      </c>
      <c r="L778" s="497">
        <f t="shared" si="298"/>
        <v>2.0999999999999998E-2</v>
      </c>
      <c r="M778" s="99"/>
      <c r="N778" s="88"/>
      <c r="O778" s="89"/>
      <c r="P778" s="678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  <c r="AF778" s="91"/>
      <c r="AG778" s="91"/>
      <c r="AH778" s="91"/>
      <c r="AI778" s="91"/>
      <c r="AJ778" s="91"/>
      <c r="AK778" s="91"/>
      <c r="AL778" s="91"/>
      <c r="AM778" s="91"/>
      <c r="AN778" s="91"/>
      <c r="AO778" s="91"/>
      <c r="AP778" s="9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91"/>
      <c r="BE778" s="91"/>
      <c r="BF778" s="92"/>
    </row>
    <row r="779" spans="1:139" s="82" customFormat="1" ht="15" customHeight="1">
      <c r="A779" s="927"/>
      <c r="B779" s="1200"/>
      <c r="C779" s="571"/>
      <c r="D779" s="84">
        <v>2020</v>
      </c>
      <c r="E779" s="85">
        <f t="shared" ref="E779:E789" si="300">F779</f>
        <v>5.5E-2</v>
      </c>
      <c r="F779" s="85">
        <f>F792+F807</f>
        <v>5.5E-2</v>
      </c>
      <c r="G779" s="85">
        <v>0</v>
      </c>
      <c r="H779" s="85">
        <v>0</v>
      </c>
      <c r="I779" s="85">
        <v>0</v>
      </c>
      <c r="J779" s="85">
        <v>0</v>
      </c>
      <c r="K779" s="148">
        <v>0</v>
      </c>
      <c r="L779" s="497">
        <f t="shared" si="298"/>
        <v>5.5E-2</v>
      </c>
      <c r="M779" s="99"/>
      <c r="N779" s="88"/>
      <c r="O779" s="89"/>
      <c r="P779" s="678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  <c r="AF779" s="91"/>
      <c r="AG779" s="91"/>
      <c r="AH779" s="91"/>
      <c r="AI779" s="91"/>
      <c r="AJ779" s="91"/>
      <c r="AK779" s="91"/>
      <c r="AL779" s="91"/>
      <c r="AM779" s="91"/>
      <c r="AN779" s="91"/>
      <c r="AO779" s="91"/>
      <c r="AP779" s="9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91"/>
      <c r="BE779" s="91"/>
      <c r="BF779" s="92"/>
    </row>
    <row r="780" spans="1:139" s="82" customFormat="1" ht="15" customHeight="1">
      <c r="A780" s="927"/>
      <c r="B780" s="1200"/>
      <c r="C780" s="571"/>
      <c r="D780" s="84">
        <v>2021</v>
      </c>
      <c r="E780" s="85">
        <f t="shared" si="300"/>
        <v>0.09</v>
      </c>
      <c r="F780" s="85">
        <f>F793+F808+F819</f>
        <v>0.09</v>
      </c>
      <c r="G780" s="85">
        <v>0</v>
      </c>
      <c r="H780" s="85">
        <v>0</v>
      </c>
      <c r="I780" s="85">
        <v>0</v>
      </c>
      <c r="J780" s="85">
        <v>0</v>
      </c>
      <c r="K780" s="148">
        <v>0</v>
      </c>
      <c r="L780" s="497">
        <f t="shared" si="298"/>
        <v>0.09</v>
      </c>
      <c r="M780" s="99"/>
      <c r="N780" s="88"/>
      <c r="O780" s="89"/>
      <c r="P780" s="678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  <c r="AF780" s="91"/>
      <c r="AG780" s="91"/>
      <c r="AH780" s="91"/>
      <c r="AI780" s="91"/>
      <c r="AJ780" s="91"/>
      <c r="AK780" s="91"/>
      <c r="AL780" s="91"/>
      <c r="AM780" s="91"/>
      <c r="AN780" s="91"/>
      <c r="AO780" s="91"/>
      <c r="AP780" s="9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91"/>
      <c r="BE780" s="91"/>
      <c r="BF780" s="92"/>
    </row>
    <row r="781" spans="1:139" s="82" customFormat="1" ht="15" customHeight="1">
      <c r="A781" s="927"/>
      <c r="B781" s="1200"/>
      <c r="C781" s="571"/>
      <c r="D781" s="84">
        <v>2022</v>
      </c>
      <c r="E781" s="85">
        <f t="shared" si="300"/>
        <v>0.09</v>
      </c>
      <c r="F781" s="85">
        <f>F794+F809+F820</f>
        <v>0.09</v>
      </c>
      <c r="G781" s="85">
        <v>0</v>
      </c>
      <c r="H781" s="85">
        <v>0</v>
      </c>
      <c r="I781" s="85">
        <v>0</v>
      </c>
      <c r="J781" s="85">
        <v>0</v>
      </c>
      <c r="K781" s="148">
        <v>0</v>
      </c>
      <c r="L781" s="497">
        <f t="shared" si="298"/>
        <v>0.09</v>
      </c>
      <c r="M781" s="99"/>
      <c r="N781" s="88"/>
      <c r="O781" s="89"/>
      <c r="P781" s="678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  <c r="AF781" s="91"/>
      <c r="AG781" s="91"/>
      <c r="AH781" s="91"/>
      <c r="AI781" s="91"/>
      <c r="AJ781" s="91"/>
      <c r="AK781" s="91"/>
      <c r="AL781" s="91"/>
      <c r="AM781" s="91"/>
      <c r="AN781" s="91"/>
      <c r="AO781" s="91"/>
      <c r="AP781" s="9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91"/>
      <c r="BE781" s="91"/>
      <c r="BF781" s="92"/>
    </row>
    <row r="782" spans="1:139" s="82" customFormat="1" ht="15" customHeight="1">
      <c r="A782" s="927"/>
      <c r="B782" s="1200"/>
      <c r="C782" s="571"/>
      <c r="D782" s="84">
        <v>2023</v>
      </c>
      <c r="E782" s="85">
        <f t="shared" si="300"/>
        <v>0.115</v>
      </c>
      <c r="F782" s="85">
        <f>F795+F810+F821</f>
        <v>0.115</v>
      </c>
      <c r="G782" s="85">
        <v>0</v>
      </c>
      <c r="H782" s="85">
        <v>0</v>
      </c>
      <c r="I782" s="85">
        <v>0</v>
      </c>
      <c r="J782" s="85">
        <v>0</v>
      </c>
      <c r="K782" s="148">
        <v>0</v>
      </c>
      <c r="L782" s="497">
        <f t="shared" si="298"/>
        <v>0.115</v>
      </c>
      <c r="M782" s="99"/>
      <c r="N782" s="88"/>
      <c r="O782" s="89"/>
      <c r="P782" s="678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  <c r="AF782" s="91"/>
      <c r="AG782" s="91"/>
      <c r="AH782" s="91"/>
      <c r="AI782" s="91"/>
      <c r="AJ782" s="91"/>
      <c r="AK782" s="91"/>
      <c r="AL782" s="91"/>
      <c r="AM782" s="91"/>
      <c r="AN782" s="91"/>
      <c r="AO782" s="91"/>
      <c r="AP782" s="9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91"/>
      <c r="BE782" s="91"/>
      <c r="BF782" s="92"/>
    </row>
    <row r="783" spans="1:139" s="82" customFormat="1" ht="15" customHeight="1">
      <c r="A783" s="927"/>
      <c r="B783" s="1200"/>
      <c r="C783" s="571"/>
      <c r="D783" s="84">
        <v>2024</v>
      </c>
      <c r="E783" s="85">
        <f t="shared" si="300"/>
        <v>9.8500000000000004E-2</v>
      </c>
      <c r="F783" s="85">
        <f>F796+F811+F822</f>
        <v>9.8500000000000004E-2</v>
      </c>
      <c r="G783" s="85">
        <v>0</v>
      </c>
      <c r="H783" s="85">
        <v>0</v>
      </c>
      <c r="I783" s="85">
        <v>0</v>
      </c>
      <c r="J783" s="85">
        <v>0</v>
      </c>
      <c r="K783" s="148">
        <v>0</v>
      </c>
      <c r="L783" s="497">
        <f t="shared" si="298"/>
        <v>9.8500000000000004E-2</v>
      </c>
      <c r="M783" s="99"/>
      <c r="N783" s="88"/>
      <c r="O783" s="89"/>
      <c r="P783" s="678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  <c r="AF783" s="91"/>
      <c r="AG783" s="91"/>
      <c r="AH783" s="91"/>
      <c r="AI783" s="91"/>
      <c r="AJ783" s="91"/>
      <c r="AK783" s="91"/>
      <c r="AL783" s="91"/>
      <c r="AM783" s="91"/>
      <c r="AN783" s="91"/>
      <c r="AO783" s="91"/>
      <c r="AP783" s="9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91"/>
      <c r="BE783" s="91"/>
      <c r="BF783" s="92"/>
    </row>
    <row r="784" spans="1:139" s="82" customFormat="1" ht="15" customHeight="1">
      <c r="A784" s="927"/>
      <c r="B784" s="1200"/>
      <c r="C784" s="571"/>
      <c r="D784" s="84">
        <v>2025</v>
      </c>
      <c r="E784" s="85">
        <f t="shared" si="300"/>
        <v>0.10087</v>
      </c>
      <c r="F784" s="85">
        <f>F797+F812+F823</f>
        <v>0.10087</v>
      </c>
      <c r="G784" s="85">
        <v>0</v>
      </c>
      <c r="H784" s="85">
        <v>0</v>
      </c>
      <c r="I784" s="85">
        <v>0</v>
      </c>
      <c r="J784" s="85">
        <v>0</v>
      </c>
      <c r="K784" s="148">
        <v>0</v>
      </c>
      <c r="L784" s="497">
        <f t="shared" si="298"/>
        <v>0.10087</v>
      </c>
      <c r="M784" s="99"/>
      <c r="N784" s="88"/>
      <c r="O784" s="89"/>
      <c r="P784" s="678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  <c r="AF784" s="91"/>
      <c r="AG784" s="91"/>
      <c r="AH784" s="91"/>
      <c r="AI784" s="91"/>
      <c r="AJ784" s="91"/>
      <c r="AK784" s="91"/>
      <c r="AL784" s="91"/>
      <c r="AM784" s="91"/>
      <c r="AN784" s="91"/>
      <c r="AO784" s="91"/>
      <c r="AP784" s="9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91"/>
      <c r="BE784" s="91"/>
      <c r="BF784" s="92"/>
    </row>
    <row r="785" spans="1:58" s="82" customFormat="1" ht="15" customHeight="1">
      <c r="A785" s="927"/>
      <c r="B785" s="1200"/>
      <c r="C785" s="571"/>
      <c r="D785" s="84">
        <v>2026</v>
      </c>
      <c r="E785" s="85">
        <f t="shared" si="300"/>
        <v>9.1616799999999998E-2</v>
      </c>
      <c r="F785" s="85">
        <f>F798+F813</f>
        <v>9.1616799999999998E-2</v>
      </c>
      <c r="G785" s="85">
        <v>0</v>
      </c>
      <c r="H785" s="85">
        <v>0</v>
      </c>
      <c r="I785" s="85">
        <v>0</v>
      </c>
      <c r="J785" s="85">
        <v>0</v>
      </c>
      <c r="K785" s="148">
        <v>0</v>
      </c>
      <c r="L785" s="497">
        <f t="shared" si="298"/>
        <v>9.1616799999999998E-2</v>
      </c>
      <c r="M785" s="99"/>
      <c r="N785" s="88"/>
      <c r="O785" s="89"/>
      <c r="P785" s="678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  <c r="AF785" s="91"/>
      <c r="AG785" s="91"/>
      <c r="AH785" s="91"/>
      <c r="AI785" s="91"/>
      <c r="AJ785" s="91"/>
      <c r="AK785" s="91"/>
      <c r="AL785" s="91"/>
      <c r="AM785" s="91"/>
      <c r="AN785" s="91"/>
      <c r="AO785" s="91"/>
      <c r="AP785" s="9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91"/>
      <c r="BE785" s="91"/>
      <c r="BF785" s="92"/>
    </row>
    <row r="786" spans="1:58" s="82" customFormat="1" ht="15" customHeight="1">
      <c r="A786" s="927"/>
      <c r="B786" s="1200"/>
      <c r="C786" s="571"/>
      <c r="D786" s="84">
        <v>2027</v>
      </c>
      <c r="E786" s="85">
        <f t="shared" si="300"/>
        <v>9.4681472000000003E-2</v>
      </c>
      <c r="F786" s="85">
        <f>F799+F814</f>
        <v>9.4681472000000003E-2</v>
      </c>
      <c r="G786" s="85">
        <v>0</v>
      </c>
      <c r="H786" s="85">
        <v>0</v>
      </c>
      <c r="I786" s="85">
        <v>0</v>
      </c>
      <c r="J786" s="85">
        <v>0</v>
      </c>
      <c r="K786" s="148">
        <v>0</v>
      </c>
      <c r="L786" s="497">
        <f t="shared" si="298"/>
        <v>9.4681472000000003E-2</v>
      </c>
      <c r="M786" s="99"/>
      <c r="N786" s="88"/>
      <c r="O786" s="89"/>
      <c r="P786" s="678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  <c r="AF786" s="91"/>
      <c r="AG786" s="91"/>
      <c r="AH786" s="91"/>
      <c r="AI786" s="91"/>
      <c r="AJ786" s="91"/>
      <c r="AK786" s="91"/>
      <c r="AL786" s="91"/>
      <c r="AM786" s="91"/>
      <c r="AN786" s="91"/>
      <c r="AO786" s="91"/>
      <c r="AP786" s="9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91"/>
      <c r="BE786" s="91"/>
      <c r="BF786" s="92"/>
    </row>
    <row r="787" spans="1:58" s="82" customFormat="1" ht="15" customHeight="1">
      <c r="A787" s="927"/>
      <c r="B787" s="1200"/>
      <c r="C787" s="571"/>
      <c r="D787" s="84">
        <v>2028</v>
      </c>
      <c r="E787" s="85">
        <f t="shared" si="300"/>
        <v>9.7868730880000004E-2</v>
      </c>
      <c r="F787" s="85">
        <f>F800+F815</f>
        <v>9.7868730880000004E-2</v>
      </c>
      <c r="G787" s="85">
        <v>0</v>
      </c>
      <c r="H787" s="85">
        <v>0</v>
      </c>
      <c r="I787" s="85">
        <v>0</v>
      </c>
      <c r="J787" s="85">
        <v>0</v>
      </c>
      <c r="K787" s="148">
        <v>0</v>
      </c>
      <c r="L787" s="497">
        <f t="shared" si="298"/>
        <v>9.7868730880000004E-2</v>
      </c>
      <c r="M787" s="99"/>
      <c r="N787" s="88"/>
      <c r="O787" s="89"/>
      <c r="P787" s="678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  <c r="AF787" s="91"/>
      <c r="AG787" s="91"/>
      <c r="AH787" s="91"/>
      <c r="AI787" s="91"/>
      <c r="AJ787" s="91"/>
      <c r="AK787" s="91"/>
      <c r="AL787" s="91"/>
      <c r="AM787" s="91"/>
      <c r="AN787" s="91"/>
      <c r="AO787" s="91"/>
      <c r="AP787" s="9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  <c r="BF787" s="92"/>
    </row>
    <row r="788" spans="1:58" s="82" customFormat="1" ht="15" customHeight="1">
      <c r="A788" s="927"/>
      <c r="B788" s="1200"/>
      <c r="C788" s="571"/>
      <c r="D788" s="84">
        <v>2029</v>
      </c>
      <c r="E788" s="85">
        <f t="shared" si="300"/>
        <v>0.10118348011520001</v>
      </c>
      <c r="F788" s="85">
        <f>F801+F816</f>
        <v>0.10118348011520001</v>
      </c>
      <c r="G788" s="85">
        <v>0</v>
      </c>
      <c r="H788" s="85">
        <v>0</v>
      </c>
      <c r="I788" s="85">
        <v>0</v>
      </c>
      <c r="J788" s="85">
        <v>0</v>
      </c>
      <c r="K788" s="148">
        <v>0</v>
      </c>
      <c r="L788" s="497">
        <f t="shared" si="298"/>
        <v>0.10118348011520001</v>
      </c>
      <c r="M788" s="99"/>
      <c r="N788" s="88"/>
      <c r="O788" s="89"/>
      <c r="P788" s="678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  <c r="AF788" s="91"/>
      <c r="AG788" s="91"/>
      <c r="AH788" s="91"/>
      <c r="AI788" s="91"/>
      <c r="AJ788" s="91"/>
      <c r="AK788" s="91"/>
      <c r="AL788" s="91"/>
      <c r="AM788" s="91"/>
      <c r="AN788" s="91"/>
      <c r="AO788" s="91"/>
      <c r="AP788" s="9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91"/>
      <c r="BE788" s="91"/>
      <c r="BF788" s="92"/>
    </row>
    <row r="789" spans="1:58" s="82" customFormat="1" ht="15" customHeight="1">
      <c r="A789" s="927"/>
      <c r="B789" s="1200"/>
      <c r="C789" s="571"/>
      <c r="D789" s="84">
        <v>2030</v>
      </c>
      <c r="E789" s="85">
        <f t="shared" si="300"/>
        <v>0.10463081931980801</v>
      </c>
      <c r="F789" s="85">
        <f>F802+F817</f>
        <v>0.10463081931980801</v>
      </c>
      <c r="G789" s="85">
        <v>0</v>
      </c>
      <c r="H789" s="85">
        <v>0</v>
      </c>
      <c r="I789" s="85">
        <v>0</v>
      </c>
      <c r="J789" s="85">
        <v>0</v>
      </c>
      <c r="K789" s="148">
        <v>0</v>
      </c>
      <c r="L789" s="497">
        <f t="shared" si="298"/>
        <v>0.10463081931980801</v>
      </c>
      <c r="M789" s="99"/>
      <c r="N789" s="88"/>
      <c r="O789" s="89"/>
      <c r="P789" s="678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  <c r="AF789" s="91"/>
      <c r="AG789" s="91"/>
      <c r="AH789" s="91"/>
      <c r="AI789" s="91"/>
      <c r="AJ789" s="91"/>
      <c r="AK789" s="91"/>
      <c r="AL789" s="91"/>
      <c r="AM789" s="91"/>
      <c r="AN789" s="91"/>
      <c r="AO789" s="91"/>
      <c r="AP789" s="9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91"/>
      <c r="BE789" s="91"/>
      <c r="BF789" s="92"/>
    </row>
    <row r="790" spans="1:58" s="82" customFormat="1">
      <c r="A790" s="1069" t="s">
        <v>1297</v>
      </c>
      <c r="B790" s="1261" t="s">
        <v>866</v>
      </c>
      <c r="C790" s="611"/>
      <c r="D790" s="84" t="s">
        <v>16</v>
      </c>
      <c r="E790" s="85">
        <f t="shared" ref="E790:J790" si="301">SUM(E791:E802)</f>
        <v>0.23000000000000009</v>
      </c>
      <c r="F790" s="85">
        <f t="shared" si="301"/>
        <v>0.23000000000000009</v>
      </c>
      <c r="G790" s="85">
        <f t="shared" si="301"/>
        <v>0</v>
      </c>
      <c r="H790" s="85">
        <f t="shared" si="301"/>
        <v>0</v>
      </c>
      <c r="I790" s="85">
        <f t="shared" si="301"/>
        <v>0</v>
      </c>
      <c r="J790" s="85">
        <f t="shared" si="301"/>
        <v>0</v>
      </c>
      <c r="K790" s="148">
        <v>0</v>
      </c>
      <c r="L790" s="497">
        <f t="shared" si="298"/>
        <v>0.23000000000000009</v>
      </c>
      <c r="M790" s="99"/>
      <c r="N790" s="88"/>
      <c r="O790" s="89"/>
      <c r="P790" s="678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  <c r="AF790" s="91"/>
      <c r="AG790" s="91"/>
      <c r="AH790" s="91"/>
      <c r="AI790" s="91"/>
      <c r="AJ790" s="91"/>
      <c r="AK790" s="91"/>
      <c r="AL790" s="91"/>
      <c r="AM790" s="91"/>
      <c r="AN790" s="91"/>
      <c r="AO790" s="91"/>
      <c r="AP790" s="9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91"/>
      <c r="BE790" s="91"/>
      <c r="BF790" s="92"/>
    </row>
    <row r="791" spans="1:58" s="82" customFormat="1" ht="69" customHeight="1">
      <c r="A791" s="941"/>
      <c r="B791" s="960"/>
      <c r="C791" s="634" t="s">
        <v>867</v>
      </c>
      <c r="D791" s="84">
        <v>2019</v>
      </c>
      <c r="E791" s="85">
        <f t="shared" ref="E791:E802" si="302">F791</f>
        <v>0.01</v>
      </c>
      <c r="F791" s="529">
        <v>0.01</v>
      </c>
      <c r="G791" s="529">
        <v>0</v>
      </c>
      <c r="H791" s="529">
        <v>0</v>
      </c>
      <c r="I791" s="529">
        <v>0</v>
      </c>
      <c r="J791" s="529">
        <v>0</v>
      </c>
      <c r="K791" s="148">
        <v>0</v>
      </c>
      <c r="L791" s="497">
        <f t="shared" si="298"/>
        <v>0.01</v>
      </c>
      <c r="M791" s="698"/>
      <c r="N791" s="88"/>
      <c r="O791" s="89"/>
      <c r="P791" s="1286" t="s">
        <v>352</v>
      </c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  <c r="AF791" s="91"/>
      <c r="AG791" s="91"/>
      <c r="AH791" s="91"/>
      <c r="AI791" s="91"/>
      <c r="AJ791" s="91"/>
      <c r="AK791" s="91"/>
      <c r="AL791" s="91"/>
      <c r="AM791" s="91"/>
      <c r="AN791" s="91"/>
      <c r="AO791" s="91"/>
      <c r="AP791" s="9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91"/>
      <c r="BE791" s="91"/>
      <c r="BF791" s="92"/>
    </row>
    <row r="792" spans="1:58" s="82" customFormat="1" ht="22.5" customHeight="1">
      <c r="A792" s="941"/>
      <c r="B792" s="960"/>
      <c r="C792" s="1224" t="s">
        <v>868</v>
      </c>
      <c r="D792" s="84">
        <v>2020</v>
      </c>
      <c r="E792" s="85">
        <f t="shared" si="302"/>
        <v>0.01</v>
      </c>
      <c r="F792" s="529">
        <v>0.01</v>
      </c>
      <c r="G792" s="529">
        <v>0</v>
      </c>
      <c r="H792" s="529">
        <v>0</v>
      </c>
      <c r="I792" s="529">
        <v>0</v>
      </c>
      <c r="J792" s="529">
        <v>0</v>
      </c>
      <c r="K792" s="148">
        <v>0</v>
      </c>
      <c r="L792" s="497">
        <f t="shared" si="298"/>
        <v>0.01</v>
      </c>
      <c r="M792" s="698"/>
      <c r="N792" s="88"/>
      <c r="O792" s="89"/>
      <c r="P792" s="1300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  <c r="AF792" s="91"/>
      <c r="AG792" s="91"/>
      <c r="AH792" s="91"/>
      <c r="AI792" s="91"/>
      <c r="AJ792" s="91"/>
      <c r="AK792" s="91"/>
      <c r="AL792" s="91"/>
      <c r="AM792" s="91"/>
      <c r="AN792" s="91"/>
      <c r="AO792" s="91"/>
      <c r="AP792" s="9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91"/>
      <c r="BE792" s="91"/>
      <c r="BF792" s="92"/>
    </row>
    <row r="793" spans="1:58" s="82" customFormat="1" ht="22.5" customHeight="1">
      <c r="A793" s="941"/>
      <c r="B793" s="960"/>
      <c r="C793" s="1225"/>
      <c r="D793" s="84">
        <v>2021</v>
      </c>
      <c r="E793" s="85">
        <f t="shared" si="302"/>
        <v>3.5000000000000003E-2</v>
      </c>
      <c r="F793" s="529">
        <v>3.5000000000000003E-2</v>
      </c>
      <c r="G793" s="529">
        <v>0</v>
      </c>
      <c r="H793" s="529">
        <v>0</v>
      </c>
      <c r="I793" s="529">
        <v>0</v>
      </c>
      <c r="J793" s="529">
        <v>0</v>
      </c>
      <c r="K793" s="148">
        <v>0</v>
      </c>
      <c r="L793" s="497">
        <f t="shared" si="298"/>
        <v>3.5000000000000003E-2</v>
      </c>
      <c r="M793" s="698"/>
      <c r="N793" s="88"/>
      <c r="O793" s="89"/>
      <c r="P793" s="1300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  <c r="AF793" s="91"/>
      <c r="AG793" s="91"/>
      <c r="AH793" s="91"/>
      <c r="AI793" s="91"/>
      <c r="AJ793" s="91"/>
      <c r="AK793" s="91"/>
      <c r="AL793" s="91"/>
      <c r="AM793" s="91"/>
      <c r="AN793" s="91"/>
      <c r="AO793" s="91"/>
      <c r="AP793" s="9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91"/>
      <c r="BE793" s="91"/>
      <c r="BF793" s="92"/>
    </row>
    <row r="794" spans="1:58" s="82" customFormat="1" ht="22.5" customHeight="1">
      <c r="A794" s="941"/>
      <c r="B794" s="960"/>
      <c r="C794" s="1225"/>
      <c r="D794" s="84">
        <v>2022</v>
      </c>
      <c r="E794" s="85">
        <f t="shared" si="302"/>
        <v>3.5000000000000003E-2</v>
      </c>
      <c r="F794" s="529">
        <v>3.5000000000000003E-2</v>
      </c>
      <c r="G794" s="529">
        <v>0</v>
      </c>
      <c r="H794" s="529">
        <v>0</v>
      </c>
      <c r="I794" s="529">
        <v>0</v>
      </c>
      <c r="J794" s="529">
        <v>0</v>
      </c>
      <c r="K794" s="148">
        <v>0</v>
      </c>
      <c r="L794" s="497">
        <f t="shared" si="298"/>
        <v>3.5000000000000003E-2</v>
      </c>
      <c r="M794" s="698"/>
      <c r="N794" s="88"/>
      <c r="O794" s="89"/>
      <c r="P794" s="1300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  <c r="AF794" s="91"/>
      <c r="AG794" s="91"/>
      <c r="AH794" s="91"/>
      <c r="AI794" s="91"/>
      <c r="AJ794" s="91"/>
      <c r="AK794" s="91"/>
      <c r="AL794" s="91"/>
      <c r="AM794" s="91"/>
      <c r="AN794" s="91"/>
      <c r="AO794" s="91"/>
      <c r="AP794" s="9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91"/>
      <c r="BE794" s="91"/>
      <c r="BF794" s="92"/>
    </row>
    <row r="795" spans="1:58" s="82" customFormat="1" ht="22.5" customHeight="1">
      <c r="A795" s="941"/>
      <c r="B795" s="960"/>
      <c r="C795" s="1225"/>
      <c r="D795" s="84">
        <v>2023</v>
      </c>
      <c r="E795" s="85">
        <f t="shared" si="302"/>
        <v>3.5000000000000003E-2</v>
      </c>
      <c r="F795" s="529">
        <v>3.5000000000000003E-2</v>
      </c>
      <c r="G795" s="529">
        <v>0</v>
      </c>
      <c r="H795" s="529">
        <v>0</v>
      </c>
      <c r="I795" s="529">
        <v>0</v>
      </c>
      <c r="J795" s="529">
        <v>0</v>
      </c>
      <c r="K795" s="148">
        <v>0</v>
      </c>
      <c r="L795" s="497">
        <f t="shared" si="298"/>
        <v>3.5000000000000003E-2</v>
      </c>
      <c r="M795" s="698"/>
      <c r="N795" s="88"/>
      <c r="O795" s="89"/>
      <c r="P795" s="1300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  <c r="AF795" s="91"/>
      <c r="AG795" s="91"/>
      <c r="AH795" s="91"/>
      <c r="AI795" s="91"/>
      <c r="AJ795" s="91"/>
      <c r="AK795" s="91"/>
      <c r="AL795" s="91"/>
      <c r="AM795" s="91"/>
      <c r="AN795" s="91"/>
      <c r="AO795" s="91"/>
      <c r="AP795" s="9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91"/>
      <c r="BE795" s="91"/>
      <c r="BF795" s="92"/>
    </row>
    <row r="796" spans="1:58" s="82" customFormat="1" ht="22.5" customHeight="1">
      <c r="A796" s="941"/>
      <c r="B796" s="960"/>
      <c r="C796" s="1225"/>
      <c r="D796" s="84">
        <v>2024</v>
      </c>
      <c r="E796" s="85">
        <f t="shared" si="302"/>
        <v>1.4999999999999999E-2</v>
      </c>
      <c r="F796" s="529">
        <v>1.4999999999999999E-2</v>
      </c>
      <c r="G796" s="529">
        <v>0</v>
      </c>
      <c r="H796" s="529">
        <v>0</v>
      </c>
      <c r="I796" s="529">
        <v>0</v>
      </c>
      <c r="J796" s="529">
        <v>0</v>
      </c>
      <c r="K796" s="148">
        <v>0</v>
      </c>
      <c r="L796" s="497">
        <f t="shared" si="298"/>
        <v>1.4999999999999999E-2</v>
      </c>
      <c r="M796" s="698"/>
      <c r="N796" s="88"/>
      <c r="O796" s="89"/>
      <c r="P796" s="1300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  <c r="AF796" s="91"/>
      <c r="AG796" s="91"/>
      <c r="AH796" s="91"/>
      <c r="AI796" s="91"/>
      <c r="AJ796" s="91"/>
      <c r="AK796" s="91"/>
      <c r="AL796" s="91"/>
      <c r="AM796" s="91"/>
      <c r="AN796" s="91"/>
      <c r="AO796" s="91"/>
      <c r="AP796" s="9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91"/>
      <c r="BE796" s="91"/>
      <c r="BF796" s="92"/>
    </row>
    <row r="797" spans="1:58" s="82" customFormat="1" ht="22.5" customHeight="1">
      <c r="A797" s="941"/>
      <c r="B797" s="960"/>
      <c r="C797" s="1225"/>
      <c r="D797" s="84">
        <v>2025</v>
      </c>
      <c r="E797" s="85">
        <f t="shared" si="302"/>
        <v>1.4999999999999999E-2</v>
      </c>
      <c r="F797" s="529">
        <v>1.4999999999999999E-2</v>
      </c>
      <c r="G797" s="529">
        <v>0</v>
      </c>
      <c r="H797" s="529">
        <v>0</v>
      </c>
      <c r="I797" s="529">
        <v>0</v>
      </c>
      <c r="J797" s="529">
        <v>0</v>
      </c>
      <c r="K797" s="148">
        <v>0</v>
      </c>
      <c r="L797" s="497">
        <f t="shared" si="298"/>
        <v>1.4999999999999999E-2</v>
      </c>
      <c r="M797" s="698"/>
      <c r="N797" s="88"/>
      <c r="O797" s="89"/>
      <c r="P797" s="1300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  <c r="AF797" s="91"/>
      <c r="AG797" s="91"/>
      <c r="AH797" s="91"/>
      <c r="AI797" s="91"/>
      <c r="AJ797" s="91"/>
      <c r="AK797" s="91"/>
      <c r="AL797" s="91"/>
      <c r="AM797" s="91"/>
      <c r="AN797" s="91"/>
      <c r="AO797" s="91"/>
      <c r="AP797" s="9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91"/>
      <c r="BE797" s="91"/>
      <c r="BF797" s="92"/>
    </row>
    <row r="798" spans="1:58" s="82" customFormat="1" ht="22.5" customHeight="1">
      <c r="A798" s="941"/>
      <c r="B798" s="960"/>
      <c r="C798" s="1225"/>
      <c r="D798" s="84">
        <v>2026</v>
      </c>
      <c r="E798" s="85">
        <f t="shared" si="302"/>
        <v>1.4999999999999999E-2</v>
      </c>
      <c r="F798" s="529">
        <v>1.4999999999999999E-2</v>
      </c>
      <c r="G798" s="529">
        <v>0</v>
      </c>
      <c r="H798" s="529">
        <v>0</v>
      </c>
      <c r="I798" s="529">
        <v>0</v>
      </c>
      <c r="J798" s="529">
        <v>0</v>
      </c>
      <c r="K798" s="148">
        <v>0</v>
      </c>
      <c r="L798" s="497">
        <f t="shared" si="298"/>
        <v>1.4999999999999999E-2</v>
      </c>
      <c r="M798" s="698"/>
      <c r="N798" s="88"/>
      <c r="O798" s="89"/>
      <c r="P798" s="1300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  <c r="AF798" s="91"/>
      <c r="AG798" s="91"/>
      <c r="AH798" s="91"/>
      <c r="AI798" s="91"/>
      <c r="AJ798" s="91"/>
      <c r="AK798" s="91"/>
      <c r="AL798" s="91"/>
      <c r="AM798" s="91"/>
      <c r="AN798" s="91"/>
      <c r="AO798" s="91"/>
      <c r="AP798" s="9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91"/>
      <c r="BE798" s="91"/>
      <c r="BF798" s="92"/>
    </row>
    <row r="799" spans="1:58" s="82" customFormat="1" ht="22.5" customHeight="1">
      <c r="A799" s="941"/>
      <c r="B799" s="960"/>
      <c r="C799" s="1225"/>
      <c r="D799" s="84">
        <v>2027</v>
      </c>
      <c r="E799" s="85">
        <f t="shared" si="302"/>
        <v>1.4999999999999999E-2</v>
      </c>
      <c r="F799" s="529">
        <v>1.4999999999999999E-2</v>
      </c>
      <c r="G799" s="529">
        <v>0</v>
      </c>
      <c r="H799" s="529">
        <v>0</v>
      </c>
      <c r="I799" s="529">
        <v>0</v>
      </c>
      <c r="J799" s="529">
        <v>0</v>
      </c>
      <c r="K799" s="148">
        <v>0</v>
      </c>
      <c r="L799" s="497">
        <f t="shared" si="298"/>
        <v>1.4999999999999999E-2</v>
      </c>
      <c r="M799" s="698"/>
      <c r="N799" s="88"/>
      <c r="O799" s="89"/>
      <c r="P799" s="1300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  <c r="AF799" s="91"/>
      <c r="AG799" s="91"/>
      <c r="AH799" s="91"/>
      <c r="AI799" s="91"/>
      <c r="AJ799" s="91"/>
      <c r="AK799" s="91"/>
      <c r="AL799" s="91"/>
      <c r="AM799" s="91"/>
      <c r="AN799" s="91"/>
      <c r="AO799" s="91"/>
      <c r="AP799" s="9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91"/>
      <c r="BE799" s="91"/>
      <c r="BF799" s="92"/>
    </row>
    <row r="800" spans="1:58" s="82" customFormat="1" ht="22.5" customHeight="1">
      <c r="A800" s="941"/>
      <c r="B800" s="960"/>
      <c r="C800" s="1225"/>
      <c r="D800" s="84">
        <v>2028</v>
      </c>
      <c r="E800" s="85">
        <f t="shared" si="302"/>
        <v>1.4999999999999999E-2</v>
      </c>
      <c r="F800" s="529">
        <v>1.4999999999999999E-2</v>
      </c>
      <c r="G800" s="529">
        <v>0</v>
      </c>
      <c r="H800" s="529">
        <v>0</v>
      </c>
      <c r="I800" s="529">
        <v>0</v>
      </c>
      <c r="J800" s="529">
        <v>0</v>
      </c>
      <c r="K800" s="148">
        <v>0</v>
      </c>
      <c r="L800" s="497">
        <f t="shared" si="298"/>
        <v>1.4999999999999999E-2</v>
      </c>
      <c r="M800" s="698"/>
      <c r="N800" s="88"/>
      <c r="O800" s="89"/>
      <c r="P800" s="1300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  <c r="AF800" s="91"/>
      <c r="AG800" s="91"/>
      <c r="AH800" s="91"/>
      <c r="AI800" s="91"/>
      <c r="AJ800" s="91"/>
      <c r="AK800" s="91"/>
      <c r="AL800" s="91"/>
      <c r="AM800" s="91"/>
      <c r="AN800" s="91"/>
      <c r="AO800" s="91"/>
      <c r="AP800" s="9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91"/>
      <c r="BE800" s="91"/>
      <c r="BF800" s="92"/>
    </row>
    <row r="801" spans="1:58" s="82" customFormat="1" ht="22.5" customHeight="1">
      <c r="A801" s="941"/>
      <c r="B801" s="960"/>
      <c r="C801" s="1225"/>
      <c r="D801" s="84">
        <v>2029</v>
      </c>
      <c r="E801" s="85">
        <f t="shared" si="302"/>
        <v>1.4999999999999999E-2</v>
      </c>
      <c r="F801" s="529">
        <v>1.4999999999999999E-2</v>
      </c>
      <c r="G801" s="529">
        <v>0</v>
      </c>
      <c r="H801" s="529">
        <v>0</v>
      </c>
      <c r="I801" s="529">
        <v>0</v>
      </c>
      <c r="J801" s="529">
        <v>0</v>
      </c>
      <c r="K801" s="148">
        <v>0</v>
      </c>
      <c r="L801" s="497">
        <f t="shared" si="298"/>
        <v>1.4999999999999999E-2</v>
      </c>
      <c r="M801" s="698"/>
      <c r="N801" s="88"/>
      <c r="O801" s="89"/>
      <c r="P801" s="1300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  <c r="AF801" s="91"/>
      <c r="AG801" s="91"/>
      <c r="AH801" s="91"/>
      <c r="AI801" s="91"/>
      <c r="AJ801" s="91"/>
      <c r="AK801" s="91"/>
      <c r="AL801" s="91"/>
      <c r="AM801" s="91"/>
      <c r="AN801" s="91"/>
      <c r="AO801" s="91"/>
      <c r="AP801" s="9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91"/>
      <c r="BE801" s="91"/>
      <c r="BF801" s="92"/>
    </row>
    <row r="802" spans="1:58" s="82" customFormat="1" ht="22.5" customHeight="1">
      <c r="A802" s="942"/>
      <c r="B802" s="961"/>
      <c r="C802" s="1226"/>
      <c r="D802" s="84">
        <v>2030</v>
      </c>
      <c r="E802" s="85">
        <f t="shared" si="302"/>
        <v>1.4999999999999999E-2</v>
      </c>
      <c r="F802" s="529">
        <v>1.4999999999999999E-2</v>
      </c>
      <c r="G802" s="529">
        <v>0</v>
      </c>
      <c r="H802" s="529">
        <v>0</v>
      </c>
      <c r="I802" s="529">
        <v>0</v>
      </c>
      <c r="J802" s="529">
        <v>0</v>
      </c>
      <c r="K802" s="148">
        <v>0</v>
      </c>
      <c r="L802" s="497">
        <f t="shared" si="298"/>
        <v>1.4999999999999999E-2</v>
      </c>
      <c r="M802" s="698"/>
      <c r="N802" s="88"/>
      <c r="O802" s="89"/>
      <c r="P802" s="1299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  <c r="AF802" s="91"/>
      <c r="AG802" s="91"/>
      <c r="AH802" s="91"/>
      <c r="AI802" s="91"/>
      <c r="AJ802" s="91"/>
      <c r="AK802" s="91"/>
      <c r="AL802" s="91"/>
      <c r="AM802" s="91"/>
      <c r="AN802" s="91"/>
      <c r="AO802" s="91"/>
      <c r="AP802" s="9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91"/>
      <c r="BE802" s="91"/>
      <c r="BF802" s="92"/>
    </row>
    <row r="803" spans="1:58" s="82" customFormat="1">
      <c r="A803" s="1069" t="s">
        <v>888</v>
      </c>
      <c r="B803" s="1080" t="s">
        <v>870</v>
      </c>
      <c r="C803" s="583"/>
      <c r="D803" s="84" t="s">
        <v>16</v>
      </c>
      <c r="E803" s="85">
        <f t="shared" ref="E803:J803" si="303">SUM(SUM(E804:E804))</f>
        <v>1.0999999999999999E-2</v>
      </c>
      <c r="F803" s="85">
        <f t="shared" si="303"/>
        <v>1.0999999999999999E-2</v>
      </c>
      <c r="G803" s="85">
        <f t="shared" si="303"/>
        <v>0</v>
      </c>
      <c r="H803" s="85">
        <f t="shared" si="303"/>
        <v>0</v>
      </c>
      <c r="I803" s="85">
        <f t="shared" si="303"/>
        <v>0</v>
      </c>
      <c r="J803" s="85">
        <f t="shared" si="303"/>
        <v>0</v>
      </c>
      <c r="K803" s="148">
        <v>0</v>
      </c>
      <c r="L803" s="497">
        <f t="shared" si="298"/>
        <v>1.0999999999999999E-2</v>
      </c>
      <c r="M803" s="99"/>
      <c r="N803" s="88"/>
      <c r="O803" s="89"/>
      <c r="P803" s="1242" t="s">
        <v>352</v>
      </c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  <c r="AF803" s="91"/>
      <c r="AG803" s="91"/>
      <c r="AH803" s="91"/>
      <c r="AI803" s="91"/>
      <c r="AJ803" s="91"/>
      <c r="AK803" s="91"/>
      <c r="AL803" s="91"/>
      <c r="AM803" s="91"/>
      <c r="AN803" s="91"/>
      <c r="AO803" s="91"/>
      <c r="AP803" s="9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91"/>
      <c r="BE803" s="91"/>
      <c r="BF803" s="92"/>
    </row>
    <row r="804" spans="1:58" s="82" customFormat="1" ht="63.75">
      <c r="A804" s="1271"/>
      <c r="B804" s="1288"/>
      <c r="C804" s="634" t="s">
        <v>867</v>
      </c>
      <c r="D804" s="84">
        <v>2019</v>
      </c>
      <c r="E804" s="85">
        <f>F804+G804+H804+I804+J804</f>
        <v>1.0999999999999999E-2</v>
      </c>
      <c r="F804" s="85">
        <v>1.0999999999999999E-2</v>
      </c>
      <c r="G804" s="85">
        <v>0</v>
      </c>
      <c r="H804" s="85">
        <v>0</v>
      </c>
      <c r="I804" s="85">
        <v>0</v>
      </c>
      <c r="J804" s="85">
        <v>0</v>
      </c>
      <c r="K804" s="148">
        <v>0</v>
      </c>
      <c r="L804" s="497">
        <f t="shared" si="298"/>
        <v>1.0999999999999999E-2</v>
      </c>
      <c r="M804" s="99"/>
      <c r="N804" s="88"/>
      <c r="O804" s="89"/>
      <c r="P804" s="1264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  <c r="AF804" s="91"/>
      <c r="AG804" s="91"/>
      <c r="AH804" s="91"/>
      <c r="AI804" s="91"/>
      <c r="AJ804" s="91"/>
      <c r="AK804" s="91"/>
      <c r="AL804" s="91"/>
      <c r="AM804" s="91"/>
      <c r="AN804" s="91"/>
      <c r="AO804" s="91"/>
      <c r="AP804" s="9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91"/>
      <c r="BE804" s="91"/>
      <c r="BF804" s="92"/>
    </row>
    <row r="805" spans="1:58" s="82" customFormat="1" ht="69" customHeight="1">
      <c r="A805" s="663" t="s">
        <v>892</v>
      </c>
      <c r="B805" s="390" t="s">
        <v>872</v>
      </c>
      <c r="C805" s="634" t="s">
        <v>867</v>
      </c>
      <c r="D805" s="84">
        <v>2019</v>
      </c>
      <c r="E805" s="85">
        <f>F805+G805+H805+I805+J805</f>
        <v>0</v>
      </c>
      <c r="F805" s="85">
        <v>0</v>
      </c>
      <c r="G805" s="85">
        <v>0</v>
      </c>
      <c r="H805" s="85">
        <v>0</v>
      </c>
      <c r="I805" s="85">
        <v>0</v>
      </c>
      <c r="J805" s="85">
        <v>0</v>
      </c>
      <c r="K805" s="148">
        <v>0</v>
      </c>
      <c r="L805" s="497">
        <f t="shared" si="298"/>
        <v>0</v>
      </c>
      <c r="M805" s="99"/>
      <c r="N805" s="88"/>
      <c r="O805" s="89"/>
      <c r="P805" s="1300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  <c r="AF805" s="91"/>
      <c r="AG805" s="91"/>
      <c r="AH805" s="91"/>
      <c r="AI805" s="91"/>
      <c r="AJ805" s="91"/>
      <c r="AK805" s="91"/>
      <c r="AL805" s="91"/>
      <c r="AM805" s="91"/>
      <c r="AN805" s="91"/>
      <c r="AO805" s="91"/>
      <c r="AP805" s="9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91"/>
      <c r="BE805" s="91"/>
      <c r="BF805" s="92"/>
    </row>
    <row r="806" spans="1:58" s="82" customFormat="1" ht="19.5" customHeight="1">
      <c r="A806" s="1069" t="s">
        <v>896</v>
      </c>
      <c r="B806" s="1080" t="s">
        <v>874</v>
      </c>
      <c r="C806" s="1224" t="s">
        <v>1434</v>
      </c>
      <c r="D806" s="84" t="s">
        <v>16</v>
      </c>
      <c r="E806" s="85">
        <f t="shared" ref="E806:J806" si="304">E807+E808+E809+E810+E811+E812+E813+E814+E815+E816+E817</f>
        <v>0.76545130231500813</v>
      </c>
      <c r="F806" s="85">
        <f t="shared" si="304"/>
        <v>0.76545130231500813</v>
      </c>
      <c r="G806" s="85">
        <f t="shared" si="304"/>
        <v>0</v>
      </c>
      <c r="H806" s="85">
        <f t="shared" si="304"/>
        <v>0</v>
      </c>
      <c r="I806" s="85">
        <f t="shared" si="304"/>
        <v>0</v>
      </c>
      <c r="J806" s="85">
        <f t="shared" si="304"/>
        <v>0</v>
      </c>
      <c r="K806" s="148">
        <v>0</v>
      </c>
      <c r="L806" s="497">
        <f t="shared" si="298"/>
        <v>0.76545130231500813</v>
      </c>
      <c r="M806" s="99"/>
      <c r="N806" s="88"/>
      <c r="O806" s="89"/>
      <c r="P806" s="1300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  <c r="AF806" s="91"/>
      <c r="AG806" s="91"/>
      <c r="AH806" s="91"/>
      <c r="AI806" s="91"/>
      <c r="AJ806" s="91"/>
      <c r="AK806" s="91"/>
      <c r="AL806" s="91"/>
      <c r="AM806" s="91"/>
      <c r="AN806" s="91"/>
      <c r="AO806" s="91"/>
      <c r="AP806" s="9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91"/>
      <c r="BE806" s="91"/>
      <c r="BF806" s="92"/>
    </row>
    <row r="807" spans="1:58" s="82" customFormat="1" ht="14.25" customHeight="1">
      <c r="A807" s="1271"/>
      <c r="B807" s="1261"/>
      <c r="C807" s="1225"/>
      <c r="D807" s="84">
        <v>2020</v>
      </c>
      <c r="E807" s="85">
        <f t="shared" ref="E807:E817" si="305">F807+G807+H807+I807+J807</f>
        <v>4.4999999999999998E-2</v>
      </c>
      <c r="F807" s="85">
        <v>4.4999999999999998E-2</v>
      </c>
      <c r="G807" s="85">
        <v>0</v>
      </c>
      <c r="H807" s="85">
        <v>0</v>
      </c>
      <c r="I807" s="85">
        <v>0</v>
      </c>
      <c r="J807" s="85">
        <v>0</v>
      </c>
      <c r="K807" s="148">
        <v>0</v>
      </c>
      <c r="L807" s="497">
        <f t="shared" si="298"/>
        <v>4.4999999999999998E-2</v>
      </c>
      <c r="M807" s="99"/>
      <c r="N807" s="88"/>
      <c r="O807" s="89"/>
      <c r="P807" s="1300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  <c r="AF807" s="91"/>
      <c r="AG807" s="91"/>
      <c r="AH807" s="91"/>
      <c r="AI807" s="91"/>
      <c r="AJ807" s="91"/>
      <c r="AK807" s="91"/>
      <c r="AL807" s="91"/>
      <c r="AM807" s="91"/>
      <c r="AN807" s="91"/>
      <c r="AO807" s="91"/>
      <c r="AP807" s="9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91"/>
      <c r="BE807" s="91"/>
      <c r="BF807" s="92"/>
    </row>
    <row r="808" spans="1:58" s="82" customFormat="1" ht="15.75" customHeight="1">
      <c r="A808" s="1271"/>
      <c r="B808" s="1261"/>
      <c r="C808" s="1225"/>
      <c r="D808" s="84">
        <v>2021</v>
      </c>
      <c r="E808" s="85">
        <f t="shared" si="305"/>
        <v>4.4999999999999998E-2</v>
      </c>
      <c r="F808" s="85">
        <v>4.4999999999999998E-2</v>
      </c>
      <c r="G808" s="85">
        <v>0</v>
      </c>
      <c r="H808" s="85">
        <v>0</v>
      </c>
      <c r="I808" s="85">
        <v>0</v>
      </c>
      <c r="J808" s="85">
        <v>0</v>
      </c>
      <c r="K808" s="148">
        <v>0</v>
      </c>
      <c r="L808" s="497">
        <f t="shared" si="298"/>
        <v>4.4999999999999998E-2</v>
      </c>
      <c r="M808" s="99"/>
      <c r="N808" s="88"/>
      <c r="O808" s="89"/>
      <c r="P808" s="1300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  <c r="AF808" s="91"/>
      <c r="AG808" s="91"/>
      <c r="AH808" s="91"/>
      <c r="AI808" s="91"/>
      <c r="AJ808" s="91"/>
      <c r="AK808" s="91"/>
      <c r="AL808" s="91"/>
      <c r="AM808" s="91"/>
      <c r="AN808" s="91"/>
      <c r="AO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  <c r="BF808" s="92"/>
    </row>
    <row r="809" spans="1:58" s="82" customFormat="1" ht="17.25" customHeight="1">
      <c r="A809" s="1271"/>
      <c r="B809" s="1261"/>
      <c r="C809" s="1225"/>
      <c r="D809" s="84">
        <v>2022</v>
      </c>
      <c r="E809" s="85">
        <f t="shared" si="305"/>
        <v>4.4999999999999998E-2</v>
      </c>
      <c r="F809" s="85">
        <v>4.4999999999999998E-2</v>
      </c>
      <c r="G809" s="85">
        <v>0</v>
      </c>
      <c r="H809" s="85">
        <v>0</v>
      </c>
      <c r="I809" s="85">
        <v>0</v>
      </c>
      <c r="J809" s="85">
        <v>0</v>
      </c>
      <c r="K809" s="148">
        <v>0</v>
      </c>
      <c r="L809" s="497">
        <f t="shared" ref="L809:L840" si="306">F809+G809+H809+I809+J809</f>
        <v>4.4999999999999998E-2</v>
      </c>
      <c r="M809" s="99"/>
      <c r="N809" s="88"/>
      <c r="O809" s="89"/>
      <c r="P809" s="1300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  <c r="AF809" s="91"/>
      <c r="AG809" s="91"/>
      <c r="AH809" s="91"/>
      <c r="AI809" s="91"/>
      <c r="AJ809" s="91"/>
      <c r="AK809" s="91"/>
      <c r="AL809" s="91"/>
      <c r="AM809" s="91"/>
      <c r="AN809" s="91"/>
      <c r="AO809" s="91"/>
      <c r="AP809" s="9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91"/>
      <c r="BE809" s="91"/>
      <c r="BF809" s="92"/>
    </row>
    <row r="810" spans="1:58" s="82" customFormat="1" ht="15.75" customHeight="1">
      <c r="A810" s="1271"/>
      <c r="B810" s="1261"/>
      <c r="C810" s="1225"/>
      <c r="D810" s="84">
        <v>2023</v>
      </c>
      <c r="E810" s="85">
        <f t="shared" si="305"/>
        <v>7.0000000000000007E-2</v>
      </c>
      <c r="F810" s="85">
        <f>70/1000</f>
        <v>7.0000000000000007E-2</v>
      </c>
      <c r="G810" s="85">
        <v>0</v>
      </c>
      <c r="H810" s="85">
        <v>0</v>
      </c>
      <c r="I810" s="85">
        <v>0</v>
      </c>
      <c r="J810" s="85">
        <v>0</v>
      </c>
      <c r="K810" s="148">
        <v>0</v>
      </c>
      <c r="L810" s="497">
        <f t="shared" si="306"/>
        <v>7.0000000000000007E-2</v>
      </c>
      <c r="M810" s="99"/>
      <c r="N810" s="88"/>
      <c r="O810" s="89"/>
      <c r="P810" s="1300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  <c r="AF810" s="91"/>
      <c r="AG810" s="91"/>
      <c r="AH810" s="91"/>
      <c r="AI810" s="91"/>
      <c r="AJ810" s="91"/>
      <c r="AK810" s="91"/>
      <c r="AL810" s="91"/>
      <c r="AM810" s="91"/>
      <c r="AN810" s="91"/>
      <c r="AO810" s="91"/>
      <c r="AP810" s="9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91"/>
      <c r="BE810" s="91"/>
      <c r="BF810" s="92"/>
    </row>
    <row r="811" spans="1:58" s="82" customFormat="1" ht="16.5" customHeight="1">
      <c r="A811" s="1271"/>
      <c r="B811" s="1261"/>
      <c r="C811" s="1225"/>
      <c r="D811" s="84">
        <v>2024</v>
      </c>
      <c r="E811" s="85">
        <f t="shared" si="305"/>
        <v>7.1800000000000003E-2</v>
      </c>
      <c r="F811" s="85">
        <f>71.8/1000</f>
        <v>7.1800000000000003E-2</v>
      </c>
      <c r="G811" s="85">
        <v>0</v>
      </c>
      <c r="H811" s="85">
        <v>0</v>
      </c>
      <c r="I811" s="85">
        <v>0</v>
      </c>
      <c r="J811" s="85">
        <v>0</v>
      </c>
      <c r="K811" s="148">
        <v>0</v>
      </c>
      <c r="L811" s="497">
        <f t="shared" si="306"/>
        <v>7.1800000000000003E-2</v>
      </c>
      <c r="M811" s="99"/>
      <c r="N811" s="88"/>
      <c r="O811" s="89"/>
      <c r="P811" s="1300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  <c r="AF811" s="91"/>
      <c r="AG811" s="91"/>
      <c r="AH811" s="91"/>
      <c r="AI811" s="91"/>
      <c r="AJ811" s="91"/>
      <c r="AK811" s="91"/>
      <c r="AL811" s="91"/>
      <c r="AM811" s="91"/>
      <c r="AN811" s="91"/>
      <c r="AO811" s="91"/>
      <c r="AP811" s="9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91"/>
      <c r="BE811" s="91"/>
      <c r="BF811" s="92"/>
    </row>
    <row r="812" spans="1:58" s="82" customFormat="1" ht="15.75" customHeight="1">
      <c r="A812" s="1271"/>
      <c r="B812" s="1261"/>
      <c r="C812" s="1226"/>
      <c r="D812" s="84">
        <v>2025</v>
      </c>
      <c r="E812" s="85">
        <f t="shared" si="305"/>
        <v>7.3669999999999999E-2</v>
      </c>
      <c r="F812" s="85">
        <f>73.67/1000</f>
        <v>7.3669999999999999E-2</v>
      </c>
      <c r="G812" s="85">
        <v>0</v>
      </c>
      <c r="H812" s="85">
        <v>0</v>
      </c>
      <c r="I812" s="85">
        <v>0</v>
      </c>
      <c r="J812" s="85">
        <v>0</v>
      </c>
      <c r="K812" s="148">
        <v>0</v>
      </c>
      <c r="L812" s="497">
        <f t="shared" si="306"/>
        <v>7.3669999999999999E-2</v>
      </c>
      <c r="M812" s="99"/>
      <c r="N812" s="88"/>
      <c r="O812" s="89"/>
      <c r="P812" s="1300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  <c r="AF812" s="91"/>
      <c r="AG812" s="91"/>
      <c r="AH812" s="91"/>
      <c r="AI812" s="91"/>
      <c r="AJ812" s="91"/>
      <c r="AK812" s="91"/>
      <c r="AL812" s="91"/>
      <c r="AM812" s="91"/>
      <c r="AN812" s="91"/>
      <c r="AO812" s="91"/>
      <c r="AP812" s="9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91"/>
      <c r="BE812" s="91"/>
      <c r="BF812" s="92"/>
    </row>
    <row r="813" spans="1:58" s="82" customFormat="1" ht="19.5" customHeight="1">
      <c r="A813" s="1271"/>
      <c r="B813" s="1261"/>
      <c r="C813" s="1224" t="s">
        <v>876</v>
      </c>
      <c r="D813" s="84">
        <v>2026</v>
      </c>
      <c r="E813" s="85">
        <f t="shared" si="305"/>
        <v>7.6616799999999999E-2</v>
      </c>
      <c r="F813" s="85">
        <f>F812*1.04</f>
        <v>7.6616799999999999E-2</v>
      </c>
      <c r="G813" s="85">
        <v>0</v>
      </c>
      <c r="H813" s="85">
        <v>0</v>
      </c>
      <c r="I813" s="85">
        <v>0</v>
      </c>
      <c r="J813" s="85">
        <v>0</v>
      </c>
      <c r="K813" s="148">
        <v>0</v>
      </c>
      <c r="L813" s="497">
        <f t="shared" si="306"/>
        <v>7.6616799999999999E-2</v>
      </c>
      <c r="M813" s="99"/>
      <c r="N813" s="88"/>
      <c r="O813" s="89"/>
      <c r="P813" s="1300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  <c r="AF813" s="91"/>
      <c r="AG813" s="91"/>
      <c r="AH813" s="91"/>
      <c r="AI813" s="91"/>
      <c r="AJ813" s="91"/>
      <c r="AK813" s="91"/>
      <c r="AL813" s="91"/>
      <c r="AM813" s="91"/>
      <c r="AN813" s="91"/>
      <c r="AO813" s="91"/>
      <c r="AP813" s="9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91"/>
      <c r="BE813" s="91"/>
      <c r="BF813" s="92"/>
    </row>
    <row r="814" spans="1:58" s="82" customFormat="1" ht="19.5" customHeight="1">
      <c r="A814" s="1271"/>
      <c r="B814" s="1261"/>
      <c r="C814" s="1225"/>
      <c r="D814" s="84">
        <v>2027</v>
      </c>
      <c r="E814" s="85">
        <f t="shared" si="305"/>
        <v>7.9681472000000003E-2</v>
      </c>
      <c r="F814" s="85">
        <f>F813*1.04</f>
        <v>7.9681472000000003E-2</v>
      </c>
      <c r="G814" s="85">
        <v>0</v>
      </c>
      <c r="H814" s="85">
        <v>0</v>
      </c>
      <c r="I814" s="85">
        <v>0</v>
      </c>
      <c r="J814" s="85">
        <v>0</v>
      </c>
      <c r="K814" s="148">
        <v>0</v>
      </c>
      <c r="L814" s="497">
        <f t="shared" si="306"/>
        <v>7.9681472000000003E-2</v>
      </c>
      <c r="M814" s="99"/>
      <c r="N814" s="88"/>
      <c r="O814" s="89"/>
      <c r="P814" s="1300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  <c r="AF814" s="91"/>
      <c r="AG814" s="91"/>
      <c r="AH814" s="91"/>
      <c r="AI814" s="91"/>
      <c r="AJ814" s="91"/>
      <c r="AK814" s="91"/>
      <c r="AL814" s="91"/>
      <c r="AM814" s="91"/>
      <c r="AN814" s="91"/>
      <c r="AO814" s="91"/>
      <c r="AP814" s="9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91"/>
      <c r="BE814" s="91"/>
      <c r="BF814" s="92"/>
    </row>
    <row r="815" spans="1:58" s="82" customFormat="1" ht="19.5" customHeight="1">
      <c r="A815" s="1271"/>
      <c r="B815" s="1261"/>
      <c r="C815" s="1225"/>
      <c r="D815" s="84">
        <v>2028</v>
      </c>
      <c r="E815" s="85">
        <f t="shared" si="305"/>
        <v>8.2868730880000005E-2</v>
      </c>
      <c r="F815" s="85">
        <f>F814*1.04</f>
        <v>8.2868730880000005E-2</v>
      </c>
      <c r="G815" s="85">
        <v>0</v>
      </c>
      <c r="H815" s="85">
        <v>0</v>
      </c>
      <c r="I815" s="85">
        <v>0</v>
      </c>
      <c r="J815" s="85">
        <v>0</v>
      </c>
      <c r="K815" s="148">
        <v>0</v>
      </c>
      <c r="L815" s="497">
        <f t="shared" si="306"/>
        <v>8.2868730880000005E-2</v>
      </c>
      <c r="M815" s="99"/>
      <c r="N815" s="88"/>
      <c r="O815" s="89"/>
      <c r="P815" s="1300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  <c r="AF815" s="91"/>
      <c r="AG815" s="91"/>
      <c r="AH815" s="91"/>
      <c r="AI815" s="91"/>
      <c r="AJ815" s="91"/>
      <c r="AK815" s="91"/>
      <c r="AL815" s="91"/>
      <c r="AM815" s="91"/>
      <c r="AN815" s="91"/>
      <c r="AO815" s="91"/>
      <c r="AP815" s="9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91"/>
      <c r="BE815" s="91"/>
      <c r="BF815" s="92"/>
    </row>
    <row r="816" spans="1:58" s="82" customFormat="1" ht="19.5" customHeight="1">
      <c r="A816" s="1271"/>
      <c r="B816" s="1261"/>
      <c r="C816" s="1225"/>
      <c r="D816" s="84">
        <v>2029</v>
      </c>
      <c r="E816" s="85">
        <f t="shared" si="305"/>
        <v>8.6183480115200009E-2</v>
      </c>
      <c r="F816" s="85">
        <f>F815*1.04</f>
        <v>8.6183480115200009E-2</v>
      </c>
      <c r="G816" s="85">
        <v>0</v>
      </c>
      <c r="H816" s="85">
        <v>0</v>
      </c>
      <c r="I816" s="85">
        <v>0</v>
      </c>
      <c r="J816" s="85">
        <v>0</v>
      </c>
      <c r="K816" s="148">
        <v>0</v>
      </c>
      <c r="L816" s="497">
        <f t="shared" si="306"/>
        <v>8.6183480115200009E-2</v>
      </c>
      <c r="M816" s="99"/>
      <c r="N816" s="88"/>
      <c r="O816" s="89"/>
      <c r="P816" s="1300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  <c r="AF816" s="91"/>
      <c r="AG816" s="91"/>
      <c r="AH816" s="91"/>
      <c r="AI816" s="91"/>
      <c r="AJ816" s="91"/>
      <c r="AK816" s="91"/>
      <c r="AL816" s="91"/>
      <c r="AM816" s="91"/>
      <c r="AN816" s="91"/>
      <c r="AO816" s="91"/>
      <c r="AP816" s="9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91"/>
      <c r="BE816" s="91"/>
      <c r="BF816" s="92"/>
    </row>
    <row r="817" spans="1:58" s="82" customFormat="1" ht="19.5" customHeight="1">
      <c r="A817" s="1301"/>
      <c r="B817" s="1288"/>
      <c r="C817" s="1226"/>
      <c r="D817" s="84">
        <v>2030</v>
      </c>
      <c r="E817" s="85">
        <f t="shared" si="305"/>
        <v>8.9630819319808014E-2</v>
      </c>
      <c r="F817" s="85">
        <f>F816*1.04</f>
        <v>8.9630819319808014E-2</v>
      </c>
      <c r="G817" s="85">
        <v>0</v>
      </c>
      <c r="H817" s="85">
        <v>0</v>
      </c>
      <c r="I817" s="85">
        <v>0</v>
      </c>
      <c r="J817" s="85">
        <v>0</v>
      </c>
      <c r="K817" s="148">
        <v>0</v>
      </c>
      <c r="L817" s="497">
        <f t="shared" si="306"/>
        <v>8.9630819319808014E-2</v>
      </c>
      <c r="M817" s="99"/>
      <c r="N817" s="88"/>
      <c r="O817" s="89"/>
      <c r="P817" s="1299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  <c r="AF817" s="91"/>
      <c r="AG817" s="91"/>
      <c r="AH817" s="91"/>
      <c r="AI817" s="91"/>
      <c r="AJ817" s="91"/>
      <c r="AK817" s="91"/>
      <c r="AL817" s="91"/>
      <c r="AM817" s="91"/>
      <c r="AN817" s="91"/>
      <c r="AO817" s="91"/>
      <c r="AP817" s="9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91"/>
      <c r="BE817" s="91"/>
      <c r="BF817" s="92"/>
    </row>
    <row r="818" spans="1:58" s="82" customFormat="1" ht="19.5" customHeight="1">
      <c r="A818" s="1069" t="s">
        <v>1298</v>
      </c>
      <c r="B818" s="1224" t="s">
        <v>1299</v>
      </c>
      <c r="C818" s="1224" t="s">
        <v>1434</v>
      </c>
      <c r="D818" s="84" t="s">
        <v>16</v>
      </c>
      <c r="E818" s="85">
        <f t="shared" ref="E818:J818" si="307">E819+E820+E821+E822+E823</f>
        <v>5.3900000000000003E-2</v>
      </c>
      <c r="F818" s="85">
        <f t="shared" si="307"/>
        <v>5.3900000000000003E-2</v>
      </c>
      <c r="G818" s="85">
        <f t="shared" si="307"/>
        <v>0</v>
      </c>
      <c r="H818" s="85">
        <f t="shared" si="307"/>
        <v>0</v>
      </c>
      <c r="I818" s="85">
        <f t="shared" si="307"/>
        <v>0</v>
      </c>
      <c r="J818" s="85">
        <f t="shared" si="307"/>
        <v>0</v>
      </c>
      <c r="K818" s="148">
        <v>0</v>
      </c>
      <c r="L818" s="497">
        <f t="shared" si="306"/>
        <v>5.3900000000000003E-2</v>
      </c>
      <c r="M818" s="99"/>
      <c r="N818" s="88"/>
      <c r="O818" s="89"/>
      <c r="P818" s="678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  <c r="AF818" s="91"/>
      <c r="AG818" s="91"/>
      <c r="AH818" s="91"/>
      <c r="AI818" s="91"/>
      <c r="AJ818" s="91"/>
      <c r="AK818" s="91"/>
      <c r="AL818" s="91"/>
      <c r="AM818" s="91"/>
      <c r="AN818" s="91"/>
      <c r="AO818" s="91"/>
      <c r="AP818" s="9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91"/>
      <c r="BE818" s="91"/>
      <c r="BF818" s="92"/>
    </row>
    <row r="819" spans="1:58" s="82" customFormat="1" ht="19.5" customHeight="1">
      <c r="A819" s="1271"/>
      <c r="B819" s="1225"/>
      <c r="C819" s="1225"/>
      <c r="D819" s="84">
        <v>2021</v>
      </c>
      <c r="E819" s="85">
        <f>F819+G819+H819+I819+J819</f>
        <v>0.01</v>
      </c>
      <c r="F819" s="85">
        <v>0.01</v>
      </c>
      <c r="G819" s="85">
        <v>0</v>
      </c>
      <c r="H819" s="85">
        <v>0</v>
      </c>
      <c r="I819" s="85">
        <v>0</v>
      </c>
      <c r="J819" s="85">
        <v>0</v>
      </c>
      <c r="K819" s="148">
        <v>0</v>
      </c>
      <c r="L819" s="497">
        <f t="shared" si="306"/>
        <v>0.01</v>
      </c>
      <c r="M819" s="99"/>
      <c r="N819" s="88"/>
      <c r="O819" s="89"/>
      <c r="P819" s="678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  <c r="AF819" s="91"/>
      <c r="AG819" s="91"/>
      <c r="AH819" s="91"/>
      <c r="AI819" s="91"/>
      <c r="AJ819" s="91"/>
      <c r="AK819" s="91"/>
      <c r="AL819" s="91"/>
      <c r="AM819" s="91"/>
      <c r="AN819" s="91"/>
      <c r="AO819" s="91"/>
      <c r="AP819" s="9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91"/>
      <c r="BE819" s="91"/>
      <c r="BF819" s="92"/>
    </row>
    <row r="820" spans="1:58" s="82" customFormat="1" ht="19.5" customHeight="1">
      <c r="A820" s="1271"/>
      <c r="B820" s="1225"/>
      <c r="C820" s="1225"/>
      <c r="D820" s="84">
        <v>2022</v>
      </c>
      <c r="E820" s="85">
        <f>F820+G820+H820+I820+J820</f>
        <v>0.01</v>
      </c>
      <c r="F820" s="85">
        <v>0.01</v>
      </c>
      <c r="G820" s="85">
        <v>0</v>
      </c>
      <c r="H820" s="85">
        <v>0</v>
      </c>
      <c r="I820" s="85">
        <v>0</v>
      </c>
      <c r="J820" s="85">
        <v>0</v>
      </c>
      <c r="K820" s="148">
        <v>0</v>
      </c>
      <c r="L820" s="497">
        <f t="shared" si="306"/>
        <v>0.01</v>
      </c>
      <c r="M820" s="99"/>
      <c r="N820" s="88"/>
      <c r="O820" s="89"/>
      <c r="P820" s="678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  <c r="AF820" s="91"/>
      <c r="AG820" s="91"/>
      <c r="AH820" s="91"/>
      <c r="AI820" s="91"/>
      <c r="AJ820" s="91"/>
      <c r="AK820" s="91"/>
      <c r="AL820" s="91"/>
      <c r="AM820" s="91"/>
      <c r="AN820" s="91"/>
      <c r="AO820" s="91"/>
      <c r="AP820" s="9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91"/>
      <c r="BE820" s="91"/>
      <c r="BF820" s="92"/>
    </row>
    <row r="821" spans="1:58" s="82" customFormat="1" ht="19.5" customHeight="1">
      <c r="A821" s="1271"/>
      <c r="B821" s="1225"/>
      <c r="C821" s="1225"/>
      <c r="D821" s="84">
        <v>2023</v>
      </c>
      <c r="E821" s="85">
        <f>F821+G821+H821+I821+J821</f>
        <v>0.01</v>
      </c>
      <c r="F821" s="85">
        <v>0.01</v>
      </c>
      <c r="G821" s="85">
        <v>0</v>
      </c>
      <c r="H821" s="85">
        <v>0</v>
      </c>
      <c r="I821" s="85">
        <v>0</v>
      </c>
      <c r="J821" s="85">
        <v>0</v>
      </c>
      <c r="K821" s="148">
        <v>0</v>
      </c>
      <c r="L821" s="497">
        <f t="shared" si="306"/>
        <v>0.01</v>
      </c>
      <c r="M821" s="99"/>
      <c r="N821" s="88"/>
      <c r="O821" s="89"/>
      <c r="P821" s="678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  <c r="AF821" s="91"/>
      <c r="AG821" s="91"/>
      <c r="AH821" s="91"/>
      <c r="AI821" s="91"/>
      <c r="AJ821" s="91"/>
      <c r="AK821" s="91"/>
      <c r="AL821" s="91"/>
      <c r="AM821" s="91"/>
      <c r="AN821" s="91"/>
      <c r="AO821" s="91"/>
      <c r="AP821" s="9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91"/>
      <c r="BE821" s="91"/>
      <c r="BF821" s="92"/>
    </row>
    <row r="822" spans="1:58" s="82" customFormat="1" ht="19.5" customHeight="1">
      <c r="A822" s="1271"/>
      <c r="B822" s="1225"/>
      <c r="C822" s="1225"/>
      <c r="D822" s="84">
        <v>2024</v>
      </c>
      <c r="E822" s="85">
        <f>F822+G822+H822+I822+J822</f>
        <v>1.17E-2</v>
      </c>
      <c r="F822" s="85">
        <v>1.17E-2</v>
      </c>
      <c r="G822" s="85">
        <v>0</v>
      </c>
      <c r="H822" s="85">
        <v>0</v>
      </c>
      <c r="I822" s="85">
        <v>0</v>
      </c>
      <c r="J822" s="85">
        <v>0</v>
      </c>
      <c r="K822" s="148">
        <v>0</v>
      </c>
      <c r="L822" s="497">
        <f t="shared" si="306"/>
        <v>1.17E-2</v>
      </c>
      <c r="M822" s="99"/>
      <c r="N822" s="88"/>
      <c r="O822" s="89"/>
      <c r="P822" s="678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  <c r="AF822" s="91"/>
      <c r="AG822" s="91"/>
      <c r="AH822" s="91"/>
      <c r="AI822" s="91"/>
      <c r="AJ822" s="91"/>
      <c r="AK822" s="91"/>
      <c r="AL822" s="91"/>
      <c r="AM822" s="91"/>
      <c r="AN822" s="91"/>
      <c r="AO822" s="91"/>
      <c r="AP822" s="9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91"/>
      <c r="BE822" s="91"/>
      <c r="BF822" s="92"/>
    </row>
    <row r="823" spans="1:58" s="82" customFormat="1" ht="19.5" customHeight="1">
      <c r="A823" s="1271"/>
      <c r="B823" s="1225"/>
      <c r="C823" s="1226"/>
      <c r="D823" s="84">
        <v>2025</v>
      </c>
      <c r="E823" s="85">
        <f>F823+G823+H823+I823+J823</f>
        <v>1.2200000000000001E-2</v>
      </c>
      <c r="F823" s="85">
        <v>1.2200000000000001E-2</v>
      </c>
      <c r="G823" s="85">
        <v>0</v>
      </c>
      <c r="H823" s="85">
        <v>0</v>
      </c>
      <c r="I823" s="85">
        <v>0</v>
      </c>
      <c r="J823" s="85">
        <v>0</v>
      </c>
      <c r="K823" s="148">
        <v>0</v>
      </c>
      <c r="L823" s="497">
        <f t="shared" si="306"/>
        <v>1.2200000000000001E-2</v>
      </c>
      <c r="M823" s="99"/>
      <c r="N823" s="88"/>
      <c r="O823" s="89"/>
      <c r="P823" s="678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  <c r="AF823" s="91"/>
      <c r="AG823" s="91"/>
      <c r="AH823" s="91"/>
      <c r="AI823" s="91"/>
      <c r="AJ823" s="91"/>
      <c r="AK823" s="91"/>
      <c r="AL823" s="91"/>
      <c r="AM823" s="91"/>
      <c r="AN823" s="91"/>
      <c r="AO823" s="91"/>
      <c r="AP823" s="9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91"/>
      <c r="BE823" s="91"/>
      <c r="BF823" s="92"/>
    </row>
    <row r="824" spans="1:58" s="82" customFormat="1" ht="19.5" customHeight="1">
      <c r="A824" s="1271"/>
      <c r="B824" s="1225"/>
      <c r="C824" s="1224" t="s">
        <v>876</v>
      </c>
      <c r="D824" s="84">
        <v>2026</v>
      </c>
      <c r="E824" s="85">
        <f>F824</f>
        <v>1.2688000000000001E-2</v>
      </c>
      <c r="F824" s="85">
        <f>F823*1.04</f>
        <v>1.2688000000000001E-2</v>
      </c>
      <c r="G824" s="85">
        <v>0</v>
      </c>
      <c r="H824" s="85">
        <v>0</v>
      </c>
      <c r="I824" s="85">
        <v>0</v>
      </c>
      <c r="J824" s="85">
        <v>0</v>
      </c>
      <c r="K824" s="148">
        <v>0</v>
      </c>
      <c r="L824" s="497">
        <f t="shared" si="306"/>
        <v>1.2688000000000001E-2</v>
      </c>
      <c r="M824" s="99"/>
      <c r="N824" s="88"/>
      <c r="O824" s="89"/>
      <c r="P824" s="678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  <c r="AF824" s="91"/>
      <c r="AG824" s="91"/>
      <c r="AH824" s="91"/>
      <c r="AI824" s="91"/>
      <c r="AJ824" s="91"/>
      <c r="AK824" s="91"/>
      <c r="AL824" s="91"/>
      <c r="AM824" s="91"/>
      <c r="AN824" s="91"/>
      <c r="AO824" s="91"/>
      <c r="AP824" s="9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91"/>
      <c r="BE824" s="91"/>
      <c r="BF824" s="92"/>
    </row>
    <row r="825" spans="1:58" s="82" customFormat="1" ht="19.5" customHeight="1">
      <c r="A825" s="1271"/>
      <c r="B825" s="1225"/>
      <c r="C825" s="1225"/>
      <c r="D825" s="84">
        <v>2027</v>
      </c>
      <c r="E825" s="85">
        <f>F825</f>
        <v>1.3195520000000002E-2</v>
      </c>
      <c r="F825" s="85">
        <f>F824*1.04</f>
        <v>1.3195520000000002E-2</v>
      </c>
      <c r="G825" s="85">
        <v>0</v>
      </c>
      <c r="H825" s="85">
        <v>0</v>
      </c>
      <c r="I825" s="85">
        <v>0</v>
      </c>
      <c r="J825" s="85">
        <v>0</v>
      </c>
      <c r="K825" s="148">
        <v>0</v>
      </c>
      <c r="L825" s="497">
        <f t="shared" si="306"/>
        <v>1.3195520000000002E-2</v>
      </c>
      <c r="M825" s="99"/>
      <c r="N825" s="88"/>
      <c r="O825" s="89"/>
      <c r="P825" s="678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  <c r="AF825" s="91"/>
      <c r="AG825" s="91"/>
      <c r="AH825" s="91"/>
      <c r="AI825" s="91"/>
      <c r="AJ825" s="91"/>
      <c r="AK825" s="91"/>
      <c r="AL825" s="91"/>
      <c r="AM825" s="91"/>
      <c r="AN825" s="91"/>
      <c r="AO825" s="91"/>
      <c r="AP825" s="9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91"/>
      <c r="BE825" s="91"/>
      <c r="BF825" s="92"/>
    </row>
    <row r="826" spans="1:58" s="82" customFormat="1" ht="19.5" customHeight="1">
      <c r="A826" s="1271"/>
      <c r="B826" s="1225"/>
      <c r="C826" s="1225"/>
      <c r="D826" s="84">
        <v>2028</v>
      </c>
      <c r="E826" s="85">
        <f>F826</f>
        <v>1.3723340800000003E-2</v>
      </c>
      <c r="F826" s="85">
        <f>F825*1.04</f>
        <v>1.3723340800000003E-2</v>
      </c>
      <c r="G826" s="85">
        <v>0</v>
      </c>
      <c r="H826" s="85">
        <v>0</v>
      </c>
      <c r="I826" s="85">
        <v>0</v>
      </c>
      <c r="J826" s="85">
        <v>0</v>
      </c>
      <c r="K826" s="148">
        <v>0</v>
      </c>
      <c r="L826" s="497">
        <f t="shared" si="306"/>
        <v>1.3723340800000003E-2</v>
      </c>
      <c r="M826" s="99"/>
      <c r="N826" s="88"/>
      <c r="O826" s="89"/>
      <c r="P826" s="678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  <c r="AF826" s="91"/>
      <c r="AG826" s="91"/>
      <c r="AH826" s="91"/>
      <c r="AI826" s="91"/>
      <c r="AJ826" s="91"/>
      <c r="AK826" s="91"/>
      <c r="AL826" s="91"/>
      <c r="AM826" s="91"/>
      <c r="AN826" s="91"/>
      <c r="AO826" s="91"/>
      <c r="AP826" s="9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91"/>
      <c r="BE826" s="91"/>
      <c r="BF826" s="92"/>
    </row>
    <row r="827" spans="1:58" s="82" customFormat="1" ht="19.5" customHeight="1">
      <c r="A827" s="1271"/>
      <c r="B827" s="1225"/>
      <c r="C827" s="1225"/>
      <c r="D827" s="84">
        <v>2029</v>
      </c>
      <c r="E827" s="85">
        <f>F827</f>
        <v>1.4272274432000003E-2</v>
      </c>
      <c r="F827" s="85">
        <f>F826*1.04</f>
        <v>1.4272274432000003E-2</v>
      </c>
      <c r="G827" s="85">
        <v>0</v>
      </c>
      <c r="H827" s="85">
        <v>0</v>
      </c>
      <c r="I827" s="85">
        <v>0</v>
      </c>
      <c r="J827" s="85">
        <v>0</v>
      </c>
      <c r="K827" s="148">
        <v>0</v>
      </c>
      <c r="L827" s="497">
        <f t="shared" si="306"/>
        <v>1.4272274432000003E-2</v>
      </c>
      <c r="M827" s="99"/>
      <c r="N827" s="88"/>
      <c r="O827" s="89"/>
      <c r="P827" s="678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  <c r="AF827" s="91"/>
      <c r="AG827" s="91"/>
      <c r="AH827" s="91"/>
      <c r="AI827" s="91"/>
      <c r="AJ827" s="91"/>
      <c r="AK827" s="91"/>
      <c r="AL827" s="91"/>
      <c r="AM827" s="91"/>
      <c r="AN827" s="91"/>
      <c r="AO827" s="91"/>
      <c r="AP827" s="9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91"/>
      <c r="BE827" s="91"/>
      <c r="BF827" s="92"/>
    </row>
    <row r="828" spans="1:58" s="82" customFormat="1" ht="19.5" customHeight="1">
      <c r="A828" s="1301"/>
      <c r="B828" s="1226"/>
      <c r="C828" s="1226"/>
      <c r="D828" s="84">
        <v>2030</v>
      </c>
      <c r="E828" s="85">
        <f>F828</f>
        <v>1.4843165409280004E-2</v>
      </c>
      <c r="F828" s="85">
        <f>F827*1.04</f>
        <v>1.4843165409280004E-2</v>
      </c>
      <c r="G828" s="85">
        <v>0</v>
      </c>
      <c r="H828" s="85">
        <v>0</v>
      </c>
      <c r="I828" s="85">
        <v>0</v>
      </c>
      <c r="J828" s="85">
        <v>0</v>
      </c>
      <c r="K828" s="148">
        <v>0</v>
      </c>
      <c r="L828" s="497">
        <f t="shared" si="306"/>
        <v>1.4843165409280004E-2</v>
      </c>
      <c r="M828" s="99"/>
      <c r="N828" s="88"/>
      <c r="O828" s="89"/>
      <c r="P828" s="678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  <c r="AF828" s="91"/>
      <c r="AG828" s="91"/>
      <c r="AH828" s="91"/>
      <c r="AI828" s="91"/>
      <c r="AJ828" s="91"/>
      <c r="AK828" s="91"/>
      <c r="AL828" s="91"/>
      <c r="AM828" s="91"/>
      <c r="AN828" s="91"/>
      <c r="AO828" s="91"/>
      <c r="AP828" s="9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91"/>
      <c r="BE828" s="91"/>
      <c r="BF828" s="92"/>
    </row>
    <row r="829" spans="1:58" s="367" customFormat="1" ht="15.75">
      <c r="A829" s="926" t="s">
        <v>1300</v>
      </c>
      <c r="B829" s="929" t="s">
        <v>177</v>
      </c>
      <c r="C829" s="1000"/>
      <c r="D829" s="84" t="s">
        <v>16</v>
      </c>
      <c r="E829" s="136">
        <f t="shared" ref="E829:J829" si="308">E830+E831+E832+E833+E834+E835+E836+E837+E838</f>
        <v>330.416</v>
      </c>
      <c r="F829" s="136">
        <f t="shared" si="308"/>
        <v>0</v>
      </c>
      <c r="G829" s="136">
        <f t="shared" si="308"/>
        <v>0</v>
      </c>
      <c r="H829" s="136">
        <f t="shared" si="308"/>
        <v>182.30799999999999</v>
      </c>
      <c r="I829" s="136">
        <f t="shared" si="308"/>
        <v>148.108</v>
      </c>
      <c r="J829" s="313">
        <f t="shared" si="308"/>
        <v>0</v>
      </c>
      <c r="K829" s="148">
        <v>0</v>
      </c>
      <c r="L829" s="497">
        <f t="shared" si="306"/>
        <v>330.416</v>
      </c>
      <c r="M829" s="136"/>
      <c r="N829" s="136"/>
      <c r="O829" s="137"/>
      <c r="P829" s="477"/>
      <c r="Q829" s="368"/>
      <c r="R829" s="368"/>
      <c r="S829" s="368"/>
      <c r="T829" s="368"/>
      <c r="U829" s="368"/>
      <c r="V829" s="368"/>
      <c r="W829" s="368"/>
      <c r="X829" s="368"/>
      <c r="Y829" s="368"/>
      <c r="Z829" s="368"/>
      <c r="AA829" s="368"/>
      <c r="AB829" s="368"/>
      <c r="AC829" s="368"/>
      <c r="AD829" s="368"/>
      <c r="AE829" s="368"/>
      <c r="AF829" s="368"/>
      <c r="AG829" s="368"/>
      <c r="AH829" s="368"/>
      <c r="AI829" s="368"/>
      <c r="AJ829" s="368"/>
      <c r="AK829" s="368"/>
      <c r="AL829" s="368"/>
      <c r="AM829" s="368"/>
      <c r="AN829" s="368"/>
      <c r="AO829" s="368"/>
      <c r="AP829" s="368"/>
      <c r="AQ829" s="368"/>
      <c r="AR829" s="368"/>
      <c r="AS829" s="368"/>
      <c r="AT829" s="368"/>
      <c r="AU829" s="368"/>
      <c r="AV829" s="368"/>
      <c r="AW829" s="368"/>
      <c r="AX829" s="368"/>
      <c r="AY829" s="368"/>
      <c r="AZ829" s="368"/>
      <c r="BA829" s="368"/>
      <c r="BB829" s="368"/>
      <c r="BC829" s="368"/>
      <c r="BD829" s="368"/>
      <c r="BE829" s="368"/>
      <c r="BF829" s="369"/>
    </row>
    <row r="830" spans="1:58" s="367" customFormat="1" ht="15.75">
      <c r="A830" s="927"/>
      <c r="B830" s="960"/>
      <c r="C830" s="1218"/>
      <c r="D830" s="84">
        <v>2019</v>
      </c>
      <c r="E830" s="85">
        <f t="shared" ref="E830:J830" si="309">E857</f>
        <v>10</v>
      </c>
      <c r="F830" s="85">
        <f t="shared" si="309"/>
        <v>0</v>
      </c>
      <c r="G830" s="85">
        <f t="shared" si="309"/>
        <v>0</v>
      </c>
      <c r="H830" s="85">
        <f t="shared" si="309"/>
        <v>6</v>
      </c>
      <c r="I830" s="85">
        <f t="shared" si="309"/>
        <v>4</v>
      </c>
      <c r="J830" s="85">
        <f t="shared" si="309"/>
        <v>0</v>
      </c>
      <c r="K830" s="148">
        <v>0</v>
      </c>
      <c r="L830" s="497">
        <f t="shared" si="306"/>
        <v>10</v>
      </c>
      <c r="M830" s="136"/>
      <c r="N830" s="136"/>
      <c r="O830" s="137"/>
      <c r="P830" s="477"/>
      <c r="Q830" s="368"/>
      <c r="R830" s="368"/>
      <c r="S830" s="368"/>
      <c r="T830" s="368"/>
      <c r="U830" s="368"/>
      <c r="V830" s="368"/>
      <c r="W830" s="368"/>
      <c r="X830" s="368"/>
      <c r="Y830" s="368"/>
      <c r="Z830" s="368"/>
      <c r="AA830" s="368"/>
      <c r="AB830" s="368"/>
      <c r="AC830" s="368"/>
      <c r="AD830" s="368"/>
      <c r="AE830" s="368"/>
      <c r="AF830" s="368"/>
      <c r="AG830" s="368"/>
      <c r="AH830" s="368"/>
      <c r="AI830" s="368"/>
      <c r="AJ830" s="368"/>
      <c r="AK830" s="368"/>
      <c r="AL830" s="368"/>
      <c r="AM830" s="368"/>
      <c r="AN830" s="368"/>
      <c r="AO830" s="368"/>
      <c r="AP830" s="368"/>
      <c r="AQ830" s="368"/>
      <c r="AR830" s="368"/>
      <c r="AS830" s="368"/>
      <c r="AT830" s="368"/>
      <c r="AU830" s="368"/>
      <c r="AV830" s="368"/>
      <c r="AW830" s="368"/>
      <c r="AX830" s="368"/>
      <c r="AY830" s="368"/>
      <c r="AZ830" s="368"/>
      <c r="BA830" s="368"/>
      <c r="BB830" s="368"/>
      <c r="BC830" s="368"/>
      <c r="BD830" s="368"/>
      <c r="BE830" s="368"/>
      <c r="BF830" s="369"/>
    </row>
    <row r="831" spans="1:58" s="367" customFormat="1" ht="15.75">
      <c r="A831" s="927"/>
      <c r="B831" s="960"/>
      <c r="C831" s="1218"/>
      <c r="D831" s="84">
        <v>2020</v>
      </c>
      <c r="E831" s="85">
        <f t="shared" ref="E831:J831" si="310">E840+E843+E848+E853+E862+E866+E870+E874+E878+E858+E868</f>
        <v>134.922</v>
      </c>
      <c r="F831" s="85">
        <f t="shared" si="310"/>
        <v>0</v>
      </c>
      <c r="G831" s="85">
        <f t="shared" si="310"/>
        <v>0</v>
      </c>
      <c r="H831" s="85">
        <f t="shared" si="310"/>
        <v>47.061</v>
      </c>
      <c r="I831" s="85">
        <f t="shared" si="310"/>
        <v>87.861000000000004</v>
      </c>
      <c r="J831" s="85">
        <f t="shared" si="310"/>
        <v>0</v>
      </c>
      <c r="K831" s="148">
        <v>0</v>
      </c>
      <c r="L831" s="497">
        <f t="shared" si="306"/>
        <v>134.922</v>
      </c>
      <c r="M831" s="136"/>
      <c r="N831" s="136"/>
      <c r="O831" s="137"/>
      <c r="P831" s="477"/>
      <c r="Q831" s="368"/>
      <c r="R831" s="368"/>
      <c r="S831" s="368"/>
      <c r="T831" s="368"/>
      <c r="U831" s="368"/>
      <c r="V831" s="368"/>
      <c r="W831" s="368"/>
      <c r="X831" s="368"/>
      <c r="Y831" s="368"/>
      <c r="Z831" s="368"/>
      <c r="AA831" s="368"/>
      <c r="AB831" s="368"/>
      <c r="AC831" s="368"/>
      <c r="AD831" s="368"/>
      <c r="AE831" s="368"/>
      <c r="AF831" s="368"/>
      <c r="AG831" s="368"/>
      <c r="AH831" s="368"/>
      <c r="AI831" s="368"/>
      <c r="AJ831" s="368"/>
      <c r="AK831" s="368"/>
      <c r="AL831" s="368"/>
      <c r="AM831" s="368"/>
      <c r="AN831" s="368"/>
      <c r="AO831" s="368"/>
      <c r="AP831" s="368"/>
      <c r="AQ831" s="368"/>
      <c r="AR831" s="368"/>
      <c r="AS831" s="368"/>
      <c r="AT831" s="368"/>
      <c r="AU831" s="368"/>
      <c r="AV831" s="368"/>
      <c r="AW831" s="368"/>
      <c r="AX831" s="368"/>
      <c r="AY831" s="368"/>
      <c r="AZ831" s="368"/>
      <c r="BA831" s="368"/>
      <c r="BB831" s="368"/>
      <c r="BC831" s="368"/>
      <c r="BD831" s="368"/>
      <c r="BE831" s="368"/>
      <c r="BF831" s="369"/>
    </row>
    <row r="832" spans="1:58" s="367" customFormat="1" ht="15.75">
      <c r="A832" s="927"/>
      <c r="B832" s="960"/>
      <c r="C832" s="1218"/>
      <c r="D832" s="84">
        <v>2022</v>
      </c>
      <c r="E832" s="85">
        <f t="shared" ref="E832:J832" si="311">E853+E859+E864+E872+E875+E879</f>
        <v>65.635999999999996</v>
      </c>
      <c r="F832" s="85">
        <f t="shared" si="311"/>
        <v>0</v>
      </c>
      <c r="G832" s="85">
        <f t="shared" si="311"/>
        <v>0</v>
      </c>
      <c r="H832" s="85">
        <f t="shared" si="311"/>
        <v>39.317999999999998</v>
      </c>
      <c r="I832" s="85">
        <f t="shared" si="311"/>
        <v>26.318000000000001</v>
      </c>
      <c r="J832" s="85">
        <f t="shared" si="311"/>
        <v>0</v>
      </c>
      <c r="K832" s="148">
        <v>0</v>
      </c>
      <c r="L832" s="497">
        <f t="shared" si="306"/>
        <v>65.635999999999996</v>
      </c>
      <c r="M832" s="136"/>
      <c r="N832" s="136"/>
      <c r="O832" s="137"/>
      <c r="P832" s="477"/>
      <c r="Q832" s="368"/>
      <c r="R832" s="368"/>
      <c r="S832" s="368"/>
      <c r="T832" s="368"/>
      <c r="U832" s="368"/>
      <c r="V832" s="368"/>
      <c r="W832" s="368"/>
      <c r="X832" s="368"/>
      <c r="Y832" s="368"/>
      <c r="Z832" s="368"/>
      <c r="AA832" s="368"/>
      <c r="AB832" s="368"/>
      <c r="AC832" s="368"/>
      <c r="AD832" s="368"/>
      <c r="AE832" s="368"/>
      <c r="AF832" s="368"/>
      <c r="AG832" s="368"/>
      <c r="AH832" s="368"/>
      <c r="AI832" s="368"/>
      <c r="AJ832" s="368"/>
      <c r="AK832" s="368"/>
      <c r="AL832" s="368"/>
      <c r="AM832" s="368"/>
      <c r="AN832" s="368"/>
      <c r="AO832" s="368"/>
      <c r="AP832" s="368"/>
      <c r="AQ832" s="368"/>
      <c r="AR832" s="368"/>
      <c r="AS832" s="368"/>
      <c r="AT832" s="368"/>
      <c r="AU832" s="368"/>
      <c r="AV832" s="368"/>
      <c r="AW832" s="368"/>
      <c r="AX832" s="368"/>
      <c r="AY832" s="368"/>
      <c r="AZ832" s="368"/>
      <c r="BA832" s="368"/>
      <c r="BB832" s="368"/>
      <c r="BC832" s="368"/>
      <c r="BD832" s="368"/>
      <c r="BE832" s="368"/>
      <c r="BF832" s="369"/>
    </row>
    <row r="833" spans="1:58" s="367" customFormat="1" ht="15.75">
      <c r="A833" s="927"/>
      <c r="B833" s="960"/>
      <c r="C833" s="1218"/>
      <c r="D833" s="84">
        <v>2023</v>
      </c>
      <c r="E833" s="85">
        <f t="shared" ref="E833:J833" si="312">E844+E854+E860+E880+E882+E876</f>
        <v>45.224000000000004</v>
      </c>
      <c r="F833" s="85">
        <f t="shared" si="312"/>
        <v>0</v>
      </c>
      <c r="G833" s="85">
        <f t="shared" si="312"/>
        <v>0</v>
      </c>
      <c r="H833" s="85">
        <f t="shared" si="312"/>
        <v>35.112000000000002</v>
      </c>
      <c r="I833" s="85">
        <f t="shared" si="312"/>
        <v>10.112</v>
      </c>
      <c r="J833" s="85">
        <f t="shared" si="312"/>
        <v>0</v>
      </c>
      <c r="K833" s="148">
        <v>0</v>
      </c>
      <c r="L833" s="497">
        <f t="shared" si="306"/>
        <v>45.224000000000004</v>
      </c>
      <c r="M833" s="136"/>
      <c r="N833" s="136"/>
      <c r="O833" s="137"/>
      <c r="P833" s="477"/>
      <c r="Q833" s="368"/>
      <c r="R833" s="368"/>
      <c r="S833" s="368"/>
      <c r="T833" s="368"/>
      <c r="U833" s="368"/>
      <c r="V833" s="368"/>
      <c r="W833" s="368"/>
      <c r="X833" s="368"/>
      <c r="Y833" s="368"/>
      <c r="Z833" s="368"/>
      <c r="AA833" s="368"/>
      <c r="AB833" s="368"/>
      <c r="AC833" s="368"/>
      <c r="AD833" s="368"/>
      <c r="AE833" s="368"/>
      <c r="AF833" s="368"/>
      <c r="AG833" s="368"/>
      <c r="AH833" s="368"/>
      <c r="AI833" s="368"/>
      <c r="AJ833" s="368"/>
      <c r="AK833" s="368"/>
      <c r="AL833" s="368"/>
      <c r="AM833" s="368"/>
      <c r="AN833" s="368"/>
      <c r="AO833" s="368"/>
      <c r="AP833" s="368"/>
      <c r="AQ833" s="368"/>
      <c r="AR833" s="368"/>
      <c r="AS833" s="368"/>
      <c r="AT833" s="368"/>
      <c r="AU833" s="368"/>
      <c r="AV833" s="368"/>
      <c r="AW833" s="368"/>
      <c r="AX833" s="368"/>
      <c r="AY833" s="368"/>
      <c r="AZ833" s="368"/>
      <c r="BA833" s="368"/>
      <c r="BB833" s="368"/>
      <c r="BC833" s="368"/>
      <c r="BD833" s="368"/>
      <c r="BE833" s="368"/>
      <c r="BF833" s="369"/>
    </row>
    <row r="834" spans="1:58" s="367" customFormat="1" ht="15.75">
      <c r="A834" s="927"/>
      <c r="B834" s="960"/>
      <c r="C834" s="1218"/>
      <c r="D834" s="84">
        <v>2024</v>
      </c>
      <c r="E834" s="85">
        <f t="shared" ref="E834:J834" si="313">E855+E883+E885</f>
        <v>18.524000000000001</v>
      </c>
      <c r="F834" s="85">
        <f t="shared" si="313"/>
        <v>0</v>
      </c>
      <c r="G834" s="85">
        <f t="shared" si="313"/>
        <v>0</v>
      </c>
      <c r="H834" s="85">
        <f t="shared" si="313"/>
        <v>16.762</v>
      </c>
      <c r="I834" s="85">
        <f t="shared" si="313"/>
        <v>1.762</v>
      </c>
      <c r="J834" s="85">
        <f t="shared" si="313"/>
        <v>0</v>
      </c>
      <c r="K834" s="148">
        <v>0</v>
      </c>
      <c r="L834" s="497">
        <f t="shared" si="306"/>
        <v>18.524000000000001</v>
      </c>
      <c r="M834" s="136"/>
      <c r="N834" s="136"/>
      <c r="O834" s="137"/>
      <c r="P834" s="477"/>
      <c r="Q834" s="368"/>
      <c r="R834" s="368"/>
      <c r="S834" s="368"/>
      <c r="T834" s="368"/>
      <c r="U834" s="368"/>
      <c r="V834" s="368"/>
      <c r="W834" s="368"/>
      <c r="X834" s="368"/>
      <c r="Y834" s="368"/>
      <c r="Z834" s="368"/>
      <c r="AA834" s="368"/>
      <c r="AB834" s="368"/>
      <c r="AC834" s="368"/>
      <c r="AD834" s="368"/>
      <c r="AE834" s="368"/>
      <c r="AF834" s="368"/>
      <c r="AG834" s="368"/>
      <c r="AH834" s="368"/>
      <c r="AI834" s="368"/>
      <c r="AJ834" s="368"/>
      <c r="AK834" s="368"/>
      <c r="AL834" s="368"/>
      <c r="AM834" s="368"/>
      <c r="AN834" s="368"/>
      <c r="AO834" s="368"/>
      <c r="AP834" s="368"/>
      <c r="AQ834" s="368"/>
      <c r="AR834" s="368"/>
      <c r="AS834" s="368"/>
      <c r="AT834" s="368"/>
      <c r="AU834" s="368"/>
      <c r="AV834" s="368"/>
      <c r="AW834" s="368"/>
      <c r="AX834" s="368"/>
      <c r="AY834" s="368"/>
      <c r="AZ834" s="368"/>
      <c r="BA834" s="368"/>
      <c r="BB834" s="368"/>
      <c r="BC834" s="368"/>
      <c r="BD834" s="368"/>
      <c r="BE834" s="368"/>
      <c r="BF834" s="369"/>
    </row>
    <row r="835" spans="1:58" s="367" customFormat="1" ht="15.75">
      <c r="A835" s="927"/>
      <c r="B835" s="960"/>
      <c r="C835" s="1218"/>
      <c r="D835" s="84">
        <v>2025</v>
      </c>
      <c r="E835" s="85">
        <f t="shared" ref="E835:J835" si="314">E845+E886+E888</f>
        <v>23.07</v>
      </c>
      <c r="F835" s="85">
        <f t="shared" si="314"/>
        <v>0</v>
      </c>
      <c r="G835" s="85">
        <f t="shared" si="314"/>
        <v>0</v>
      </c>
      <c r="H835" s="85">
        <f t="shared" si="314"/>
        <v>19.035</v>
      </c>
      <c r="I835" s="85">
        <f t="shared" si="314"/>
        <v>4.0350000000000001</v>
      </c>
      <c r="J835" s="85">
        <f t="shared" si="314"/>
        <v>0</v>
      </c>
      <c r="K835" s="148">
        <v>0</v>
      </c>
      <c r="L835" s="497">
        <f t="shared" si="306"/>
        <v>23.07</v>
      </c>
      <c r="M835" s="136"/>
      <c r="N835" s="136"/>
      <c r="O835" s="137"/>
      <c r="P835" s="477"/>
      <c r="Q835" s="368"/>
      <c r="R835" s="368"/>
      <c r="S835" s="368"/>
      <c r="T835" s="368"/>
      <c r="U835" s="368"/>
      <c r="V835" s="368"/>
      <c r="W835" s="368"/>
      <c r="X835" s="368"/>
      <c r="Y835" s="368"/>
      <c r="Z835" s="368"/>
      <c r="AA835" s="368"/>
      <c r="AB835" s="368"/>
      <c r="AC835" s="368"/>
      <c r="AD835" s="368"/>
      <c r="AE835" s="368"/>
      <c r="AF835" s="368"/>
      <c r="AG835" s="368"/>
      <c r="AH835" s="368"/>
      <c r="AI835" s="368"/>
      <c r="AJ835" s="368"/>
      <c r="AK835" s="368"/>
      <c r="AL835" s="368"/>
      <c r="AM835" s="368"/>
      <c r="AN835" s="368"/>
      <c r="AO835" s="368"/>
      <c r="AP835" s="368"/>
      <c r="AQ835" s="368"/>
      <c r="AR835" s="368"/>
      <c r="AS835" s="368"/>
      <c r="AT835" s="368"/>
      <c r="AU835" s="368"/>
      <c r="AV835" s="368"/>
      <c r="AW835" s="368"/>
      <c r="AX835" s="368"/>
      <c r="AY835" s="368"/>
      <c r="AZ835" s="368"/>
      <c r="BA835" s="368"/>
      <c r="BB835" s="368"/>
      <c r="BC835" s="368"/>
      <c r="BD835" s="368"/>
      <c r="BE835" s="368"/>
      <c r="BF835" s="369"/>
    </row>
    <row r="836" spans="1:58" s="367" customFormat="1" ht="15.75">
      <c r="A836" s="927"/>
      <c r="B836" s="960"/>
      <c r="C836" s="1218"/>
      <c r="D836" s="84">
        <v>2026</v>
      </c>
      <c r="E836" s="85">
        <f t="shared" ref="E836:J836" si="315">E849+E889</f>
        <v>11.5</v>
      </c>
      <c r="F836" s="85">
        <f t="shared" si="315"/>
        <v>0</v>
      </c>
      <c r="G836" s="85">
        <f t="shared" si="315"/>
        <v>0</v>
      </c>
      <c r="H836" s="85">
        <f t="shared" si="315"/>
        <v>8.25</v>
      </c>
      <c r="I836" s="85">
        <f t="shared" si="315"/>
        <v>3.25</v>
      </c>
      <c r="J836" s="85">
        <f t="shared" si="315"/>
        <v>0</v>
      </c>
      <c r="K836" s="148">
        <v>0</v>
      </c>
      <c r="L836" s="497">
        <f t="shared" si="306"/>
        <v>11.5</v>
      </c>
      <c r="M836" s="136"/>
      <c r="N836" s="136"/>
      <c r="O836" s="137"/>
      <c r="P836" s="477"/>
      <c r="Q836" s="368"/>
      <c r="R836" s="368"/>
      <c r="S836" s="368"/>
      <c r="T836" s="368"/>
      <c r="U836" s="368"/>
      <c r="V836" s="368"/>
      <c r="W836" s="368"/>
      <c r="X836" s="368"/>
      <c r="Y836" s="368"/>
      <c r="Z836" s="368"/>
      <c r="AA836" s="368"/>
      <c r="AB836" s="368"/>
      <c r="AC836" s="368"/>
      <c r="AD836" s="368"/>
      <c r="AE836" s="368"/>
      <c r="AF836" s="368"/>
      <c r="AG836" s="368"/>
      <c r="AH836" s="368"/>
      <c r="AI836" s="368"/>
      <c r="AJ836" s="368"/>
      <c r="AK836" s="368"/>
      <c r="AL836" s="368"/>
      <c r="AM836" s="368"/>
      <c r="AN836" s="368"/>
      <c r="AO836" s="368"/>
      <c r="AP836" s="368"/>
      <c r="AQ836" s="368"/>
      <c r="AR836" s="368"/>
      <c r="AS836" s="368"/>
      <c r="AT836" s="368"/>
      <c r="AU836" s="368"/>
      <c r="AV836" s="368"/>
      <c r="AW836" s="368"/>
      <c r="AX836" s="368"/>
      <c r="AY836" s="368"/>
      <c r="AZ836" s="368"/>
      <c r="BA836" s="368"/>
      <c r="BB836" s="368"/>
      <c r="BC836" s="368"/>
      <c r="BD836" s="368"/>
      <c r="BE836" s="368"/>
      <c r="BF836" s="369"/>
    </row>
    <row r="837" spans="1:58" s="367" customFormat="1" ht="15.75">
      <c r="A837" s="927"/>
      <c r="B837" s="960"/>
      <c r="C837" s="1218"/>
      <c r="D837" s="84">
        <v>2027</v>
      </c>
      <c r="E837" s="85">
        <f t="shared" ref="E837:J837" si="316">E850</f>
        <v>6.5</v>
      </c>
      <c r="F837" s="85">
        <f t="shared" si="316"/>
        <v>0</v>
      </c>
      <c r="G837" s="85">
        <f t="shared" si="316"/>
        <v>0</v>
      </c>
      <c r="H837" s="85">
        <f t="shared" si="316"/>
        <v>3.25</v>
      </c>
      <c r="I837" s="85">
        <f t="shared" si="316"/>
        <v>3.25</v>
      </c>
      <c r="J837" s="85">
        <f t="shared" si="316"/>
        <v>0</v>
      </c>
      <c r="K837" s="148">
        <v>0</v>
      </c>
      <c r="L837" s="497">
        <f t="shared" si="306"/>
        <v>6.5</v>
      </c>
      <c r="M837" s="136"/>
      <c r="N837" s="136"/>
      <c r="O837" s="137"/>
      <c r="P837" s="477"/>
      <c r="Q837" s="368"/>
      <c r="R837" s="368"/>
      <c r="S837" s="368"/>
      <c r="T837" s="368"/>
      <c r="U837" s="368"/>
      <c r="V837" s="368"/>
      <c r="W837" s="368"/>
      <c r="X837" s="368"/>
      <c r="Y837" s="368"/>
      <c r="Z837" s="368"/>
      <c r="AA837" s="368"/>
      <c r="AB837" s="368"/>
      <c r="AC837" s="368"/>
      <c r="AD837" s="368"/>
      <c r="AE837" s="368"/>
      <c r="AF837" s="368"/>
      <c r="AG837" s="368"/>
      <c r="AH837" s="368"/>
      <c r="AI837" s="368"/>
      <c r="AJ837" s="368"/>
      <c r="AK837" s="368"/>
      <c r="AL837" s="368"/>
      <c r="AM837" s="368"/>
      <c r="AN837" s="368"/>
      <c r="AO837" s="368"/>
      <c r="AP837" s="368"/>
      <c r="AQ837" s="368"/>
      <c r="AR837" s="368"/>
      <c r="AS837" s="368"/>
      <c r="AT837" s="368"/>
      <c r="AU837" s="368"/>
      <c r="AV837" s="368"/>
      <c r="AW837" s="368"/>
      <c r="AX837" s="368"/>
      <c r="AY837" s="368"/>
      <c r="AZ837" s="368"/>
      <c r="BA837" s="368"/>
      <c r="BB837" s="368"/>
      <c r="BC837" s="368"/>
      <c r="BD837" s="368"/>
      <c r="BE837" s="368"/>
      <c r="BF837" s="369"/>
    </row>
    <row r="838" spans="1:58" s="367" customFormat="1" ht="15.75">
      <c r="A838" s="927"/>
      <c r="B838" s="960"/>
      <c r="C838" s="1218"/>
      <c r="D838" s="84">
        <v>2029</v>
      </c>
      <c r="E838" s="85">
        <f t="shared" ref="E838:J838" si="317">E846</f>
        <v>15.04</v>
      </c>
      <c r="F838" s="85">
        <f t="shared" si="317"/>
        <v>0</v>
      </c>
      <c r="G838" s="85">
        <f t="shared" si="317"/>
        <v>0</v>
      </c>
      <c r="H838" s="85">
        <f t="shared" si="317"/>
        <v>7.52</v>
      </c>
      <c r="I838" s="85">
        <f t="shared" si="317"/>
        <v>7.52</v>
      </c>
      <c r="J838" s="85">
        <f t="shared" si="317"/>
        <v>0</v>
      </c>
      <c r="K838" s="148">
        <v>0</v>
      </c>
      <c r="L838" s="497">
        <f t="shared" si="306"/>
        <v>15.04</v>
      </c>
      <c r="M838" s="136"/>
      <c r="N838" s="136"/>
      <c r="O838" s="137"/>
      <c r="P838" s="477"/>
      <c r="Q838" s="368"/>
      <c r="R838" s="368"/>
      <c r="S838" s="368"/>
      <c r="T838" s="368"/>
      <c r="U838" s="368"/>
      <c r="V838" s="368"/>
      <c r="W838" s="368"/>
      <c r="X838" s="368"/>
      <c r="Y838" s="368"/>
      <c r="Z838" s="368"/>
      <c r="AA838" s="368"/>
      <c r="AB838" s="368"/>
      <c r="AC838" s="368"/>
      <c r="AD838" s="368"/>
      <c r="AE838" s="368"/>
      <c r="AF838" s="368"/>
      <c r="AG838" s="368"/>
      <c r="AH838" s="368"/>
      <c r="AI838" s="368"/>
      <c r="AJ838" s="368"/>
      <c r="AK838" s="368"/>
      <c r="AL838" s="368"/>
      <c r="AM838" s="368"/>
      <c r="AN838" s="368"/>
      <c r="AO838" s="368"/>
      <c r="AP838" s="368"/>
      <c r="AQ838" s="368"/>
      <c r="AR838" s="368"/>
      <c r="AS838" s="368"/>
      <c r="AT838" s="368"/>
      <c r="AU838" s="368"/>
      <c r="AV838" s="368"/>
      <c r="AW838" s="368"/>
      <c r="AX838" s="368"/>
      <c r="AY838" s="368"/>
      <c r="AZ838" s="368"/>
      <c r="BA838" s="368"/>
      <c r="BB838" s="368"/>
      <c r="BC838" s="368"/>
      <c r="BD838" s="368"/>
      <c r="BE838" s="368"/>
      <c r="BF838" s="369"/>
    </row>
    <row r="839" spans="1:58" s="82" customFormat="1">
      <c r="A839" s="1190" t="s">
        <v>945</v>
      </c>
      <c r="B839" s="1080" t="s">
        <v>879</v>
      </c>
      <c r="C839" s="1224" t="s">
        <v>532</v>
      </c>
      <c r="D839" s="84" t="s">
        <v>16</v>
      </c>
      <c r="E839" s="85">
        <f t="shared" ref="E839:J839" si="318">E840</f>
        <v>74.19</v>
      </c>
      <c r="F839" s="85">
        <f t="shared" si="318"/>
        <v>0</v>
      </c>
      <c r="G839" s="85">
        <f t="shared" si="318"/>
        <v>0</v>
      </c>
      <c r="H839" s="85">
        <f t="shared" si="318"/>
        <v>14.595000000000001</v>
      </c>
      <c r="I839" s="85">
        <f t="shared" si="318"/>
        <v>59.594999999999999</v>
      </c>
      <c r="J839" s="85">
        <f t="shared" si="318"/>
        <v>0</v>
      </c>
      <c r="K839" s="148">
        <v>0</v>
      </c>
      <c r="L839" s="497">
        <f t="shared" si="306"/>
        <v>74.19</v>
      </c>
      <c r="M839" s="1051" t="s">
        <v>880</v>
      </c>
      <c r="N839" s="1051">
        <v>65.400000000000006</v>
      </c>
      <c r="O839" s="1054">
        <v>10</v>
      </c>
      <c r="P839" s="1286" t="s">
        <v>881</v>
      </c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  <c r="AF839" s="91"/>
      <c r="AG839" s="91"/>
      <c r="AH839" s="91"/>
      <c r="AI839" s="91"/>
      <c r="AJ839" s="91"/>
      <c r="AK839" s="91"/>
      <c r="AL839" s="91"/>
      <c r="AM839" s="91"/>
      <c r="AN839" s="91"/>
      <c r="AO839" s="91"/>
      <c r="AP839" s="9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91"/>
      <c r="BE839" s="91"/>
      <c r="BF839" s="92"/>
    </row>
    <row r="840" spans="1:58" s="82" customFormat="1">
      <c r="A840" s="845"/>
      <c r="B840" s="960"/>
      <c r="C840" s="1218"/>
      <c r="D840" s="84">
        <v>2020</v>
      </c>
      <c r="E840" s="85">
        <f>F840+G840+H840+I840+J840</f>
        <v>74.19</v>
      </c>
      <c r="F840" s="85">
        <v>0</v>
      </c>
      <c r="G840" s="85">
        <v>0</v>
      </c>
      <c r="H840" s="85">
        <v>14.595000000000001</v>
      </c>
      <c r="I840" s="85">
        <v>59.594999999999999</v>
      </c>
      <c r="J840" s="85">
        <v>0</v>
      </c>
      <c r="K840" s="148">
        <v>0</v>
      </c>
      <c r="L840" s="497">
        <f t="shared" si="306"/>
        <v>74.19</v>
      </c>
      <c r="M840" s="1052"/>
      <c r="N840" s="1052"/>
      <c r="O840" s="1055"/>
      <c r="P840" s="1300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  <c r="AF840" s="91"/>
      <c r="AG840" s="91"/>
      <c r="AH840" s="91"/>
      <c r="AI840" s="91"/>
      <c r="AJ840" s="91"/>
      <c r="AK840" s="91"/>
      <c r="AL840" s="91"/>
      <c r="AM840" s="91"/>
      <c r="AN840" s="91"/>
      <c r="AO840" s="91"/>
      <c r="AP840" s="9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91"/>
      <c r="BE840" s="91"/>
      <c r="BF840" s="92"/>
    </row>
    <row r="841" spans="1:58" s="107" customFormat="1" ht="51">
      <c r="A841" s="578" t="s">
        <v>882</v>
      </c>
      <c r="B841" s="667" t="s">
        <v>883</v>
      </c>
      <c r="C841" s="1218"/>
      <c r="D841" s="84">
        <v>2020</v>
      </c>
      <c r="E841" s="85">
        <f>F841+G841+H841+I841+J841</f>
        <v>74.19</v>
      </c>
      <c r="F841" s="85">
        <v>0</v>
      </c>
      <c r="G841" s="85">
        <v>0</v>
      </c>
      <c r="H841" s="85">
        <v>14.595000000000001</v>
      </c>
      <c r="I841" s="85">
        <v>59.594999999999999</v>
      </c>
      <c r="J841" s="85">
        <v>0</v>
      </c>
      <c r="K841" s="148">
        <v>0</v>
      </c>
      <c r="L841" s="474">
        <f t="shared" ref="L841:L851" si="319">F841+G841+H841+I841+J841</f>
        <v>74.19</v>
      </c>
      <c r="M841" s="109"/>
      <c r="N841" s="109"/>
      <c r="O841" s="111">
        <v>2</v>
      </c>
      <c r="P841" s="1300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  <c r="AF841" s="91"/>
      <c r="AG841" s="91"/>
      <c r="AH841" s="91"/>
      <c r="AI841" s="91"/>
      <c r="AJ841" s="91"/>
      <c r="AK841" s="91"/>
      <c r="AL841" s="91"/>
      <c r="AM841" s="91"/>
      <c r="AN841" s="91"/>
      <c r="AO841" s="91"/>
      <c r="AP841" s="9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91"/>
      <c r="BE841" s="91"/>
      <c r="BF841" s="113"/>
    </row>
    <row r="842" spans="1:58" s="138" customFormat="1" ht="12.75" customHeight="1">
      <c r="A842" s="1190" t="s">
        <v>1302</v>
      </c>
      <c r="B842" s="1224" t="s">
        <v>889</v>
      </c>
      <c r="C842" s="1218"/>
      <c r="D842" s="140" t="s">
        <v>16</v>
      </c>
      <c r="E842" s="141">
        <f t="shared" ref="E842:J842" si="320">E843+E844+E845+E846</f>
        <v>45.775999999999996</v>
      </c>
      <c r="F842" s="141">
        <f t="shared" si="320"/>
        <v>0</v>
      </c>
      <c r="G842" s="141">
        <f t="shared" si="320"/>
        <v>0</v>
      </c>
      <c r="H842" s="141">
        <f t="shared" si="320"/>
        <v>22.887999999999998</v>
      </c>
      <c r="I842" s="141">
        <f t="shared" si="320"/>
        <v>22.887999999999998</v>
      </c>
      <c r="J842" s="141">
        <f t="shared" si="320"/>
        <v>0</v>
      </c>
      <c r="K842" s="148">
        <v>0</v>
      </c>
      <c r="L842" s="574">
        <f t="shared" si="319"/>
        <v>45.775999999999996</v>
      </c>
      <c r="M842" s="141" t="s">
        <v>890</v>
      </c>
      <c r="N842" s="141">
        <v>25.9</v>
      </c>
      <c r="O842" s="395">
        <v>5</v>
      </c>
      <c r="P842" s="1286" t="s">
        <v>891</v>
      </c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  <c r="AF842" s="91"/>
      <c r="AG842" s="91"/>
      <c r="AH842" s="91"/>
      <c r="AI842" s="91"/>
      <c r="AJ842" s="91"/>
      <c r="AK842" s="91"/>
      <c r="AL842" s="91"/>
      <c r="AM842" s="91"/>
      <c r="AN842" s="91"/>
      <c r="AO842" s="91"/>
      <c r="AP842" s="9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91"/>
      <c r="BE842" s="91"/>
      <c r="BF842" s="146"/>
    </row>
    <row r="843" spans="1:58" s="82" customFormat="1">
      <c r="A843" s="1191"/>
      <c r="B843" s="1225"/>
      <c r="C843" s="1218"/>
      <c r="D843" s="84">
        <v>2020</v>
      </c>
      <c r="E843" s="85">
        <f>F843+G843+H843+I843+J843</f>
        <v>14.596</v>
      </c>
      <c r="F843" s="85">
        <v>0</v>
      </c>
      <c r="G843" s="85">
        <v>0</v>
      </c>
      <c r="H843" s="85">
        <v>7.298</v>
      </c>
      <c r="I843" s="85">
        <v>7.298</v>
      </c>
      <c r="J843" s="85">
        <v>0</v>
      </c>
      <c r="K843" s="148">
        <v>0</v>
      </c>
      <c r="L843" s="497">
        <f t="shared" si="319"/>
        <v>14.596</v>
      </c>
      <c r="M843" s="99"/>
      <c r="N843" s="99"/>
      <c r="O843" s="89"/>
      <c r="P843" s="1300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  <c r="AF843" s="91"/>
      <c r="AG843" s="91"/>
      <c r="AH843" s="91"/>
      <c r="AI843" s="91"/>
      <c r="AJ843" s="91"/>
      <c r="AK843" s="91"/>
      <c r="AL843" s="91"/>
      <c r="AM843" s="91"/>
      <c r="AN843" s="91"/>
      <c r="AO843" s="91"/>
      <c r="AP843" s="9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91"/>
      <c r="BE843" s="91"/>
      <c r="BF843" s="92"/>
    </row>
    <row r="844" spans="1:58" s="82" customFormat="1">
      <c r="A844" s="1191"/>
      <c r="B844" s="1225"/>
      <c r="C844" s="1218"/>
      <c r="D844" s="84">
        <v>2023</v>
      </c>
      <c r="E844" s="85">
        <f>F844+G844+H844+I844+J844</f>
        <v>8.07</v>
      </c>
      <c r="F844" s="85">
        <v>0</v>
      </c>
      <c r="G844" s="85">
        <v>0</v>
      </c>
      <c r="H844" s="85">
        <v>4.0350000000000001</v>
      </c>
      <c r="I844" s="85">
        <v>4.0350000000000001</v>
      </c>
      <c r="J844" s="85">
        <v>0</v>
      </c>
      <c r="K844" s="148">
        <v>0</v>
      </c>
      <c r="L844" s="497">
        <f t="shared" si="319"/>
        <v>8.07</v>
      </c>
      <c r="M844" s="99"/>
      <c r="N844" s="99"/>
      <c r="O844" s="89"/>
      <c r="P844" s="1299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  <c r="AF844" s="91"/>
      <c r="AG844" s="91"/>
      <c r="AH844" s="91"/>
      <c r="AI844" s="91"/>
      <c r="AJ844" s="91"/>
      <c r="AK844" s="91"/>
      <c r="AL844" s="91"/>
      <c r="AM844" s="91"/>
      <c r="AN844" s="91"/>
      <c r="AO844" s="91"/>
      <c r="AP844" s="9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91"/>
      <c r="BE844" s="91"/>
      <c r="BF844" s="92"/>
    </row>
    <row r="845" spans="1:58" s="82" customFormat="1" ht="22.5" customHeight="1">
      <c r="A845" s="1191"/>
      <c r="B845" s="1225"/>
      <c r="C845" s="1218"/>
      <c r="D845" s="84">
        <v>2025</v>
      </c>
      <c r="E845" s="85">
        <f>F845+G845+H845+I845+J845</f>
        <v>8.07</v>
      </c>
      <c r="F845" s="85">
        <v>0</v>
      </c>
      <c r="G845" s="85">
        <v>0</v>
      </c>
      <c r="H845" s="85">
        <v>4.0350000000000001</v>
      </c>
      <c r="I845" s="85">
        <v>4.0350000000000001</v>
      </c>
      <c r="J845" s="85">
        <v>0</v>
      </c>
      <c r="K845" s="148">
        <v>0</v>
      </c>
      <c r="L845" s="497">
        <f t="shared" si="319"/>
        <v>8.07</v>
      </c>
      <c r="M845" s="99"/>
      <c r="N845" s="99"/>
      <c r="O845" s="89"/>
      <c r="P845" s="679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  <c r="AF845" s="91"/>
      <c r="AG845" s="91"/>
      <c r="AH845" s="91"/>
      <c r="AI845" s="91"/>
      <c r="AJ845" s="91"/>
      <c r="AK845" s="91"/>
      <c r="AL845" s="91"/>
      <c r="AM845" s="91"/>
      <c r="AN845" s="91"/>
      <c r="AO845" s="91"/>
      <c r="AP845" s="9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91"/>
      <c r="BE845" s="91"/>
      <c r="BF845" s="92"/>
    </row>
    <row r="846" spans="1:58" s="82" customFormat="1" ht="31.5" customHeight="1">
      <c r="A846" s="1192"/>
      <c r="B846" s="1226"/>
      <c r="C846" s="1218"/>
      <c r="D846" s="84">
        <v>2029</v>
      </c>
      <c r="E846" s="85">
        <f>F846+G846+H846+I846+J846</f>
        <v>15.04</v>
      </c>
      <c r="F846" s="85">
        <v>0</v>
      </c>
      <c r="G846" s="85">
        <v>0</v>
      </c>
      <c r="H846" s="85">
        <v>7.52</v>
      </c>
      <c r="I846" s="85">
        <v>7.52</v>
      </c>
      <c r="J846" s="85">
        <v>0</v>
      </c>
      <c r="K846" s="148">
        <v>0</v>
      </c>
      <c r="L846" s="497">
        <f t="shared" si="319"/>
        <v>15.04</v>
      </c>
      <c r="M846" s="99"/>
      <c r="N846" s="99"/>
      <c r="O846" s="89"/>
      <c r="P846" s="679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  <c r="AF846" s="91"/>
      <c r="AG846" s="91"/>
      <c r="AH846" s="91"/>
      <c r="AI846" s="91"/>
      <c r="AJ846" s="91"/>
      <c r="AK846" s="91"/>
      <c r="AL846" s="91"/>
      <c r="AM846" s="91"/>
      <c r="AN846" s="91"/>
      <c r="AO846" s="91"/>
      <c r="AP846" s="9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91"/>
      <c r="BE846" s="91"/>
      <c r="BF846" s="92"/>
    </row>
    <row r="847" spans="1:58" s="82" customFormat="1" ht="12.75" customHeight="1">
      <c r="A847" s="1190" t="s">
        <v>1303</v>
      </c>
      <c r="B847" s="1224" t="s">
        <v>893</v>
      </c>
      <c r="C847" s="1218"/>
      <c r="D847" s="84" t="s">
        <v>16</v>
      </c>
      <c r="E847" s="85">
        <f t="shared" ref="E847:J847" si="321">E848+E850+E849</f>
        <v>19.5</v>
      </c>
      <c r="F847" s="85">
        <f t="shared" si="321"/>
        <v>0</v>
      </c>
      <c r="G847" s="85">
        <f t="shared" si="321"/>
        <v>0</v>
      </c>
      <c r="H847" s="85">
        <f t="shared" si="321"/>
        <v>9.75</v>
      </c>
      <c r="I847" s="85">
        <f t="shared" si="321"/>
        <v>9.75</v>
      </c>
      <c r="J847" s="85">
        <f t="shared" si="321"/>
        <v>0</v>
      </c>
      <c r="K847" s="148">
        <v>0</v>
      </c>
      <c r="L847" s="497">
        <f t="shared" si="319"/>
        <v>19.5</v>
      </c>
      <c r="M847" s="85" t="s">
        <v>894</v>
      </c>
      <c r="N847" s="85">
        <v>9.6999999999999993</v>
      </c>
      <c r="O847" s="400">
        <v>2</v>
      </c>
      <c r="P847" s="1166" t="s">
        <v>895</v>
      </c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  <c r="AF847" s="91"/>
      <c r="AG847" s="91"/>
      <c r="AH847" s="91"/>
      <c r="AI847" s="91"/>
      <c r="AJ847" s="91"/>
      <c r="AK847" s="91"/>
      <c r="AL847" s="91"/>
      <c r="AM847" s="91"/>
      <c r="AN847" s="91"/>
      <c r="AO847" s="91"/>
      <c r="AP847" s="9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91"/>
      <c r="BE847" s="91"/>
      <c r="BF847" s="92"/>
    </row>
    <row r="848" spans="1:58" s="82" customFormat="1" ht="24" customHeight="1">
      <c r="A848" s="845"/>
      <c r="B848" s="1225"/>
      <c r="C848" s="1218"/>
      <c r="D848" s="84">
        <v>2020</v>
      </c>
      <c r="E848" s="85">
        <f>F848+G848+H848+I848+J848</f>
        <v>6.5</v>
      </c>
      <c r="F848" s="85">
        <v>0</v>
      </c>
      <c r="G848" s="85">
        <v>0</v>
      </c>
      <c r="H848" s="85">
        <v>3.25</v>
      </c>
      <c r="I848" s="85">
        <v>3.25</v>
      </c>
      <c r="J848" s="85">
        <v>0</v>
      </c>
      <c r="K848" s="148">
        <v>0</v>
      </c>
      <c r="L848" s="497">
        <f t="shared" si="319"/>
        <v>6.5</v>
      </c>
      <c r="M848" s="99"/>
      <c r="N848" s="99"/>
      <c r="O848" s="89"/>
      <c r="P848" s="1167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  <c r="AF848" s="91"/>
      <c r="AG848" s="91"/>
      <c r="AH848" s="91"/>
      <c r="AI848" s="91"/>
      <c r="AJ848" s="91"/>
      <c r="AK848" s="91"/>
      <c r="AL848" s="91"/>
      <c r="AM848" s="91"/>
      <c r="AN848" s="91"/>
      <c r="AO848" s="91"/>
      <c r="AP848" s="9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91"/>
      <c r="BE848" s="91"/>
      <c r="BF848" s="92"/>
    </row>
    <row r="849" spans="1:58" s="82" customFormat="1" ht="24" customHeight="1">
      <c r="A849" s="238"/>
      <c r="B849" s="1225"/>
      <c r="C849" s="571"/>
      <c r="D849" s="84">
        <v>2026</v>
      </c>
      <c r="E849" s="85">
        <f>F849+G849+H849+I849+J849</f>
        <v>6.5</v>
      </c>
      <c r="F849" s="85">
        <v>0</v>
      </c>
      <c r="G849" s="85">
        <v>0</v>
      </c>
      <c r="H849" s="85">
        <v>3.25</v>
      </c>
      <c r="I849" s="85">
        <v>3.25</v>
      </c>
      <c r="J849" s="85">
        <v>0</v>
      </c>
      <c r="K849" s="148">
        <v>0</v>
      </c>
      <c r="L849" s="497">
        <f t="shared" si="319"/>
        <v>6.5</v>
      </c>
      <c r="M849" s="99"/>
      <c r="N849" s="99"/>
      <c r="O849" s="89"/>
      <c r="P849" s="554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  <c r="AF849" s="91"/>
      <c r="AG849" s="91"/>
      <c r="AH849" s="91"/>
      <c r="AI849" s="91"/>
      <c r="AJ849" s="91"/>
      <c r="AK849" s="91"/>
      <c r="AL849" s="91"/>
      <c r="AM849" s="91"/>
      <c r="AN849" s="91"/>
      <c r="AO849" s="91"/>
      <c r="AP849" s="9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91"/>
      <c r="BE849" s="91"/>
      <c r="BF849" s="92"/>
    </row>
    <row r="850" spans="1:58" s="82" customFormat="1">
      <c r="A850" s="238"/>
      <c r="B850" s="1226"/>
      <c r="C850" s="571"/>
      <c r="D850" s="84">
        <v>2027</v>
      </c>
      <c r="E850" s="85">
        <f>F850+G850+H850+I850+J850</f>
        <v>6.5</v>
      </c>
      <c r="F850" s="85">
        <v>0</v>
      </c>
      <c r="G850" s="85">
        <v>0</v>
      </c>
      <c r="H850" s="85">
        <v>3.25</v>
      </c>
      <c r="I850" s="85">
        <v>3.25</v>
      </c>
      <c r="J850" s="85">
        <v>0</v>
      </c>
      <c r="K850" s="148">
        <v>0</v>
      </c>
      <c r="L850" s="497">
        <f t="shared" si="319"/>
        <v>6.5</v>
      </c>
      <c r="M850" s="99"/>
      <c r="N850" s="99"/>
      <c r="O850" s="89"/>
      <c r="P850" s="554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  <c r="AF850" s="91"/>
      <c r="AG850" s="91"/>
      <c r="AH850" s="91"/>
      <c r="AI850" s="91"/>
      <c r="AJ850" s="91"/>
      <c r="AK850" s="91"/>
      <c r="AL850" s="91"/>
      <c r="AM850" s="91"/>
      <c r="AN850" s="91"/>
      <c r="AO850" s="91"/>
      <c r="AP850" s="9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91"/>
      <c r="BE850" s="91"/>
      <c r="BF850" s="92"/>
    </row>
    <row r="851" spans="1:58" s="82" customFormat="1" ht="12.75" customHeight="1">
      <c r="A851" s="1190" t="s">
        <v>1304</v>
      </c>
      <c r="B851" s="1224" t="s">
        <v>897</v>
      </c>
      <c r="C851" s="1224" t="s">
        <v>532</v>
      </c>
      <c r="D851" s="84" t="s">
        <v>16</v>
      </c>
      <c r="E851" s="85">
        <f t="shared" ref="E851:J851" si="322">E853+E854+E855</f>
        <v>13.314</v>
      </c>
      <c r="F851" s="85">
        <f t="shared" si="322"/>
        <v>0</v>
      </c>
      <c r="G851" s="85">
        <f t="shared" si="322"/>
        <v>0</v>
      </c>
      <c r="H851" s="85">
        <f t="shared" si="322"/>
        <v>6.657</v>
      </c>
      <c r="I851" s="85">
        <f t="shared" si="322"/>
        <v>6.657</v>
      </c>
      <c r="J851" s="85">
        <f t="shared" si="322"/>
        <v>0</v>
      </c>
      <c r="K851" s="148">
        <v>0</v>
      </c>
      <c r="L851" s="497">
        <f t="shared" si="319"/>
        <v>13.314</v>
      </c>
      <c r="M851" s="85" t="s">
        <v>898</v>
      </c>
      <c r="N851" s="85">
        <v>20.2</v>
      </c>
      <c r="O851" s="400">
        <v>7</v>
      </c>
      <c r="P851" s="1166" t="s">
        <v>899</v>
      </c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  <c r="AF851" s="91"/>
      <c r="AG851" s="91"/>
      <c r="AH851" s="91"/>
      <c r="AI851" s="91"/>
      <c r="AJ851" s="91"/>
      <c r="AK851" s="91"/>
      <c r="AL851" s="91"/>
      <c r="AM851" s="91"/>
      <c r="AN851" s="91"/>
      <c r="AO851" s="91"/>
      <c r="AP851" s="9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91"/>
      <c r="BE851" s="91"/>
      <c r="BF851" s="92"/>
    </row>
    <row r="852" spans="1:58" s="82" customFormat="1">
      <c r="A852" s="1191"/>
      <c r="B852" s="1225"/>
      <c r="C852" s="1225"/>
      <c r="D852" s="84">
        <v>2020</v>
      </c>
      <c r="E852" s="85">
        <f>F852+G852+H852+I852+J852</f>
        <v>3.6360000000000001</v>
      </c>
      <c r="F852" s="85">
        <v>0</v>
      </c>
      <c r="G852" s="85">
        <v>0</v>
      </c>
      <c r="H852" s="85">
        <v>1.8180000000000001</v>
      </c>
      <c r="I852" s="85">
        <v>1.8180000000000001</v>
      </c>
      <c r="J852" s="85">
        <v>0</v>
      </c>
      <c r="K852" s="148">
        <v>0</v>
      </c>
      <c r="L852" s="497">
        <f>F853+G853+H853+I853+J853</f>
        <v>3.6360000000000001</v>
      </c>
      <c r="M852" s="99"/>
      <c r="N852" s="99"/>
      <c r="O852" s="89"/>
      <c r="P852" s="1167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  <c r="AF852" s="91"/>
      <c r="AG852" s="91"/>
      <c r="AH852" s="91"/>
      <c r="AI852" s="91"/>
      <c r="AJ852" s="91"/>
      <c r="AK852" s="91"/>
      <c r="AL852" s="91"/>
      <c r="AM852" s="91"/>
      <c r="AN852" s="91"/>
      <c r="AO852" s="91"/>
      <c r="AP852" s="9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91"/>
      <c r="BE852" s="91"/>
      <c r="BF852" s="92"/>
    </row>
    <row r="853" spans="1:58" s="82" customFormat="1">
      <c r="A853" s="1191"/>
      <c r="B853" s="1225"/>
      <c r="C853" s="1225"/>
      <c r="D853" s="84">
        <v>2022</v>
      </c>
      <c r="E853" s="85">
        <f>F853+G853+H853+I853+J853</f>
        <v>3.6360000000000001</v>
      </c>
      <c r="F853" s="85">
        <v>0</v>
      </c>
      <c r="G853" s="85">
        <v>0</v>
      </c>
      <c r="H853" s="85">
        <v>1.8180000000000001</v>
      </c>
      <c r="I853" s="85">
        <v>1.8180000000000001</v>
      </c>
      <c r="J853" s="85">
        <v>0</v>
      </c>
      <c r="K853" s="148">
        <v>0</v>
      </c>
      <c r="L853" s="497">
        <f>F854+G854+H854+I854+J854</f>
        <v>6.1539999999999999</v>
      </c>
      <c r="M853" s="99"/>
      <c r="N853" s="99"/>
      <c r="O853" s="89"/>
      <c r="P853" s="1302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  <c r="AF853" s="91"/>
      <c r="AG853" s="91"/>
      <c r="AH853" s="91"/>
      <c r="AI853" s="91"/>
      <c r="AJ853" s="91"/>
      <c r="AK853" s="91"/>
      <c r="AL853" s="91"/>
      <c r="AM853" s="91"/>
      <c r="AN853" s="91"/>
      <c r="AO853" s="91"/>
      <c r="AP853" s="9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91"/>
      <c r="BE853" s="91"/>
      <c r="BF853" s="92"/>
    </row>
    <row r="854" spans="1:58" s="82" customFormat="1" ht="18" customHeight="1">
      <c r="A854" s="1191"/>
      <c r="B854" s="1225"/>
      <c r="C854" s="1225"/>
      <c r="D854" s="84">
        <v>2023</v>
      </c>
      <c r="E854" s="85">
        <f>F854+G854+H854+I854+J854</f>
        <v>6.1539999999999999</v>
      </c>
      <c r="F854" s="85">
        <v>0</v>
      </c>
      <c r="G854" s="85">
        <v>0</v>
      </c>
      <c r="H854" s="85">
        <v>3.077</v>
      </c>
      <c r="I854" s="85">
        <v>3.077</v>
      </c>
      <c r="J854" s="85">
        <v>0</v>
      </c>
      <c r="K854" s="148">
        <v>0</v>
      </c>
      <c r="L854" s="497">
        <f>F855+G855+H855+I855+J855</f>
        <v>3.524</v>
      </c>
      <c r="M854" s="99"/>
      <c r="N854" s="99"/>
      <c r="O854" s="89"/>
      <c r="P854" s="554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  <c r="AF854" s="91"/>
      <c r="AG854" s="91"/>
      <c r="AH854" s="91"/>
      <c r="AI854" s="91"/>
      <c r="AJ854" s="91"/>
      <c r="AK854" s="91"/>
      <c r="AL854" s="91"/>
      <c r="AM854" s="91"/>
      <c r="AN854" s="91"/>
      <c r="AO854" s="91"/>
      <c r="AP854" s="9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91"/>
      <c r="BE854" s="91"/>
      <c r="BF854" s="92"/>
    </row>
    <row r="855" spans="1:58" s="82" customFormat="1" ht="18" customHeight="1">
      <c r="A855" s="1192"/>
      <c r="B855" s="1226"/>
      <c r="C855" s="1226"/>
      <c r="D855" s="84">
        <v>2024</v>
      </c>
      <c r="E855" s="85">
        <f>F855+G855+H855+I855+J855</f>
        <v>3.524</v>
      </c>
      <c r="F855" s="85">
        <v>0</v>
      </c>
      <c r="G855" s="85">
        <v>0</v>
      </c>
      <c r="H855" s="85">
        <v>1.762</v>
      </c>
      <c r="I855" s="85">
        <v>1.762</v>
      </c>
      <c r="J855" s="85">
        <v>0</v>
      </c>
      <c r="K855" s="148">
        <v>0</v>
      </c>
      <c r="L855" s="497"/>
      <c r="M855" s="99"/>
      <c r="N855" s="99"/>
      <c r="O855" s="89"/>
      <c r="P855" s="554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  <c r="AF855" s="91"/>
      <c r="AG855" s="91"/>
      <c r="AH855" s="91"/>
      <c r="AI855" s="91"/>
      <c r="AJ855" s="91"/>
      <c r="AK855" s="91"/>
      <c r="AL855" s="91"/>
      <c r="AM855" s="91"/>
      <c r="AN855" s="91"/>
      <c r="AO855" s="91"/>
      <c r="AP855" s="9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91"/>
      <c r="BE855" s="91"/>
      <c r="BF855" s="92"/>
    </row>
    <row r="856" spans="1:58" s="82" customFormat="1" ht="12.75" customHeight="1">
      <c r="A856" s="1128" t="s">
        <v>1305</v>
      </c>
      <c r="B856" s="1255" t="s">
        <v>901</v>
      </c>
      <c r="C856" s="1262" t="s">
        <v>1306</v>
      </c>
      <c r="D856" s="84" t="s">
        <v>16</v>
      </c>
      <c r="E856" s="85">
        <f t="shared" ref="E856:J856" si="323">E857+E858+E859+E860</f>
        <v>48</v>
      </c>
      <c r="F856" s="85">
        <f t="shared" si="323"/>
        <v>0</v>
      </c>
      <c r="G856" s="85">
        <f t="shared" si="323"/>
        <v>0</v>
      </c>
      <c r="H856" s="85">
        <f t="shared" si="323"/>
        <v>41</v>
      </c>
      <c r="I856" s="85">
        <f t="shared" si="323"/>
        <v>7</v>
      </c>
      <c r="J856" s="85">
        <f t="shared" si="323"/>
        <v>0</v>
      </c>
      <c r="K856" s="148">
        <v>0</v>
      </c>
      <c r="L856" s="497">
        <f>F856+G856+H856+I856+J856</f>
        <v>48</v>
      </c>
      <c r="M856" s="85" t="s">
        <v>1307</v>
      </c>
      <c r="N856" s="85">
        <v>4</v>
      </c>
      <c r="O856" s="400">
        <v>3</v>
      </c>
      <c r="P856" s="1286" t="s">
        <v>904</v>
      </c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  <c r="AF856" s="91"/>
      <c r="AG856" s="91"/>
      <c r="AH856" s="91"/>
      <c r="AI856" s="91"/>
      <c r="AJ856" s="91"/>
      <c r="AK856" s="91"/>
      <c r="AL856" s="91"/>
      <c r="AM856" s="91"/>
      <c r="AN856" s="91"/>
      <c r="AO856" s="91"/>
      <c r="AP856" s="9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91"/>
      <c r="BE856" s="91"/>
      <c r="BF856" s="92"/>
    </row>
    <row r="857" spans="1:58" s="82" customFormat="1">
      <c r="A857" s="1183"/>
      <c r="B857" s="1255"/>
      <c r="C857" s="1263"/>
      <c r="D857" s="84">
        <v>2019</v>
      </c>
      <c r="E857" s="85">
        <f>F857+G857+H857+I857+J857</f>
        <v>10</v>
      </c>
      <c r="F857" s="85">
        <v>0</v>
      </c>
      <c r="G857" s="85">
        <v>0</v>
      </c>
      <c r="H857" s="85">
        <v>6</v>
      </c>
      <c r="I857" s="85">
        <v>4</v>
      </c>
      <c r="J857" s="85">
        <v>0</v>
      </c>
      <c r="K857" s="148">
        <v>0</v>
      </c>
      <c r="L857" s="497">
        <f>F857+G857+H857+I857+J857</f>
        <v>10</v>
      </c>
      <c r="M857" s="99"/>
      <c r="N857" s="99"/>
      <c r="O857" s="89"/>
      <c r="P857" s="1300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  <c r="AF857" s="91"/>
      <c r="AG857" s="91"/>
      <c r="AH857" s="91"/>
      <c r="AI857" s="91"/>
      <c r="AJ857" s="91"/>
      <c r="AK857" s="91"/>
      <c r="AL857" s="91"/>
      <c r="AM857" s="91"/>
      <c r="AN857" s="91"/>
      <c r="AO857" s="91"/>
      <c r="AP857" s="9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91"/>
      <c r="BE857" s="91"/>
      <c r="BF857" s="92"/>
    </row>
    <row r="858" spans="1:58" s="82" customFormat="1">
      <c r="A858" s="1183"/>
      <c r="B858" s="1255"/>
      <c r="C858" s="1263"/>
      <c r="D858" s="84">
        <v>2020</v>
      </c>
      <c r="E858" s="85">
        <f>F858+G858+H858+I858+J858</f>
        <v>8</v>
      </c>
      <c r="F858" s="85">
        <v>0</v>
      </c>
      <c r="G858" s="85">
        <v>0</v>
      </c>
      <c r="H858" s="85">
        <v>5</v>
      </c>
      <c r="I858" s="85">
        <v>3</v>
      </c>
      <c r="J858" s="85">
        <v>0</v>
      </c>
      <c r="K858" s="148">
        <v>0</v>
      </c>
      <c r="L858" s="497">
        <f>F858+G858+H858+I858+J858</f>
        <v>8</v>
      </c>
      <c r="M858" s="287"/>
      <c r="N858" s="287"/>
      <c r="O858" s="699"/>
      <c r="P858" s="1299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  <c r="AF858" s="91"/>
      <c r="AG858" s="91"/>
      <c r="AH858" s="91"/>
      <c r="AI858" s="91"/>
      <c r="AJ858" s="91"/>
      <c r="AK858" s="91"/>
      <c r="AL858" s="91"/>
      <c r="AM858" s="91"/>
      <c r="AN858" s="91"/>
      <c r="AO858" s="91"/>
      <c r="AP858" s="9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91"/>
      <c r="BE858" s="91"/>
      <c r="BF858" s="92"/>
    </row>
    <row r="859" spans="1:58" s="138" customFormat="1">
      <c r="A859" s="1183"/>
      <c r="B859" s="1255"/>
      <c r="C859" s="1263"/>
      <c r="D859" s="84">
        <v>2022</v>
      </c>
      <c r="E859" s="85">
        <f>F859+G859+H859+I859+J859</f>
        <v>15</v>
      </c>
      <c r="F859" s="85">
        <v>0</v>
      </c>
      <c r="G859" s="85">
        <v>0</v>
      </c>
      <c r="H859" s="85">
        <v>15</v>
      </c>
      <c r="I859" s="85">
        <v>0</v>
      </c>
      <c r="J859" s="85">
        <v>0</v>
      </c>
      <c r="K859" s="148">
        <v>0</v>
      </c>
      <c r="L859" s="497"/>
      <c r="M859" s="693"/>
      <c r="N859" s="693"/>
      <c r="O859" s="403"/>
      <c r="P859" s="679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  <c r="AF859" s="91"/>
      <c r="AG859" s="91"/>
      <c r="AH859" s="91"/>
      <c r="AI859" s="91"/>
      <c r="AJ859" s="91"/>
      <c r="AK859" s="91"/>
      <c r="AL859" s="91"/>
      <c r="AM859" s="91"/>
      <c r="AN859" s="91"/>
      <c r="AO859" s="91"/>
      <c r="AP859" s="9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91"/>
      <c r="BE859" s="91"/>
      <c r="BF859" s="146"/>
    </row>
    <row r="860" spans="1:58" s="138" customFormat="1">
      <c r="A860" s="1184"/>
      <c r="B860" s="1255"/>
      <c r="C860" s="1274"/>
      <c r="D860" s="84">
        <v>2023</v>
      </c>
      <c r="E860" s="85">
        <f>F860+G860+H860+I860+J860</f>
        <v>15</v>
      </c>
      <c r="F860" s="85">
        <v>0</v>
      </c>
      <c r="G860" s="85">
        <v>0</v>
      </c>
      <c r="H860" s="85">
        <v>15</v>
      </c>
      <c r="I860" s="85">
        <v>0</v>
      </c>
      <c r="J860" s="85">
        <v>0</v>
      </c>
      <c r="K860" s="148">
        <v>0</v>
      </c>
      <c r="L860" s="497"/>
      <c r="M860" s="693"/>
      <c r="N860" s="693"/>
      <c r="O860" s="403"/>
      <c r="P860" s="679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  <c r="AF860" s="91"/>
      <c r="AG860" s="91"/>
      <c r="AH860" s="91"/>
      <c r="AI860" s="91"/>
      <c r="AJ860" s="91"/>
      <c r="AK860" s="91"/>
      <c r="AL860" s="91"/>
      <c r="AM860" s="91"/>
      <c r="AN860" s="91"/>
      <c r="AO860" s="91"/>
      <c r="AP860" s="9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91"/>
      <c r="BE860" s="91"/>
      <c r="BF860" s="146"/>
    </row>
    <row r="861" spans="1:58" s="138" customFormat="1" ht="12.75" customHeight="1">
      <c r="A861" s="1190" t="s">
        <v>1308</v>
      </c>
      <c r="B861" s="1080" t="s">
        <v>914</v>
      </c>
      <c r="C861" s="1225"/>
      <c r="D861" s="84" t="s">
        <v>16</v>
      </c>
      <c r="E861" s="85">
        <f>E862</f>
        <v>4</v>
      </c>
      <c r="F861" s="85">
        <f>F862</f>
        <v>0</v>
      </c>
      <c r="G861" s="85">
        <f>G862</f>
        <v>0</v>
      </c>
      <c r="H861" s="85">
        <f>H862</f>
        <v>2</v>
      </c>
      <c r="I861" s="85">
        <f>I862</f>
        <v>2</v>
      </c>
      <c r="J861" s="85">
        <v>0</v>
      </c>
      <c r="K861" s="148">
        <v>0</v>
      </c>
      <c r="L861" s="497">
        <f t="shared" ref="L861:L875" si="324">F861+G861+H861+I861+J861</f>
        <v>4</v>
      </c>
      <c r="M861" s="403" t="s">
        <v>915</v>
      </c>
      <c r="N861" s="693">
        <v>2.4</v>
      </c>
      <c r="O861" s="403"/>
      <c r="P861" s="1166" t="s">
        <v>916</v>
      </c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  <c r="AF861" s="91"/>
      <c r="AG861" s="91"/>
      <c r="AH861" s="91"/>
      <c r="AI861" s="91"/>
      <c r="AJ861" s="91"/>
      <c r="AK861" s="91"/>
      <c r="AL861" s="91"/>
      <c r="AM861" s="91"/>
      <c r="AN861" s="91"/>
      <c r="AO861" s="91"/>
      <c r="AP861" s="9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91"/>
      <c r="BE861" s="91"/>
      <c r="BF861" s="146"/>
    </row>
    <row r="862" spans="1:58" s="138" customFormat="1" ht="33.75" customHeight="1">
      <c r="A862" s="1191"/>
      <c r="B862" s="1261"/>
      <c r="C862" s="1225"/>
      <c r="D862" s="84">
        <v>2020</v>
      </c>
      <c r="E862" s="85">
        <f>F862+G862+H862+I862+J862</f>
        <v>4</v>
      </c>
      <c r="F862" s="85">
        <v>0</v>
      </c>
      <c r="G862" s="85">
        <v>0</v>
      </c>
      <c r="H862" s="85">
        <v>2</v>
      </c>
      <c r="I862" s="85">
        <v>2</v>
      </c>
      <c r="J862" s="85">
        <v>0</v>
      </c>
      <c r="K862" s="148">
        <v>0</v>
      </c>
      <c r="L862" s="497">
        <f t="shared" si="324"/>
        <v>4</v>
      </c>
      <c r="M862" s="693"/>
      <c r="N862" s="693"/>
      <c r="O862" s="403"/>
      <c r="P862" s="1167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  <c r="AF862" s="91"/>
      <c r="AG862" s="91"/>
      <c r="AH862" s="91"/>
      <c r="AI862" s="91"/>
      <c r="AJ862" s="91"/>
      <c r="AK862" s="91"/>
      <c r="AL862" s="91"/>
      <c r="AM862" s="91"/>
      <c r="AN862" s="91"/>
      <c r="AO862" s="91"/>
      <c r="AP862" s="9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91"/>
      <c r="BE862" s="91"/>
      <c r="BF862" s="146"/>
    </row>
    <row r="863" spans="1:58" s="138" customFormat="1">
      <c r="A863" s="1190" t="s">
        <v>1309</v>
      </c>
      <c r="B863" s="1080" t="s">
        <v>918</v>
      </c>
      <c r="C863" s="1225"/>
      <c r="D863" s="84" t="s">
        <v>16</v>
      </c>
      <c r="E863" s="85">
        <f>E864</f>
        <v>35</v>
      </c>
      <c r="F863" s="85">
        <f>F864</f>
        <v>0</v>
      </c>
      <c r="G863" s="85">
        <f>G864</f>
        <v>0</v>
      </c>
      <c r="H863" s="85">
        <f>H864</f>
        <v>16.5</v>
      </c>
      <c r="I863" s="85">
        <f>I864</f>
        <v>18.5</v>
      </c>
      <c r="J863" s="85">
        <v>0</v>
      </c>
      <c r="K863" s="148">
        <v>0</v>
      </c>
      <c r="L863" s="497">
        <f t="shared" si="324"/>
        <v>35</v>
      </c>
      <c r="M863" s="693" t="s">
        <v>919</v>
      </c>
      <c r="N863" s="693">
        <v>10.5</v>
      </c>
      <c r="O863" s="403"/>
      <c r="P863" s="1166" t="s">
        <v>891</v>
      </c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  <c r="AF863" s="91"/>
      <c r="AG863" s="91"/>
      <c r="AH863" s="91"/>
      <c r="AI863" s="91"/>
      <c r="AJ863" s="91"/>
      <c r="AK863" s="91"/>
      <c r="AL863" s="91"/>
      <c r="AM863" s="91"/>
      <c r="AN863" s="91"/>
      <c r="AO863" s="91"/>
      <c r="AP863" s="9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91"/>
      <c r="BE863" s="91"/>
      <c r="BF863" s="146"/>
    </row>
    <row r="864" spans="1:58" s="138" customFormat="1" ht="27" customHeight="1">
      <c r="A864" s="1192"/>
      <c r="B864" s="961"/>
      <c r="C864" s="1225"/>
      <c r="D864" s="84">
        <v>2022</v>
      </c>
      <c r="E864" s="85">
        <f>F864+G864+H864+I864+J864</f>
        <v>35</v>
      </c>
      <c r="F864" s="85">
        <v>0</v>
      </c>
      <c r="G864" s="85">
        <v>0</v>
      </c>
      <c r="H864" s="85">
        <v>16.5</v>
      </c>
      <c r="I864" s="85">
        <v>18.5</v>
      </c>
      <c r="J864" s="85">
        <v>0</v>
      </c>
      <c r="K864" s="148">
        <v>0</v>
      </c>
      <c r="L864" s="497">
        <f t="shared" si="324"/>
        <v>35</v>
      </c>
      <c r="M864" s="693"/>
      <c r="N864" s="693"/>
      <c r="O864" s="403">
        <v>3</v>
      </c>
      <c r="P864" s="1287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  <c r="AF864" s="91"/>
      <c r="AG864" s="91"/>
      <c r="AH864" s="91"/>
      <c r="AI864" s="91"/>
      <c r="AJ864" s="91"/>
      <c r="AK864" s="91"/>
      <c r="AL864" s="91"/>
      <c r="AM864" s="91"/>
      <c r="AN864" s="91"/>
      <c r="AO864" s="91"/>
      <c r="AP864" s="9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91"/>
      <c r="BE864" s="91"/>
      <c r="BF864" s="146"/>
    </row>
    <row r="865" spans="1:58" s="138" customFormat="1" ht="12.75" customHeight="1">
      <c r="A865" s="1190" t="s">
        <v>1310</v>
      </c>
      <c r="B865" s="1080" t="s">
        <v>921</v>
      </c>
      <c r="C865" s="1225"/>
      <c r="D865" s="84" t="s">
        <v>16</v>
      </c>
      <c r="E865" s="85">
        <f>E866</f>
        <v>9</v>
      </c>
      <c r="F865" s="85">
        <f>F866</f>
        <v>0</v>
      </c>
      <c r="G865" s="85">
        <f>G866</f>
        <v>0</v>
      </c>
      <c r="H865" s="85">
        <f>H866</f>
        <v>4.5</v>
      </c>
      <c r="I865" s="85">
        <f>I866</f>
        <v>4.5</v>
      </c>
      <c r="J865" s="85">
        <v>0</v>
      </c>
      <c r="K865" s="148">
        <v>0</v>
      </c>
      <c r="L865" s="497">
        <f t="shared" si="324"/>
        <v>9</v>
      </c>
      <c r="M865" s="693" t="s">
        <v>915</v>
      </c>
      <c r="N865" s="693">
        <v>15</v>
      </c>
      <c r="O865" s="403">
        <v>2</v>
      </c>
      <c r="P865" s="1286" t="s">
        <v>891</v>
      </c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  <c r="AF865" s="91"/>
      <c r="AG865" s="91"/>
      <c r="AH865" s="91"/>
      <c r="AI865" s="91"/>
      <c r="AJ865" s="91"/>
      <c r="AK865" s="91"/>
      <c r="AL865" s="91"/>
      <c r="AM865" s="91"/>
      <c r="AN865" s="91"/>
      <c r="AO865" s="91"/>
      <c r="AP865" s="9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91"/>
      <c r="BE865" s="91"/>
      <c r="BF865" s="146"/>
    </row>
    <row r="866" spans="1:58" s="138" customFormat="1" ht="42.75" customHeight="1">
      <c r="A866" s="1191"/>
      <c r="B866" s="1261"/>
      <c r="C866" s="1225"/>
      <c r="D866" s="84">
        <v>2020</v>
      </c>
      <c r="E866" s="85">
        <f>F866+G866+H866+I866+J866</f>
        <v>9</v>
      </c>
      <c r="F866" s="85">
        <v>0</v>
      </c>
      <c r="G866" s="85">
        <v>0</v>
      </c>
      <c r="H866" s="85">
        <v>4.5</v>
      </c>
      <c r="I866" s="85">
        <v>4.5</v>
      </c>
      <c r="J866" s="85">
        <v>0</v>
      </c>
      <c r="K866" s="148">
        <v>0</v>
      </c>
      <c r="L866" s="497">
        <f t="shared" si="324"/>
        <v>9</v>
      </c>
      <c r="M866" s="693"/>
      <c r="N866" s="693"/>
      <c r="O866" s="403"/>
      <c r="P866" s="1300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  <c r="AF866" s="91"/>
      <c r="AG866" s="91"/>
      <c r="AH866" s="91"/>
      <c r="AI866" s="91"/>
      <c r="AJ866" s="91"/>
      <c r="AK866" s="91"/>
      <c r="AL866" s="91"/>
      <c r="AM866" s="91"/>
      <c r="AN866" s="91"/>
      <c r="AO866" s="91"/>
      <c r="AP866" s="9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91"/>
      <c r="BE866" s="91"/>
      <c r="BF866" s="146"/>
    </row>
    <row r="867" spans="1:58" s="138" customFormat="1" ht="12.75" customHeight="1">
      <c r="A867" s="1190" t="s">
        <v>1311</v>
      </c>
      <c r="B867" s="1080" t="s">
        <v>923</v>
      </c>
      <c r="C867" s="1225"/>
      <c r="D867" s="84" t="s">
        <v>16</v>
      </c>
      <c r="E867" s="85">
        <f>E868</f>
        <v>4</v>
      </c>
      <c r="F867" s="85">
        <f>F868</f>
        <v>0</v>
      </c>
      <c r="G867" s="85">
        <f>G868</f>
        <v>0</v>
      </c>
      <c r="H867" s="85">
        <f>H868</f>
        <v>2</v>
      </c>
      <c r="I867" s="85">
        <f>I868</f>
        <v>2</v>
      </c>
      <c r="J867" s="85">
        <v>0</v>
      </c>
      <c r="K867" s="148">
        <v>0</v>
      </c>
      <c r="L867" s="497">
        <f t="shared" si="324"/>
        <v>4</v>
      </c>
      <c r="M867" s="693" t="s">
        <v>880</v>
      </c>
      <c r="N867" s="693">
        <v>4.2</v>
      </c>
      <c r="O867" s="403">
        <v>4</v>
      </c>
      <c r="P867" s="1242" t="s">
        <v>924</v>
      </c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  <c r="AF867" s="91"/>
      <c r="AG867" s="91"/>
      <c r="AH867" s="91"/>
      <c r="AI867" s="91"/>
      <c r="AJ867" s="91"/>
      <c r="AK867" s="91"/>
      <c r="AL867" s="91"/>
      <c r="AM867" s="91"/>
      <c r="AN867" s="91"/>
      <c r="AO867" s="91"/>
      <c r="AP867" s="9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91"/>
      <c r="BE867" s="91"/>
      <c r="BF867" s="146"/>
    </row>
    <row r="868" spans="1:58" s="138" customFormat="1" ht="45" customHeight="1">
      <c r="A868" s="1191"/>
      <c r="B868" s="1261"/>
      <c r="C868" s="1225"/>
      <c r="D868" s="84">
        <v>2020</v>
      </c>
      <c r="E868" s="85">
        <f>F868+G868+H868+I868+J868</f>
        <v>4</v>
      </c>
      <c r="F868" s="85">
        <v>0</v>
      </c>
      <c r="G868" s="85">
        <v>0</v>
      </c>
      <c r="H868" s="85">
        <v>2</v>
      </c>
      <c r="I868" s="85">
        <v>2</v>
      </c>
      <c r="J868" s="85">
        <v>0</v>
      </c>
      <c r="K868" s="148">
        <v>0</v>
      </c>
      <c r="L868" s="497">
        <f t="shared" si="324"/>
        <v>4</v>
      </c>
      <c r="M868" s="693"/>
      <c r="N868" s="693"/>
      <c r="O868" s="403"/>
      <c r="P868" s="1264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  <c r="AF868" s="91"/>
      <c r="AG868" s="91"/>
      <c r="AH868" s="91"/>
      <c r="AI868" s="91"/>
      <c r="AJ868" s="91"/>
      <c r="AK868" s="91"/>
      <c r="AL868" s="91"/>
      <c r="AM868" s="91"/>
      <c r="AN868" s="91"/>
      <c r="AO868" s="91"/>
      <c r="AP868" s="9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91"/>
      <c r="BE868" s="91"/>
      <c r="BF868" s="146"/>
    </row>
    <row r="869" spans="1:58" s="138" customFormat="1" ht="12.75" customHeight="1">
      <c r="A869" s="1190" t="s">
        <v>1312</v>
      </c>
      <c r="B869" s="1224" t="s">
        <v>926</v>
      </c>
      <c r="C869" s="1225"/>
      <c r="D869" s="84" t="s">
        <v>16</v>
      </c>
      <c r="E869" s="85">
        <f t="shared" ref="E869:J869" si="325">E870</f>
        <v>3</v>
      </c>
      <c r="F869" s="85">
        <f t="shared" si="325"/>
        <v>0</v>
      </c>
      <c r="G869" s="85">
        <f t="shared" si="325"/>
        <v>0</v>
      </c>
      <c r="H869" s="85">
        <f t="shared" si="325"/>
        <v>2.6</v>
      </c>
      <c r="I869" s="85">
        <f t="shared" si="325"/>
        <v>0.4</v>
      </c>
      <c r="J869" s="85">
        <f t="shared" si="325"/>
        <v>0</v>
      </c>
      <c r="K869" s="148">
        <v>0</v>
      </c>
      <c r="L869" s="497">
        <f t="shared" si="324"/>
        <v>3</v>
      </c>
      <c r="M869" s="693" t="s">
        <v>927</v>
      </c>
      <c r="N869" s="693">
        <v>2.1</v>
      </c>
      <c r="O869" s="403">
        <v>2</v>
      </c>
      <c r="P869" s="1242" t="s">
        <v>928</v>
      </c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  <c r="AF869" s="91"/>
      <c r="AG869" s="91"/>
      <c r="AH869" s="91"/>
      <c r="AI869" s="91"/>
      <c r="AJ869" s="91"/>
      <c r="AK869" s="91"/>
      <c r="AL869" s="91"/>
      <c r="AM869" s="91"/>
      <c r="AN869" s="91"/>
      <c r="AO869" s="91"/>
      <c r="AP869" s="9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91"/>
      <c r="BE869" s="91"/>
      <c r="BF869" s="146"/>
    </row>
    <row r="870" spans="1:58" s="138" customFormat="1" ht="50.25" customHeight="1">
      <c r="A870" s="1191"/>
      <c r="B870" s="1225"/>
      <c r="C870" s="1225"/>
      <c r="D870" s="84">
        <v>2020</v>
      </c>
      <c r="E870" s="85">
        <f>F870+G870+H870+I870+J870</f>
        <v>3</v>
      </c>
      <c r="F870" s="85">
        <v>0</v>
      </c>
      <c r="G870" s="85">
        <v>0</v>
      </c>
      <c r="H870" s="85">
        <v>2.6</v>
      </c>
      <c r="I870" s="85">
        <v>0.4</v>
      </c>
      <c r="J870" s="85">
        <v>0</v>
      </c>
      <c r="K870" s="148">
        <v>0</v>
      </c>
      <c r="L870" s="497">
        <f t="shared" si="324"/>
        <v>3</v>
      </c>
      <c r="M870" s="693"/>
      <c r="N870" s="693"/>
      <c r="O870" s="403"/>
      <c r="P870" s="1265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  <c r="AF870" s="91"/>
      <c r="AG870" s="91"/>
      <c r="AH870" s="91"/>
      <c r="AI870" s="91"/>
      <c r="AJ870" s="91"/>
      <c r="AK870" s="91"/>
      <c r="AL870" s="91"/>
      <c r="AM870" s="91"/>
      <c r="AN870" s="91"/>
      <c r="AO870" s="91"/>
      <c r="AP870" s="9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91"/>
      <c r="BE870" s="91"/>
      <c r="BF870" s="146"/>
    </row>
    <row r="871" spans="1:58" s="138" customFormat="1">
      <c r="A871" s="1190" t="s">
        <v>1313</v>
      </c>
      <c r="B871" s="1080" t="s">
        <v>930</v>
      </c>
      <c r="C871" s="1225"/>
      <c r="D871" s="84" t="s">
        <v>16</v>
      </c>
      <c r="E871" s="85">
        <f>E872</f>
        <v>4</v>
      </c>
      <c r="F871" s="85">
        <f>F872</f>
        <v>0</v>
      </c>
      <c r="G871" s="85">
        <f>G872</f>
        <v>0</v>
      </c>
      <c r="H871" s="85">
        <f>H872</f>
        <v>2</v>
      </c>
      <c r="I871" s="85">
        <f>I872</f>
        <v>2</v>
      </c>
      <c r="J871" s="85">
        <v>0</v>
      </c>
      <c r="K871" s="148">
        <v>0</v>
      </c>
      <c r="L871" s="497">
        <f t="shared" si="324"/>
        <v>4</v>
      </c>
      <c r="M871" s="693" t="s">
        <v>931</v>
      </c>
      <c r="N871" s="693">
        <v>1.2</v>
      </c>
      <c r="O871" s="403">
        <v>1</v>
      </c>
      <c r="P871" s="1166" t="s">
        <v>932</v>
      </c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  <c r="AF871" s="91"/>
      <c r="AG871" s="91"/>
      <c r="AH871" s="91"/>
      <c r="AI871" s="91"/>
      <c r="AJ871" s="91"/>
      <c r="AK871" s="91"/>
      <c r="AL871" s="91"/>
      <c r="AM871" s="91"/>
      <c r="AN871" s="91"/>
      <c r="AO871" s="91"/>
      <c r="AP871" s="9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91"/>
      <c r="BE871" s="91"/>
      <c r="BF871" s="146"/>
    </row>
    <row r="872" spans="1:58" s="138" customFormat="1">
      <c r="A872" s="1192"/>
      <c r="B872" s="1288"/>
      <c r="C872" s="1225"/>
      <c r="D872" s="84">
        <v>2022</v>
      </c>
      <c r="E872" s="85">
        <f>F872+G872+H872+I872+J872</f>
        <v>4</v>
      </c>
      <c r="F872" s="85">
        <v>0</v>
      </c>
      <c r="G872" s="85">
        <v>0</v>
      </c>
      <c r="H872" s="85">
        <v>2</v>
      </c>
      <c r="I872" s="85">
        <v>2</v>
      </c>
      <c r="J872" s="85">
        <v>0</v>
      </c>
      <c r="K872" s="148">
        <v>0</v>
      </c>
      <c r="L872" s="497">
        <f t="shared" si="324"/>
        <v>4</v>
      </c>
      <c r="M872" s="693"/>
      <c r="N872" s="693"/>
      <c r="O872" s="403"/>
      <c r="P872" s="124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  <c r="AF872" s="91"/>
      <c r="AG872" s="91"/>
      <c r="AH872" s="91"/>
      <c r="AI872" s="91"/>
      <c r="AJ872" s="91"/>
      <c r="AK872" s="91"/>
      <c r="AL872" s="91"/>
      <c r="AM872" s="91"/>
      <c r="AN872" s="91"/>
      <c r="AO872" s="91"/>
      <c r="AP872" s="9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91"/>
      <c r="BE872" s="91"/>
      <c r="BF872" s="146"/>
    </row>
    <row r="873" spans="1:58" s="138" customFormat="1" ht="12.75" customHeight="1">
      <c r="A873" s="1190" t="s">
        <v>1314</v>
      </c>
      <c r="B873" s="1224" t="s">
        <v>937</v>
      </c>
      <c r="C873" s="1225"/>
      <c r="D873" s="84" t="s">
        <v>16</v>
      </c>
      <c r="E873" s="85">
        <f t="shared" ref="E873:J873" si="326">E874+E875+E876</f>
        <v>11</v>
      </c>
      <c r="F873" s="85">
        <f t="shared" si="326"/>
        <v>0</v>
      </c>
      <c r="G873" s="85">
        <f t="shared" si="326"/>
        <v>0</v>
      </c>
      <c r="H873" s="85">
        <f t="shared" si="326"/>
        <v>5.5</v>
      </c>
      <c r="I873" s="85">
        <f t="shared" si="326"/>
        <v>5.5</v>
      </c>
      <c r="J873" s="85">
        <f t="shared" si="326"/>
        <v>0</v>
      </c>
      <c r="K873" s="148">
        <v>0</v>
      </c>
      <c r="L873" s="497">
        <f t="shared" si="324"/>
        <v>11</v>
      </c>
      <c r="M873" s="693" t="s">
        <v>938</v>
      </c>
      <c r="N873" s="693">
        <v>2.1</v>
      </c>
      <c r="O873" s="403"/>
      <c r="P873" s="1286" t="s">
        <v>939</v>
      </c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  <c r="AF873" s="91"/>
      <c r="AG873" s="91"/>
      <c r="AH873" s="91"/>
      <c r="AI873" s="91"/>
      <c r="AJ873" s="91"/>
      <c r="AK873" s="91"/>
      <c r="AL873" s="91"/>
      <c r="AM873" s="91"/>
      <c r="AN873" s="91"/>
      <c r="AO873" s="91"/>
      <c r="AP873" s="9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91"/>
      <c r="BE873" s="91"/>
      <c r="BF873" s="146"/>
    </row>
    <row r="874" spans="1:58" s="138" customFormat="1">
      <c r="A874" s="1191"/>
      <c r="B874" s="1225"/>
      <c r="C874" s="1225"/>
      <c r="D874" s="84">
        <v>2020</v>
      </c>
      <c r="E874" s="85">
        <f>F874+G874+H874+I874+J874</f>
        <v>4</v>
      </c>
      <c r="F874" s="85">
        <v>0</v>
      </c>
      <c r="G874" s="85">
        <v>0</v>
      </c>
      <c r="H874" s="85">
        <v>2</v>
      </c>
      <c r="I874" s="85">
        <v>2</v>
      </c>
      <c r="J874" s="85">
        <v>0</v>
      </c>
      <c r="K874" s="148">
        <v>0</v>
      </c>
      <c r="L874" s="497">
        <f t="shared" si="324"/>
        <v>4</v>
      </c>
      <c r="M874" s="693"/>
      <c r="N874" s="693"/>
      <c r="O874" s="403"/>
      <c r="P874" s="1300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  <c r="AF874" s="91"/>
      <c r="AG874" s="91"/>
      <c r="AH874" s="91"/>
      <c r="AI874" s="91"/>
      <c r="AJ874" s="91"/>
      <c r="AK874" s="91"/>
      <c r="AL874" s="91"/>
      <c r="AM874" s="91"/>
      <c r="AN874" s="91"/>
      <c r="AO874" s="91"/>
      <c r="AP874" s="9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91"/>
      <c r="BE874" s="91"/>
      <c r="BF874" s="146"/>
    </row>
    <row r="875" spans="1:58" s="138" customFormat="1">
      <c r="A875" s="1191"/>
      <c r="B875" s="1225"/>
      <c r="C875" s="1225"/>
      <c r="D875" s="84">
        <v>2022</v>
      </c>
      <c r="E875" s="85">
        <f>F875+G875+H875+I875+J875</f>
        <v>4</v>
      </c>
      <c r="F875" s="85">
        <v>0</v>
      </c>
      <c r="G875" s="85">
        <v>0</v>
      </c>
      <c r="H875" s="85">
        <v>2</v>
      </c>
      <c r="I875" s="85">
        <v>2</v>
      </c>
      <c r="J875" s="85">
        <v>0</v>
      </c>
      <c r="K875" s="148">
        <v>0</v>
      </c>
      <c r="L875" s="497">
        <f t="shared" si="324"/>
        <v>4</v>
      </c>
      <c r="M875" s="693"/>
      <c r="N875" s="693"/>
      <c r="O875" s="403"/>
      <c r="P875" s="1300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  <c r="AF875" s="91"/>
      <c r="AG875" s="91"/>
      <c r="AH875" s="91"/>
      <c r="AI875" s="91"/>
      <c r="AJ875" s="91"/>
      <c r="AK875" s="91"/>
      <c r="AL875" s="91"/>
      <c r="AM875" s="91"/>
      <c r="AN875" s="91"/>
      <c r="AO875" s="91"/>
      <c r="AP875" s="9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91"/>
      <c r="BE875" s="91"/>
      <c r="BF875" s="146"/>
    </row>
    <row r="876" spans="1:58" s="138" customFormat="1">
      <c r="A876" s="1192"/>
      <c r="B876" s="1226"/>
      <c r="C876" s="1225"/>
      <c r="D876" s="84">
        <v>2023</v>
      </c>
      <c r="E876" s="85">
        <f>H876+I876</f>
        <v>3</v>
      </c>
      <c r="F876" s="85">
        <v>0</v>
      </c>
      <c r="G876" s="85">
        <v>0</v>
      </c>
      <c r="H876" s="85">
        <v>1.5</v>
      </c>
      <c r="I876" s="85">
        <v>1.5</v>
      </c>
      <c r="J876" s="85">
        <v>0</v>
      </c>
      <c r="K876" s="148">
        <v>0</v>
      </c>
      <c r="L876" s="497"/>
      <c r="M876" s="693"/>
      <c r="N876" s="693"/>
      <c r="O876" s="403"/>
      <c r="P876" s="1299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  <c r="AF876" s="91"/>
      <c r="AG876" s="91"/>
      <c r="AH876" s="91"/>
      <c r="AI876" s="91"/>
      <c r="AJ876" s="91"/>
      <c r="AK876" s="91"/>
      <c r="AL876" s="91"/>
      <c r="AM876" s="91"/>
      <c r="AN876" s="91"/>
      <c r="AO876" s="91"/>
      <c r="AP876" s="9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91"/>
      <c r="BE876" s="91"/>
      <c r="BF876" s="146"/>
    </row>
    <row r="877" spans="1:58" s="138" customFormat="1" ht="12.75" customHeight="1">
      <c r="A877" s="1190" t="s">
        <v>1315</v>
      </c>
      <c r="B877" s="1224" t="s">
        <v>941</v>
      </c>
      <c r="C877" s="1225"/>
      <c r="D877" s="84" t="s">
        <v>16</v>
      </c>
      <c r="E877" s="85">
        <f t="shared" ref="E877:J877" si="327">E878+E879+E880</f>
        <v>11</v>
      </c>
      <c r="F877" s="85">
        <f t="shared" si="327"/>
        <v>0</v>
      </c>
      <c r="G877" s="85">
        <f t="shared" si="327"/>
        <v>0</v>
      </c>
      <c r="H877" s="85">
        <f t="shared" si="327"/>
        <v>5.5</v>
      </c>
      <c r="I877" s="85">
        <f t="shared" si="327"/>
        <v>5.5</v>
      </c>
      <c r="J877" s="85">
        <f t="shared" si="327"/>
        <v>0</v>
      </c>
      <c r="K877" s="148">
        <v>0</v>
      </c>
      <c r="L877" s="497">
        <f>F877+G877+H877+I877+J877</f>
        <v>11</v>
      </c>
      <c r="M877" s="693" t="s">
        <v>927</v>
      </c>
      <c r="N877" s="693"/>
      <c r="O877" s="403">
        <v>4</v>
      </c>
      <c r="P877" s="1286" t="s">
        <v>942</v>
      </c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  <c r="AF877" s="91"/>
      <c r="AG877" s="91"/>
      <c r="AH877" s="91"/>
      <c r="AI877" s="91"/>
      <c r="AJ877" s="91"/>
      <c r="AK877" s="91"/>
      <c r="AL877" s="91"/>
      <c r="AM877" s="91"/>
      <c r="AN877" s="91"/>
      <c r="AO877" s="91"/>
      <c r="AP877" s="9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91"/>
      <c r="BE877" s="91"/>
      <c r="BF877" s="146"/>
    </row>
    <row r="878" spans="1:58" s="138" customFormat="1">
      <c r="A878" s="1191"/>
      <c r="B878" s="1225"/>
      <c r="C878" s="1225"/>
      <c r="D878" s="84">
        <v>2020</v>
      </c>
      <c r="E878" s="85">
        <f>F878+G878+H878+I878+J878</f>
        <v>4</v>
      </c>
      <c r="F878" s="85">
        <v>0</v>
      </c>
      <c r="G878" s="85">
        <v>0</v>
      </c>
      <c r="H878" s="85">
        <v>2</v>
      </c>
      <c r="I878" s="85">
        <v>2</v>
      </c>
      <c r="J878" s="85">
        <v>0</v>
      </c>
      <c r="K878" s="148">
        <v>0</v>
      </c>
      <c r="L878" s="497">
        <f>F878+G878+H878+I878+J878</f>
        <v>4</v>
      </c>
      <c r="M878" s="693"/>
      <c r="N878" s="693"/>
      <c r="O878" s="403"/>
      <c r="P878" s="1300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  <c r="AF878" s="91"/>
      <c r="AG878" s="91"/>
      <c r="AH878" s="91"/>
      <c r="AI878" s="91"/>
      <c r="AJ878" s="91"/>
      <c r="AK878" s="91"/>
      <c r="AL878" s="91"/>
      <c r="AM878" s="91"/>
      <c r="AN878" s="91"/>
      <c r="AO878" s="91"/>
      <c r="AP878" s="9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91"/>
      <c r="BE878" s="91"/>
      <c r="BF878" s="146"/>
    </row>
    <row r="879" spans="1:58" s="138" customFormat="1">
      <c r="A879" s="1191"/>
      <c r="B879" s="1225"/>
      <c r="C879" s="1225"/>
      <c r="D879" s="84">
        <v>2022</v>
      </c>
      <c r="E879" s="85">
        <f>F879+G879+H879+I879+J879</f>
        <v>4</v>
      </c>
      <c r="F879" s="85">
        <v>0</v>
      </c>
      <c r="G879" s="85">
        <v>0</v>
      </c>
      <c r="H879" s="85">
        <v>2</v>
      </c>
      <c r="I879" s="85">
        <v>2</v>
      </c>
      <c r="J879" s="85">
        <v>0</v>
      </c>
      <c r="K879" s="148">
        <v>0</v>
      </c>
      <c r="L879" s="497">
        <f>F879+G879+H879+I879+J879</f>
        <v>4</v>
      </c>
      <c r="M879" s="693"/>
      <c r="N879" s="693"/>
      <c r="O879" s="403"/>
      <c r="P879" s="1299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  <c r="AF879" s="91"/>
      <c r="AG879" s="91"/>
      <c r="AH879" s="91"/>
      <c r="AI879" s="91"/>
      <c r="AJ879" s="91"/>
      <c r="AK879" s="91"/>
      <c r="AL879" s="91"/>
      <c r="AM879" s="91"/>
      <c r="AN879" s="91"/>
      <c r="AO879" s="91"/>
      <c r="AP879" s="9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91"/>
      <c r="BE879" s="91"/>
      <c r="BF879" s="146"/>
    </row>
    <row r="880" spans="1:58" s="138" customFormat="1">
      <c r="A880" s="1192"/>
      <c r="B880" s="1226"/>
      <c r="C880" s="1225"/>
      <c r="D880" s="140">
        <v>2023</v>
      </c>
      <c r="E880" s="141">
        <f>F880+G880+H880+I880+J880</f>
        <v>3</v>
      </c>
      <c r="F880" s="141">
        <v>0</v>
      </c>
      <c r="G880" s="141">
        <v>0</v>
      </c>
      <c r="H880" s="141">
        <v>1.5</v>
      </c>
      <c r="I880" s="141">
        <v>1.5</v>
      </c>
      <c r="J880" s="141">
        <v>0</v>
      </c>
      <c r="K880" s="148">
        <v>0</v>
      </c>
      <c r="L880" s="497"/>
      <c r="M880" s="693"/>
      <c r="N880" s="693"/>
      <c r="O880" s="403"/>
      <c r="P880" s="678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  <c r="AF880" s="91"/>
      <c r="AG880" s="91"/>
      <c r="AH880" s="91"/>
      <c r="AI880" s="91"/>
      <c r="AJ880" s="91"/>
      <c r="AK880" s="91"/>
      <c r="AL880" s="91"/>
      <c r="AM880" s="91"/>
      <c r="AN880" s="91"/>
      <c r="AO880" s="91"/>
      <c r="AP880" s="9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91"/>
      <c r="BE880" s="91"/>
      <c r="BF880" s="146"/>
    </row>
    <row r="881" spans="1:58" s="138" customFormat="1" ht="12.75" customHeight="1">
      <c r="A881" s="1328" t="s">
        <v>1316</v>
      </c>
      <c r="B881" s="1245" t="s">
        <v>1317</v>
      </c>
      <c r="C881" s="1245" t="s">
        <v>1306</v>
      </c>
      <c r="D881" s="84" t="s">
        <v>16</v>
      </c>
      <c r="E881" s="85">
        <f t="shared" ref="E881:J881" si="328">E882+E883</f>
        <v>15</v>
      </c>
      <c r="F881" s="85">
        <f t="shared" si="328"/>
        <v>0</v>
      </c>
      <c r="G881" s="85">
        <f t="shared" si="328"/>
        <v>0</v>
      </c>
      <c r="H881" s="85">
        <f t="shared" si="328"/>
        <v>15</v>
      </c>
      <c r="I881" s="85">
        <f t="shared" si="328"/>
        <v>0</v>
      </c>
      <c r="J881" s="85">
        <f t="shared" si="328"/>
        <v>0</v>
      </c>
      <c r="K881" s="148">
        <v>0</v>
      </c>
      <c r="L881" s="473">
        <f>L882+L883</f>
        <v>15</v>
      </c>
      <c r="M881" s="693" t="s">
        <v>927</v>
      </c>
      <c r="N881" s="693"/>
      <c r="O881" s="403">
        <v>4</v>
      </c>
      <c r="P881" s="1286" t="s">
        <v>1318</v>
      </c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  <c r="AF881" s="91"/>
      <c r="AG881" s="91"/>
      <c r="AH881" s="91"/>
      <c r="AI881" s="91"/>
      <c r="AJ881" s="91"/>
      <c r="AK881" s="91"/>
      <c r="AL881" s="91"/>
      <c r="AM881" s="91"/>
      <c r="AN881" s="91"/>
      <c r="AO881" s="91"/>
      <c r="AP881" s="9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91"/>
      <c r="BE881" s="91"/>
      <c r="BF881" s="146"/>
    </row>
    <row r="882" spans="1:58" s="138" customFormat="1">
      <c r="A882" s="1328"/>
      <c r="B882" s="1245"/>
      <c r="C882" s="1245"/>
      <c r="D882" s="84">
        <v>2023</v>
      </c>
      <c r="E882" s="85">
        <f>F882+G882+H882+I882+J882</f>
        <v>10</v>
      </c>
      <c r="F882" s="85">
        <v>0</v>
      </c>
      <c r="G882" s="85">
        <v>0</v>
      </c>
      <c r="H882" s="85">
        <v>10</v>
      </c>
      <c r="I882" s="85">
        <v>0</v>
      </c>
      <c r="J882" s="85">
        <v>0</v>
      </c>
      <c r="K882" s="148">
        <v>0</v>
      </c>
      <c r="L882" s="497">
        <f>F882+G882+H882+I882+J882</f>
        <v>10</v>
      </c>
      <c r="M882" s="693"/>
      <c r="N882" s="693"/>
      <c r="O882" s="403"/>
      <c r="P882" s="1300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  <c r="AF882" s="91"/>
      <c r="AG882" s="91"/>
      <c r="AH882" s="91"/>
      <c r="AI882" s="91"/>
      <c r="AJ882" s="91"/>
      <c r="AK882" s="91"/>
      <c r="AL882" s="91"/>
      <c r="AM882" s="91"/>
      <c r="AN882" s="91"/>
      <c r="AO882" s="91"/>
      <c r="AP882" s="9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91"/>
      <c r="BE882" s="91"/>
      <c r="BF882" s="146"/>
    </row>
    <row r="883" spans="1:58" s="138" customFormat="1">
      <c r="A883" s="1328"/>
      <c r="B883" s="1245"/>
      <c r="C883" s="1245"/>
      <c r="D883" s="84">
        <v>2024</v>
      </c>
      <c r="E883" s="85">
        <f>F883+G883+H883+I883+J883</f>
        <v>5</v>
      </c>
      <c r="F883" s="85">
        <v>0</v>
      </c>
      <c r="G883" s="85">
        <v>0</v>
      </c>
      <c r="H883" s="85">
        <v>5</v>
      </c>
      <c r="I883" s="85">
        <v>0</v>
      </c>
      <c r="J883" s="85">
        <v>0</v>
      </c>
      <c r="K883" s="148">
        <v>0</v>
      </c>
      <c r="L883" s="497">
        <f>F883+G883+H883+I883+J883</f>
        <v>5</v>
      </c>
      <c r="M883" s="693"/>
      <c r="N883" s="693"/>
      <c r="O883" s="403"/>
      <c r="P883" s="1299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  <c r="AF883" s="91"/>
      <c r="AG883" s="91"/>
      <c r="AH883" s="91"/>
      <c r="AI883" s="91"/>
      <c r="AJ883" s="91"/>
      <c r="AK883" s="91"/>
      <c r="AL883" s="91"/>
      <c r="AM883" s="91"/>
      <c r="AN883" s="91"/>
      <c r="AO883" s="91"/>
      <c r="AP883" s="9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91"/>
      <c r="BE883" s="91"/>
      <c r="BF883" s="146"/>
    </row>
    <row r="884" spans="1:58" s="138" customFormat="1" ht="12.75" customHeight="1">
      <c r="A884" s="1328" t="s">
        <v>1319</v>
      </c>
      <c r="B884" s="1245" t="s">
        <v>1320</v>
      </c>
      <c r="C884" s="1245" t="s">
        <v>1306</v>
      </c>
      <c r="D884" s="84" t="s">
        <v>16</v>
      </c>
      <c r="E884" s="85">
        <f t="shared" ref="E884:J884" si="329">E885+E886</f>
        <v>15</v>
      </c>
      <c r="F884" s="85">
        <f t="shared" si="329"/>
        <v>0</v>
      </c>
      <c r="G884" s="85">
        <f t="shared" si="329"/>
        <v>0</v>
      </c>
      <c r="H884" s="85">
        <f t="shared" si="329"/>
        <v>15</v>
      </c>
      <c r="I884" s="85">
        <f t="shared" si="329"/>
        <v>0</v>
      </c>
      <c r="J884" s="85">
        <f t="shared" si="329"/>
        <v>0</v>
      </c>
      <c r="K884" s="148">
        <v>0</v>
      </c>
      <c r="L884" s="473">
        <f>L885+L886</f>
        <v>15</v>
      </c>
      <c r="M884" s="693" t="s">
        <v>927</v>
      </c>
      <c r="N884" s="693"/>
      <c r="O884" s="403">
        <v>4</v>
      </c>
      <c r="P884" s="1286" t="s">
        <v>1321</v>
      </c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  <c r="AF884" s="91"/>
      <c r="AG884" s="91"/>
      <c r="AH884" s="91"/>
      <c r="AI884" s="91"/>
      <c r="AJ884" s="91"/>
      <c r="AK884" s="91"/>
      <c r="AL884" s="91"/>
      <c r="AM884" s="91"/>
      <c r="AN884" s="91"/>
      <c r="AO884" s="91"/>
      <c r="AP884" s="9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91"/>
      <c r="BE884" s="91"/>
      <c r="BF884" s="146"/>
    </row>
    <row r="885" spans="1:58" s="138" customFormat="1">
      <c r="A885" s="1328"/>
      <c r="B885" s="1245"/>
      <c r="C885" s="1245"/>
      <c r="D885" s="84">
        <v>2024</v>
      </c>
      <c r="E885" s="85">
        <f>F885+G885+H885+I885+J885</f>
        <v>10</v>
      </c>
      <c r="F885" s="85">
        <v>0</v>
      </c>
      <c r="G885" s="85">
        <v>0</v>
      </c>
      <c r="H885" s="85">
        <v>10</v>
      </c>
      <c r="I885" s="85">
        <v>0</v>
      </c>
      <c r="J885" s="85">
        <v>0</v>
      </c>
      <c r="K885" s="148">
        <v>0</v>
      </c>
      <c r="L885" s="497">
        <f>F885+G885+H885+I885+J885</f>
        <v>10</v>
      </c>
      <c r="M885" s="693"/>
      <c r="N885" s="693"/>
      <c r="O885" s="403"/>
      <c r="P885" s="1300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  <c r="AF885" s="91"/>
      <c r="AG885" s="91"/>
      <c r="AH885" s="91"/>
      <c r="AI885" s="91"/>
      <c r="AJ885" s="91"/>
      <c r="AK885" s="91"/>
      <c r="AL885" s="91"/>
      <c r="AM885" s="91"/>
      <c r="AN885" s="91"/>
      <c r="AO885" s="91"/>
      <c r="AP885" s="9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91"/>
      <c r="BE885" s="91"/>
      <c r="BF885" s="146"/>
    </row>
    <row r="886" spans="1:58" s="138" customFormat="1">
      <c r="A886" s="1328"/>
      <c r="B886" s="1245"/>
      <c r="C886" s="1245"/>
      <c r="D886" s="84">
        <v>2025</v>
      </c>
      <c r="E886" s="85">
        <f>F886+G886+H886+I886+J886</f>
        <v>5</v>
      </c>
      <c r="F886" s="85">
        <v>0</v>
      </c>
      <c r="G886" s="85">
        <v>0</v>
      </c>
      <c r="H886" s="85">
        <v>5</v>
      </c>
      <c r="I886" s="85">
        <v>0</v>
      </c>
      <c r="J886" s="85">
        <v>0</v>
      </c>
      <c r="K886" s="148">
        <v>0</v>
      </c>
      <c r="L886" s="497">
        <f>F886+G886+H886+I886+J886</f>
        <v>5</v>
      </c>
      <c r="M886" s="693"/>
      <c r="N886" s="693"/>
      <c r="O886" s="403"/>
      <c r="P886" s="1299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  <c r="AF886" s="91"/>
      <c r="AG886" s="91"/>
      <c r="AH886" s="91"/>
      <c r="AI886" s="91"/>
      <c r="AJ886" s="91"/>
      <c r="AK886" s="91"/>
      <c r="AL886" s="91"/>
      <c r="AM886" s="91"/>
      <c r="AN886" s="91"/>
      <c r="AO886" s="91"/>
      <c r="AP886" s="9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91"/>
      <c r="BE886" s="91"/>
      <c r="BF886" s="146"/>
    </row>
    <row r="887" spans="1:58" s="138" customFormat="1" ht="12.75" customHeight="1">
      <c r="A887" s="1328" t="s">
        <v>1322</v>
      </c>
      <c r="B887" s="1245" t="s">
        <v>1323</v>
      </c>
      <c r="C887" s="1245" t="s">
        <v>1306</v>
      </c>
      <c r="D887" s="84" t="s">
        <v>16</v>
      </c>
      <c r="E887" s="85">
        <f t="shared" ref="E887:J887" si="330">E888+E889</f>
        <v>15</v>
      </c>
      <c r="F887" s="85">
        <f t="shared" si="330"/>
        <v>0</v>
      </c>
      <c r="G887" s="85">
        <f t="shared" si="330"/>
        <v>0</v>
      </c>
      <c r="H887" s="85">
        <f t="shared" si="330"/>
        <v>15</v>
      </c>
      <c r="I887" s="85">
        <f t="shared" si="330"/>
        <v>0</v>
      </c>
      <c r="J887" s="85">
        <f t="shared" si="330"/>
        <v>0</v>
      </c>
      <c r="K887" s="148">
        <v>0</v>
      </c>
      <c r="L887" s="473">
        <f>L888+L889</f>
        <v>15</v>
      </c>
      <c r="M887" s="693" t="s">
        <v>927</v>
      </c>
      <c r="N887" s="693"/>
      <c r="O887" s="403">
        <v>4</v>
      </c>
      <c r="P887" s="1286" t="s">
        <v>1324</v>
      </c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  <c r="AF887" s="91"/>
      <c r="AG887" s="91"/>
      <c r="AH887" s="91"/>
      <c r="AI887" s="91"/>
      <c r="AJ887" s="91"/>
      <c r="AK887" s="91"/>
      <c r="AL887" s="91"/>
      <c r="AM887" s="91"/>
      <c r="AN887" s="91"/>
      <c r="AO887" s="91"/>
      <c r="AP887" s="9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91"/>
      <c r="BE887" s="91"/>
      <c r="BF887" s="146"/>
    </row>
    <row r="888" spans="1:58" s="138" customFormat="1">
      <c r="A888" s="1328"/>
      <c r="B888" s="1245"/>
      <c r="C888" s="1245"/>
      <c r="D888" s="84">
        <v>2025</v>
      </c>
      <c r="E888" s="85">
        <f>F888+G888+H888+I888+J888</f>
        <v>10</v>
      </c>
      <c r="F888" s="85">
        <v>0</v>
      </c>
      <c r="G888" s="85">
        <v>0</v>
      </c>
      <c r="H888" s="85">
        <v>10</v>
      </c>
      <c r="I888" s="85">
        <v>0</v>
      </c>
      <c r="J888" s="85">
        <v>0</v>
      </c>
      <c r="K888" s="148">
        <v>0</v>
      </c>
      <c r="L888" s="497">
        <f t="shared" ref="L888:L925" si="331">F888+G888+H888+I888+J888</f>
        <v>10</v>
      </c>
      <c r="M888" s="693"/>
      <c r="N888" s="693"/>
      <c r="O888" s="403"/>
      <c r="P888" s="1300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  <c r="AF888" s="91"/>
      <c r="AG888" s="91"/>
      <c r="AH888" s="91"/>
      <c r="AI888" s="91"/>
      <c r="AJ888" s="91"/>
      <c r="AK888" s="91"/>
      <c r="AL888" s="91"/>
      <c r="AM888" s="91"/>
      <c r="AN888" s="91"/>
      <c r="AO888" s="91"/>
      <c r="AP888" s="9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91"/>
      <c r="BE888" s="91"/>
      <c r="BF888" s="146"/>
    </row>
    <row r="889" spans="1:58" s="138" customFormat="1">
      <c r="A889" s="1328"/>
      <c r="B889" s="1245"/>
      <c r="C889" s="1245"/>
      <c r="D889" s="84">
        <v>2026</v>
      </c>
      <c r="E889" s="85">
        <f>F889+G889+H889+I889+J889</f>
        <v>5</v>
      </c>
      <c r="F889" s="85">
        <v>0</v>
      </c>
      <c r="G889" s="85">
        <v>0</v>
      </c>
      <c r="H889" s="85">
        <v>5</v>
      </c>
      <c r="I889" s="85">
        <v>0</v>
      </c>
      <c r="J889" s="85">
        <v>0</v>
      </c>
      <c r="K889" s="148">
        <v>0</v>
      </c>
      <c r="L889" s="497">
        <f t="shared" si="331"/>
        <v>5</v>
      </c>
      <c r="M889" s="693"/>
      <c r="N889" s="693"/>
      <c r="O889" s="403"/>
      <c r="P889" s="1299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  <c r="AF889" s="91"/>
      <c r="AG889" s="91"/>
      <c r="AH889" s="91"/>
      <c r="AI889" s="91"/>
      <c r="AJ889" s="91"/>
      <c r="AK889" s="91"/>
      <c r="AL889" s="91"/>
      <c r="AM889" s="91"/>
      <c r="AN889" s="91"/>
      <c r="AO889" s="91"/>
      <c r="AP889" s="9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91"/>
      <c r="BE889" s="91"/>
      <c r="BF889" s="146"/>
    </row>
    <row r="890" spans="1:58" s="138" customFormat="1" ht="24" customHeight="1">
      <c r="A890" s="1066" t="s">
        <v>1325</v>
      </c>
      <c r="B890" s="929" t="s">
        <v>944</v>
      </c>
      <c r="C890" s="1170"/>
      <c r="D890" s="140" t="s">
        <v>16</v>
      </c>
      <c r="E890" s="141">
        <f t="shared" ref="E890:J890" si="332">SUM(E891:E902)</f>
        <v>132142.0596988805</v>
      </c>
      <c r="F890" s="141">
        <f t="shared" si="332"/>
        <v>2.2296988804812798</v>
      </c>
      <c r="G890" s="141">
        <f t="shared" si="332"/>
        <v>0</v>
      </c>
      <c r="H890" s="141">
        <f t="shared" si="332"/>
        <v>0</v>
      </c>
      <c r="I890" s="141">
        <f t="shared" si="332"/>
        <v>132139.83000000002</v>
      </c>
      <c r="J890" s="141">
        <f t="shared" si="332"/>
        <v>0</v>
      </c>
      <c r="K890" s="148">
        <v>0</v>
      </c>
      <c r="L890" s="497">
        <f t="shared" si="331"/>
        <v>132142.0596988805</v>
      </c>
      <c r="M890" s="693"/>
      <c r="N890" s="693"/>
      <c r="O890" s="403"/>
      <c r="P890" s="678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  <c r="AF890" s="91"/>
      <c r="AG890" s="91"/>
      <c r="AH890" s="91"/>
      <c r="AI890" s="91"/>
      <c r="AJ890" s="91"/>
      <c r="AK890" s="91"/>
      <c r="AL890" s="91"/>
      <c r="AM890" s="91"/>
      <c r="AN890" s="91"/>
      <c r="AO890" s="91"/>
      <c r="AP890" s="9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91"/>
      <c r="BE890" s="91"/>
      <c r="BF890" s="146"/>
    </row>
    <row r="891" spans="1:58" s="138" customFormat="1">
      <c r="A891" s="1067"/>
      <c r="B891" s="960"/>
      <c r="C891" s="1218"/>
      <c r="D891" s="140">
        <v>2019</v>
      </c>
      <c r="E891" s="141">
        <f t="shared" ref="E891:J902" si="333">E904+E954+E980+E1006</f>
        <v>28255.242699999999</v>
      </c>
      <c r="F891" s="141">
        <f t="shared" si="333"/>
        <v>6.2700000000000006E-2</v>
      </c>
      <c r="G891" s="141">
        <f t="shared" si="333"/>
        <v>0</v>
      </c>
      <c r="H891" s="141">
        <f t="shared" si="333"/>
        <v>0</v>
      </c>
      <c r="I891" s="141">
        <f t="shared" si="333"/>
        <v>28255.18</v>
      </c>
      <c r="J891" s="141">
        <f t="shared" si="333"/>
        <v>0</v>
      </c>
      <c r="K891" s="148">
        <v>0</v>
      </c>
      <c r="L891" s="497">
        <f t="shared" si="331"/>
        <v>28255.242699999999</v>
      </c>
      <c r="M891" s="693"/>
      <c r="N891" s="693"/>
      <c r="O891" s="403"/>
      <c r="P891" s="678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  <c r="AF891" s="91"/>
      <c r="AG891" s="91"/>
      <c r="AH891" s="91"/>
      <c r="AI891" s="91"/>
      <c r="AJ891" s="91"/>
      <c r="AK891" s="91"/>
      <c r="AL891" s="91"/>
      <c r="AM891" s="91"/>
      <c r="AN891" s="91"/>
      <c r="AO891" s="91"/>
      <c r="AP891" s="9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91"/>
      <c r="BE891" s="91"/>
      <c r="BF891" s="146"/>
    </row>
    <row r="892" spans="1:58" s="138" customFormat="1">
      <c r="A892" s="1067"/>
      <c r="B892" s="960"/>
      <c r="C892" s="1218"/>
      <c r="D892" s="140">
        <v>2020</v>
      </c>
      <c r="E892" s="141">
        <f t="shared" si="333"/>
        <v>40983.826150000008</v>
      </c>
      <c r="F892" s="141">
        <f t="shared" si="333"/>
        <v>0.17615</v>
      </c>
      <c r="G892" s="141">
        <f t="shared" si="333"/>
        <v>0</v>
      </c>
      <c r="H892" s="141">
        <f t="shared" si="333"/>
        <v>0</v>
      </c>
      <c r="I892" s="141">
        <f t="shared" si="333"/>
        <v>40983.65</v>
      </c>
      <c r="J892" s="141">
        <f t="shared" si="333"/>
        <v>0</v>
      </c>
      <c r="K892" s="148">
        <v>0</v>
      </c>
      <c r="L892" s="497">
        <f t="shared" si="331"/>
        <v>40983.826150000001</v>
      </c>
      <c r="M892" s="693"/>
      <c r="N892" s="693"/>
      <c r="O892" s="403"/>
      <c r="P892" s="678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  <c r="AF892" s="91"/>
      <c r="AG892" s="91"/>
      <c r="AH892" s="91"/>
      <c r="AI892" s="91"/>
      <c r="AJ892" s="91"/>
      <c r="AK892" s="91"/>
      <c r="AL892" s="91"/>
      <c r="AM892" s="91"/>
      <c r="AN892" s="91"/>
      <c r="AO892" s="91"/>
      <c r="AP892" s="9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91"/>
      <c r="BE892" s="91"/>
      <c r="BF892" s="146"/>
    </row>
    <row r="893" spans="1:58" s="138" customFormat="1">
      <c r="A893" s="1067"/>
      <c r="B893" s="960"/>
      <c r="C893" s="1218"/>
      <c r="D893" s="140">
        <v>2021</v>
      </c>
      <c r="E893" s="141">
        <f t="shared" si="333"/>
        <v>33132.1106</v>
      </c>
      <c r="F893" s="141">
        <f t="shared" si="333"/>
        <v>0.11059999999999999</v>
      </c>
      <c r="G893" s="141">
        <f t="shared" si="333"/>
        <v>0</v>
      </c>
      <c r="H893" s="141">
        <f t="shared" si="333"/>
        <v>0</v>
      </c>
      <c r="I893" s="141">
        <f t="shared" si="333"/>
        <v>33132</v>
      </c>
      <c r="J893" s="141">
        <f t="shared" si="333"/>
        <v>0</v>
      </c>
      <c r="K893" s="148">
        <v>0</v>
      </c>
      <c r="L893" s="497">
        <f t="shared" si="331"/>
        <v>33132.1106</v>
      </c>
      <c r="M893" s="693"/>
      <c r="N893" s="693"/>
      <c r="O893" s="403"/>
      <c r="P893" s="678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  <c r="AF893" s="91"/>
      <c r="AG893" s="91"/>
      <c r="AH893" s="91"/>
      <c r="AI893" s="91"/>
      <c r="AJ893" s="91"/>
      <c r="AK893" s="91"/>
      <c r="AL893" s="91"/>
      <c r="AM893" s="91"/>
      <c r="AN893" s="91"/>
      <c r="AO893" s="91"/>
      <c r="AP893" s="9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91"/>
      <c r="BE893" s="91"/>
      <c r="BF893" s="146"/>
    </row>
    <row r="894" spans="1:58" s="138" customFormat="1">
      <c r="A894" s="1067"/>
      <c r="B894" s="960"/>
      <c r="C894" s="1218"/>
      <c r="D894" s="140">
        <v>2022</v>
      </c>
      <c r="E894" s="141">
        <f t="shared" si="333"/>
        <v>18329.1126</v>
      </c>
      <c r="F894" s="141">
        <f t="shared" si="333"/>
        <v>0.11259999999999999</v>
      </c>
      <c r="G894" s="141">
        <f t="shared" si="333"/>
        <v>0</v>
      </c>
      <c r="H894" s="141">
        <f t="shared" si="333"/>
        <v>0</v>
      </c>
      <c r="I894" s="141">
        <f t="shared" si="333"/>
        <v>18329</v>
      </c>
      <c r="J894" s="141">
        <f t="shared" si="333"/>
        <v>0</v>
      </c>
      <c r="K894" s="148">
        <v>0</v>
      </c>
      <c r="L894" s="497">
        <f t="shared" si="331"/>
        <v>18329.1126</v>
      </c>
      <c r="M894" s="693"/>
      <c r="N894" s="693"/>
      <c r="O894" s="403"/>
      <c r="P894" s="678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  <c r="AF894" s="91"/>
      <c r="AG894" s="91"/>
      <c r="AH894" s="91"/>
      <c r="AI894" s="91"/>
      <c r="AJ894" s="91"/>
      <c r="AK894" s="91"/>
      <c r="AL894" s="91"/>
      <c r="AM894" s="91"/>
      <c r="AN894" s="91"/>
      <c r="AO894" s="91"/>
      <c r="AP894" s="9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91"/>
      <c r="BE894" s="91"/>
      <c r="BF894" s="146"/>
    </row>
    <row r="895" spans="1:58" s="138" customFormat="1">
      <c r="A895" s="1067"/>
      <c r="B895" s="960"/>
      <c r="C895" s="1218"/>
      <c r="D895" s="140">
        <v>2023</v>
      </c>
      <c r="E895" s="141">
        <f t="shared" si="333"/>
        <v>11440.114</v>
      </c>
      <c r="F895" s="141">
        <f t="shared" si="333"/>
        <v>0.11399999999999999</v>
      </c>
      <c r="G895" s="141">
        <f t="shared" si="333"/>
        <v>0</v>
      </c>
      <c r="H895" s="141">
        <f t="shared" si="333"/>
        <v>0</v>
      </c>
      <c r="I895" s="141">
        <f t="shared" si="333"/>
        <v>11440</v>
      </c>
      <c r="J895" s="141">
        <f t="shared" si="333"/>
        <v>0</v>
      </c>
      <c r="K895" s="148">
        <v>0</v>
      </c>
      <c r="L895" s="497">
        <f t="shared" si="331"/>
        <v>11440.114</v>
      </c>
      <c r="M895" s="693"/>
      <c r="N895" s="693"/>
      <c r="O895" s="403"/>
      <c r="P895" s="678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  <c r="AF895" s="91"/>
      <c r="AG895" s="91"/>
      <c r="AH895" s="91"/>
      <c r="AI895" s="91"/>
      <c r="AJ895" s="91"/>
      <c r="AK895" s="91"/>
      <c r="AL895" s="91"/>
      <c r="AM895" s="91"/>
      <c r="AN895" s="91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146"/>
    </row>
    <row r="896" spans="1:58" s="138" customFormat="1">
      <c r="A896" s="1067"/>
      <c r="B896" s="960"/>
      <c r="C896" s="1218"/>
      <c r="D896" s="140">
        <v>2024</v>
      </c>
      <c r="E896" s="141">
        <f t="shared" si="333"/>
        <v>0.21138999999999999</v>
      </c>
      <c r="F896" s="141">
        <f t="shared" si="333"/>
        <v>0.21138999999999999</v>
      </c>
      <c r="G896" s="141">
        <f t="shared" si="333"/>
        <v>0</v>
      </c>
      <c r="H896" s="141">
        <f t="shared" si="333"/>
        <v>0</v>
      </c>
      <c r="I896" s="141">
        <f t="shared" si="333"/>
        <v>0</v>
      </c>
      <c r="J896" s="141">
        <f t="shared" si="333"/>
        <v>0</v>
      </c>
      <c r="K896" s="148">
        <v>0</v>
      </c>
      <c r="L896" s="497">
        <f t="shared" si="331"/>
        <v>0.21138999999999999</v>
      </c>
      <c r="M896" s="693"/>
      <c r="N896" s="693"/>
      <c r="O896" s="403"/>
      <c r="P896" s="678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  <c r="AF896" s="91"/>
      <c r="AG896" s="91"/>
      <c r="AH896" s="91"/>
      <c r="AI896" s="91"/>
      <c r="AJ896" s="91"/>
      <c r="AK896" s="91"/>
      <c r="AL896" s="91"/>
      <c r="AM896" s="91"/>
      <c r="AN896" s="91"/>
      <c r="AO896" s="91"/>
      <c r="AP896" s="9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91"/>
      <c r="BE896" s="91"/>
      <c r="BF896" s="146"/>
    </row>
    <row r="897" spans="1:58" s="138" customFormat="1">
      <c r="A897" s="1067"/>
      <c r="B897" s="960"/>
      <c r="C897" s="1218"/>
      <c r="D897" s="140">
        <v>2025</v>
      </c>
      <c r="E897" s="141">
        <f t="shared" si="333"/>
        <v>0.21740000000000001</v>
      </c>
      <c r="F897" s="141">
        <f t="shared" si="333"/>
        <v>0.21740000000000001</v>
      </c>
      <c r="G897" s="141">
        <f t="shared" si="333"/>
        <v>0</v>
      </c>
      <c r="H897" s="141">
        <f t="shared" si="333"/>
        <v>0</v>
      </c>
      <c r="I897" s="141">
        <f t="shared" si="333"/>
        <v>0</v>
      </c>
      <c r="J897" s="141">
        <f t="shared" si="333"/>
        <v>0</v>
      </c>
      <c r="K897" s="148">
        <v>0</v>
      </c>
      <c r="L897" s="497">
        <f t="shared" si="331"/>
        <v>0.21740000000000001</v>
      </c>
      <c r="M897" s="693"/>
      <c r="N897" s="693"/>
      <c r="O897" s="403"/>
      <c r="P897" s="678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  <c r="AF897" s="91"/>
      <c r="AG897" s="91"/>
      <c r="AH897" s="91"/>
      <c r="AI897" s="91"/>
      <c r="AJ897" s="91"/>
      <c r="AK897" s="91"/>
      <c r="AL897" s="91"/>
      <c r="AM897" s="91"/>
      <c r="AN897" s="91"/>
      <c r="AO897" s="91"/>
      <c r="AP897" s="9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91"/>
      <c r="BE897" s="91"/>
      <c r="BF897" s="146"/>
    </row>
    <row r="898" spans="1:58" s="138" customFormat="1">
      <c r="A898" s="1067"/>
      <c r="B898" s="960"/>
      <c r="C898" s="1218"/>
      <c r="D898" s="140">
        <v>2026</v>
      </c>
      <c r="E898" s="141">
        <f t="shared" si="333"/>
        <v>0.22608800000000001</v>
      </c>
      <c r="F898" s="141">
        <f t="shared" si="333"/>
        <v>0.22608800000000001</v>
      </c>
      <c r="G898" s="141">
        <f t="shared" si="333"/>
        <v>0</v>
      </c>
      <c r="H898" s="141">
        <f t="shared" si="333"/>
        <v>0</v>
      </c>
      <c r="I898" s="141">
        <f t="shared" si="333"/>
        <v>0</v>
      </c>
      <c r="J898" s="141">
        <f t="shared" si="333"/>
        <v>0</v>
      </c>
      <c r="K898" s="148">
        <v>0</v>
      </c>
      <c r="L898" s="497">
        <f t="shared" si="331"/>
        <v>0.22608800000000001</v>
      </c>
      <c r="M898" s="693"/>
      <c r="N898" s="693"/>
      <c r="O898" s="403"/>
      <c r="P898" s="678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  <c r="AF898" s="91"/>
      <c r="AG898" s="91"/>
      <c r="AH898" s="91"/>
      <c r="AI898" s="91"/>
      <c r="AJ898" s="91"/>
      <c r="AK898" s="91"/>
      <c r="AL898" s="91"/>
      <c r="AM898" s="91"/>
      <c r="AN898" s="91"/>
      <c r="AO898" s="91"/>
      <c r="AP898" s="9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91"/>
      <c r="BE898" s="91"/>
      <c r="BF898" s="146"/>
    </row>
    <row r="899" spans="1:58" s="138" customFormat="1">
      <c r="A899" s="1067"/>
      <c r="B899" s="960"/>
      <c r="C899" s="1218"/>
      <c r="D899" s="140">
        <v>2027</v>
      </c>
      <c r="E899" s="141">
        <f t="shared" si="333"/>
        <v>0.23515552000000001</v>
      </c>
      <c r="F899" s="141">
        <f t="shared" si="333"/>
        <v>0.23515552000000001</v>
      </c>
      <c r="G899" s="141">
        <f t="shared" si="333"/>
        <v>0</v>
      </c>
      <c r="H899" s="141">
        <f t="shared" si="333"/>
        <v>0</v>
      </c>
      <c r="I899" s="141">
        <f t="shared" si="333"/>
        <v>0</v>
      </c>
      <c r="J899" s="141">
        <f t="shared" si="333"/>
        <v>0</v>
      </c>
      <c r="K899" s="148">
        <v>0</v>
      </c>
      <c r="L899" s="497">
        <f t="shared" si="331"/>
        <v>0.23515552000000001</v>
      </c>
      <c r="M899" s="693"/>
      <c r="N899" s="693"/>
      <c r="O899" s="403"/>
      <c r="P899" s="678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  <c r="AF899" s="91"/>
      <c r="AG899" s="91"/>
      <c r="AH899" s="91"/>
      <c r="AI899" s="91"/>
      <c r="AJ899" s="91"/>
      <c r="AK899" s="91"/>
      <c r="AL899" s="91"/>
      <c r="AM899" s="91"/>
      <c r="AN899" s="91"/>
      <c r="AO899" s="91"/>
      <c r="AP899" s="9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91"/>
      <c r="BE899" s="91"/>
      <c r="BF899" s="146"/>
    </row>
    <row r="900" spans="1:58" s="138" customFormat="1">
      <c r="A900" s="1067"/>
      <c r="B900" s="960"/>
      <c r="C900" s="1218"/>
      <c r="D900" s="140">
        <v>2028</v>
      </c>
      <c r="E900" s="141">
        <f t="shared" si="333"/>
        <v>0.24460574080000003</v>
      </c>
      <c r="F900" s="141">
        <f t="shared" si="333"/>
        <v>0.24460574080000003</v>
      </c>
      <c r="G900" s="141">
        <f t="shared" si="333"/>
        <v>0</v>
      </c>
      <c r="H900" s="141">
        <f t="shared" si="333"/>
        <v>0</v>
      </c>
      <c r="I900" s="141">
        <f t="shared" si="333"/>
        <v>0</v>
      </c>
      <c r="J900" s="141">
        <f t="shared" si="333"/>
        <v>0</v>
      </c>
      <c r="K900" s="148">
        <v>0</v>
      </c>
      <c r="L900" s="497">
        <f t="shared" si="331"/>
        <v>0.24460574080000003</v>
      </c>
      <c r="M900" s="693"/>
      <c r="N900" s="693"/>
      <c r="O900" s="403"/>
      <c r="P900" s="678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  <c r="AF900" s="91"/>
      <c r="AG900" s="91"/>
      <c r="AH900" s="91"/>
      <c r="AI900" s="91"/>
      <c r="AJ900" s="91"/>
      <c r="AK900" s="91"/>
      <c r="AL900" s="91"/>
      <c r="AM900" s="91"/>
      <c r="AN900" s="91"/>
      <c r="AO900" s="91"/>
      <c r="AP900" s="9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91"/>
      <c r="BE900" s="91"/>
      <c r="BF900" s="146"/>
    </row>
    <row r="901" spans="1:58" s="138" customFormat="1">
      <c r="A901" s="1067"/>
      <c r="B901" s="960"/>
      <c r="C901" s="1218"/>
      <c r="D901" s="140">
        <v>2029</v>
      </c>
      <c r="E901" s="141">
        <f t="shared" si="333"/>
        <v>0.25444197043200001</v>
      </c>
      <c r="F901" s="141">
        <f t="shared" si="333"/>
        <v>0.25444197043200001</v>
      </c>
      <c r="G901" s="141">
        <f t="shared" si="333"/>
        <v>0</v>
      </c>
      <c r="H901" s="141">
        <f t="shared" si="333"/>
        <v>0</v>
      </c>
      <c r="I901" s="141">
        <f t="shared" si="333"/>
        <v>0</v>
      </c>
      <c r="J901" s="141">
        <f t="shared" si="333"/>
        <v>0</v>
      </c>
      <c r="K901" s="148">
        <v>0</v>
      </c>
      <c r="L901" s="497">
        <f t="shared" si="331"/>
        <v>0.25444197043200001</v>
      </c>
      <c r="M901" s="693"/>
      <c r="N901" s="693"/>
      <c r="O901" s="403"/>
      <c r="P901" s="678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  <c r="AF901" s="91"/>
      <c r="AG901" s="91"/>
      <c r="AH901" s="91"/>
      <c r="AI901" s="91"/>
      <c r="AJ901" s="91"/>
      <c r="AK901" s="91"/>
      <c r="AL901" s="91"/>
      <c r="AM901" s="91"/>
      <c r="AN901" s="91"/>
      <c r="AO901" s="91"/>
      <c r="AP901" s="9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91"/>
      <c r="BE901" s="91"/>
      <c r="BF901" s="146"/>
    </row>
    <row r="902" spans="1:58" s="138" customFormat="1">
      <c r="A902" s="1068"/>
      <c r="B902" s="961"/>
      <c r="C902" s="1219"/>
      <c r="D902" s="140">
        <v>2030</v>
      </c>
      <c r="E902" s="141">
        <f t="shared" si="333"/>
        <v>0.26456764924928</v>
      </c>
      <c r="F902" s="141">
        <f t="shared" si="333"/>
        <v>0.26456764924928</v>
      </c>
      <c r="G902" s="141">
        <f t="shared" si="333"/>
        <v>0</v>
      </c>
      <c r="H902" s="141">
        <f t="shared" si="333"/>
        <v>0</v>
      </c>
      <c r="I902" s="141">
        <f t="shared" si="333"/>
        <v>0</v>
      </c>
      <c r="J902" s="141">
        <f t="shared" si="333"/>
        <v>0</v>
      </c>
      <c r="K902" s="148">
        <v>0</v>
      </c>
      <c r="L902" s="497">
        <f t="shared" si="331"/>
        <v>0.26456764924928</v>
      </c>
      <c r="M902" s="693"/>
      <c r="N902" s="693"/>
      <c r="O902" s="403"/>
      <c r="P902" s="678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  <c r="AF902" s="91"/>
      <c r="AG902" s="91"/>
      <c r="AH902" s="91"/>
      <c r="AI902" s="91"/>
      <c r="AJ902" s="91"/>
      <c r="AK902" s="91"/>
      <c r="AL902" s="91"/>
      <c r="AM902" s="91"/>
      <c r="AN902" s="91"/>
      <c r="AO902" s="91"/>
      <c r="AP902" s="9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91"/>
      <c r="BE902" s="91"/>
      <c r="BF902" s="146"/>
    </row>
    <row r="903" spans="1:58" s="138" customFormat="1" ht="15.75" customHeight="1">
      <c r="A903" s="1324" t="s">
        <v>1326</v>
      </c>
      <c r="B903" s="1059" t="s">
        <v>946</v>
      </c>
      <c r="C903" s="1177"/>
      <c r="D903" s="140" t="s">
        <v>16</v>
      </c>
      <c r="E903" s="141">
        <f t="shared" ref="E903:J903" si="334">SUM(E904:E915)</f>
        <v>132140.39480888049</v>
      </c>
      <c r="F903" s="141">
        <f t="shared" si="334"/>
        <v>0.56480888048128008</v>
      </c>
      <c r="G903" s="141">
        <f t="shared" si="334"/>
        <v>0</v>
      </c>
      <c r="H903" s="141">
        <f t="shared" si="334"/>
        <v>0</v>
      </c>
      <c r="I903" s="141">
        <f t="shared" si="334"/>
        <v>132139.83000000002</v>
      </c>
      <c r="J903" s="141">
        <f t="shared" si="334"/>
        <v>0</v>
      </c>
      <c r="K903" s="148">
        <v>0</v>
      </c>
      <c r="L903" s="497">
        <f t="shared" si="331"/>
        <v>132140.39480888049</v>
      </c>
      <c r="M903" s="142"/>
      <c r="N903" s="143"/>
      <c r="O903" s="144"/>
      <c r="P903" s="477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  <c r="AF903" s="91"/>
      <c r="AG903" s="91"/>
      <c r="AH903" s="91"/>
      <c r="AI903" s="91"/>
      <c r="AJ903" s="91"/>
      <c r="AK903" s="91"/>
      <c r="AL903" s="91"/>
      <c r="AM903" s="91"/>
      <c r="AN903" s="91"/>
      <c r="AO903" s="91"/>
      <c r="AP903" s="9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91"/>
      <c r="BE903" s="91"/>
      <c r="BF903" s="146"/>
    </row>
    <row r="904" spans="1:58" s="82" customFormat="1">
      <c r="A904" s="1325"/>
      <c r="B904" s="1257"/>
      <c r="C904" s="1326"/>
      <c r="D904" s="84">
        <v>2019</v>
      </c>
      <c r="E904" s="85">
        <f t="shared" ref="E904:J904" si="335">E917+E923+E928</f>
        <v>28255.192200000001</v>
      </c>
      <c r="F904" s="85">
        <f t="shared" si="335"/>
        <v>1.2200000000000001E-2</v>
      </c>
      <c r="G904" s="85">
        <f t="shared" si="335"/>
        <v>0</v>
      </c>
      <c r="H904" s="85">
        <f t="shared" si="335"/>
        <v>0</v>
      </c>
      <c r="I904" s="85">
        <f t="shared" si="335"/>
        <v>28255.18</v>
      </c>
      <c r="J904" s="85">
        <f t="shared" si="335"/>
        <v>0</v>
      </c>
      <c r="K904" s="148">
        <v>0</v>
      </c>
      <c r="L904" s="497">
        <f t="shared" si="331"/>
        <v>28255.192200000001</v>
      </c>
      <c r="M904" s="99"/>
      <c r="N904" s="88"/>
      <c r="O904" s="89"/>
      <c r="P904" s="477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  <c r="AF904" s="91"/>
      <c r="AG904" s="91"/>
      <c r="AH904" s="91"/>
      <c r="AI904" s="91"/>
      <c r="AJ904" s="91"/>
      <c r="AK904" s="91"/>
      <c r="AL904" s="91"/>
      <c r="AM904" s="91"/>
      <c r="AN904" s="91"/>
      <c r="AO904" s="91"/>
      <c r="AP904" s="9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91"/>
      <c r="BE904" s="91"/>
      <c r="BF904" s="92"/>
    </row>
    <row r="905" spans="1:58" s="82" customFormat="1">
      <c r="A905" s="1325"/>
      <c r="B905" s="1257"/>
      <c r="C905" s="1326"/>
      <c r="D905" s="84">
        <v>2020</v>
      </c>
      <c r="E905" s="85">
        <f t="shared" ref="E905:J905" si="336">E918+E929+E924</f>
        <v>40983.692360000001</v>
      </c>
      <c r="F905" s="85">
        <f t="shared" si="336"/>
        <v>4.2360000000000002E-2</v>
      </c>
      <c r="G905" s="85">
        <f t="shared" si="336"/>
        <v>0</v>
      </c>
      <c r="H905" s="85">
        <f t="shared" si="336"/>
        <v>0</v>
      </c>
      <c r="I905" s="85">
        <f t="shared" si="336"/>
        <v>40983.65</v>
      </c>
      <c r="J905" s="85">
        <f t="shared" si="336"/>
        <v>0</v>
      </c>
      <c r="K905" s="148">
        <v>0</v>
      </c>
      <c r="L905" s="497">
        <f t="shared" si="331"/>
        <v>40983.692360000001</v>
      </c>
      <c r="M905" s="99"/>
      <c r="N905" s="88"/>
      <c r="O905" s="89"/>
      <c r="P905" s="477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  <c r="AF905" s="91"/>
      <c r="AG905" s="91"/>
      <c r="AH905" s="91"/>
      <c r="AI905" s="91"/>
      <c r="AJ905" s="91"/>
      <c r="AK905" s="91"/>
      <c r="AL905" s="91"/>
      <c r="AM905" s="91"/>
      <c r="AN905" s="91"/>
      <c r="AO905" s="91"/>
      <c r="AP905" s="9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91"/>
      <c r="BE905" s="91"/>
      <c r="BF905" s="92"/>
    </row>
    <row r="906" spans="1:58" s="82" customFormat="1">
      <c r="A906" s="1325"/>
      <c r="B906" s="1257"/>
      <c r="C906" s="1326"/>
      <c r="D906" s="84">
        <v>2021</v>
      </c>
      <c r="E906" s="85">
        <f>E919+E930+E925</f>
        <v>33132.042499999996</v>
      </c>
      <c r="F906" s="85">
        <f>F919+F930+F925</f>
        <v>4.2500000000000003E-2</v>
      </c>
      <c r="G906" s="85">
        <f>G919+G930+G925</f>
        <v>0</v>
      </c>
      <c r="H906" s="85">
        <f>H919+H930+H925</f>
        <v>0</v>
      </c>
      <c r="I906" s="85">
        <f>I919+I930+I925</f>
        <v>33132</v>
      </c>
      <c r="J906" s="85">
        <f>J919+J930</f>
        <v>0</v>
      </c>
      <c r="K906" s="148">
        <v>0</v>
      </c>
      <c r="L906" s="497">
        <f t="shared" si="331"/>
        <v>33132.042500000003</v>
      </c>
      <c r="M906" s="99"/>
      <c r="N906" s="88"/>
      <c r="O906" s="89"/>
      <c r="P906" s="477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  <c r="AF906" s="91"/>
      <c r="AG906" s="91"/>
      <c r="AH906" s="91"/>
      <c r="AI906" s="91"/>
      <c r="AJ906" s="91"/>
      <c r="AK906" s="91"/>
      <c r="AL906" s="91"/>
      <c r="AM906" s="91"/>
      <c r="AN906" s="91"/>
      <c r="AO906" s="91"/>
      <c r="AP906" s="9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91"/>
      <c r="BE906" s="91"/>
      <c r="BF906" s="92"/>
    </row>
    <row r="907" spans="1:58" s="82" customFormat="1">
      <c r="A907" s="1325"/>
      <c r="B907" s="1257"/>
      <c r="C907" s="1326"/>
      <c r="D907" s="84">
        <v>2022</v>
      </c>
      <c r="E907" s="85">
        <f>E920+E931</f>
        <v>18329.044300000001</v>
      </c>
      <c r="F907" s="85">
        <f>F920+F931</f>
        <v>4.4299999999999999E-2</v>
      </c>
      <c r="G907" s="85">
        <f>G920+G931</f>
        <v>0</v>
      </c>
      <c r="H907" s="85">
        <f>H920+H931</f>
        <v>0</v>
      </c>
      <c r="I907" s="85">
        <f>I920+I931</f>
        <v>18329</v>
      </c>
      <c r="J907" s="85">
        <f>J920+J931</f>
        <v>0</v>
      </c>
      <c r="K907" s="148">
        <v>0</v>
      </c>
      <c r="L907" s="497">
        <f t="shared" si="331"/>
        <v>18329.044300000001</v>
      </c>
      <c r="M907" s="99"/>
      <c r="N907" s="88"/>
      <c r="O907" s="89"/>
      <c r="P907" s="477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  <c r="AF907" s="91"/>
      <c r="AG907" s="91"/>
      <c r="AH907" s="91"/>
      <c r="AI907" s="91"/>
      <c r="AJ907" s="91"/>
      <c r="AK907" s="91"/>
      <c r="AL907" s="91"/>
      <c r="AM907" s="91"/>
      <c r="AN907" s="91"/>
      <c r="AO907" s="91"/>
      <c r="AP907" s="9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91"/>
      <c r="BE907" s="91"/>
      <c r="BF907" s="92"/>
    </row>
    <row r="908" spans="1:58" s="82" customFormat="1">
      <c r="A908" s="1325"/>
      <c r="B908" s="1257"/>
      <c r="C908" s="1326"/>
      <c r="D908" s="84">
        <v>2023</v>
      </c>
      <c r="E908" s="85">
        <f t="shared" ref="E908:J908" si="337">E932+E921</f>
        <v>11440.046</v>
      </c>
      <c r="F908" s="85">
        <f t="shared" si="337"/>
        <v>4.5999999999999999E-2</v>
      </c>
      <c r="G908" s="85">
        <f t="shared" si="337"/>
        <v>0</v>
      </c>
      <c r="H908" s="85">
        <f t="shared" si="337"/>
        <v>0</v>
      </c>
      <c r="I908" s="85">
        <f t="shared" si="337"/>
        <v>11440</v>
      </c>
      <c r="J908" s="85">
        <f t="shared" si="337"/>
        <v>0</v>
      </c>
      <c r="K908" s="148">
        <v>0</v>
      </c>
      <c r="L908" s="497">
        <f t="shared" si="331"/>
        <v>11440.046</v>
      </c>
      <c r="M908" s="99"/>
      <c r="N908" s="88"/>
      <c r="O908" s="89"/>
      <c r="P908" s="477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2"/>
    </row>
    <row r="909" spans="1:58" s="82" customFormat="1">
      <c r="A909" s="1325"/>
      <c r="B909" s="1257"/>
      <c r="C909" s="1326"/>
      <c r="D909" s="84">
        <v>2024</v>
      </c>
      <c r="E909" s="85">
        <f t="shared" ref="E909:J915" si="338">E933</f>
        <v>4.7789999999999999E-2</v>
      </c>
      <c r="F909" s="85">
        <f t="shared" si="338"/>
        <v>4.7789999999999999E-2</v>
      </c>
      <c r="G909" s="85">
        <f t="shared" si="338"/>
        <v>0</v>
      </c>
      <c r="H909" s="85">
        <f t="shared" si="338"/>
        <v>0</v>
      </c>
      <c r="I909" s="85">
        <f t="shared" si="338"/>
        <v>0</v>
      </c>
      <c r="J909" s="85">
        <f t="shared" si="338"/>
        <v>0</v>
      </c>
      <c r="K909" s="148">
        <v>0</v>
      </c>
      <c r="L909" s="497">
        <f t="shared" si="331"/>
        <v>4.7789999999999999E-2</v>
      </c>
      <c r="M909" s="99"/>
      <c r="N909" s="88"/>
      <c r="O909" s="89"/>
      <c r="P909" s="477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  <c r="BF909" s="92"/>
    </row>
    <row r="910" spans="1:58" s="82" customFormat="1">
      <c r="A910" s="1325"/>
      <c r="B910" s="1257"/>
      <c r="C910" s="1326"/>
      <c r="D910" s="84">
        <v>2025</v>
      </c>
      <c r="E910" s="85">
        <f t="shared" si="338"/>
        <v>4.9700000000000001E-2</v>
      </c>
      <c r="F910" s="85">
        <f t="shared" si="338"/>
        <v>4.9700000000000001E-2</v>
      </c>
      <c r="G910" s="85">
        <f t="shared" si="338"/>
        <v>0</v>
      </c>
      <c r="H910" s="85">
        <f t="shared" si="338"/>
        <v>0</v>
      </c>
      <c r="I910" s="85">
        <f t="shared" si="338"/>
        <v>0</v>
      </c>
      <c r="J910" s="85">
        <f t="shared" si="338"/>
        <v>0</v>
      </c>
      <c r="K910" s="148">
        <v>0</v>
      </c>
      <c r="L910" s="497">
        <f t="shared" si="331"/>
        <v>4.9700000000000001E-2</v>
      </c>
      <c r="M910" s="99"/>
      <c r="N910" s="88"/>
      <c r="O910" s="89"/>
      <c r="P910" s="477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  <c r="BF910" s="92"/>
    </row>
    <row r="911" spans="1:58" s="82" customFormat="1">
      <c r="A911" s="1325"/>
      <c r="B911" s="1257"/>
      <c r="C911" s="1326"/>
      <c r="D911" s="84">
        <v>2026</v>
      </c>
      <c r="E911" s="85">
        <f t="shared" si="338"/>
        <v>5.1688000000000005E-2</v>
      </c>
      <c r="F911" s="85">
        <f t="shared" si="338"/>
        <v>5.1688000000000005E-2</v>
      </c>
      <c r="G911" s="85">
        <f t="shared" si="338"/>
        <v>0</v>
      </c>
      <c r="H911" s="85">
        <f t="shared" si="338"/>
        <v>0</v>
      </c>
      <c r="I911" s="85">
        <f t="shared" si="338"/>
        <v>0</v>
      </c>
      <c r="J911" s="85">
        <f t="shared" si="338"/>
        <v>0</v>
      </c>
      <c r="K911" s="148">
        <v>0</v>
      </c>
      <c r="L911" s="497">
        <f t="shared" si="331"/>
        <v>5.1688000000000005E-2</v>
      </c>
      <c r="M911" s="99"/>
      <c r="N911" s="88"/>
      <c r="O911" s="89"/>
      <c r="P911" s="477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2"/>
    </row>
    <row r="912" spans="1:58" s="82" customFormat="1">
      <c r="A912" s="1325"/>
      <c r="B912" s="1257"/>
      <c r="C912" s="1326"/>
      <c r="D912" s="84">
        <v>2027</v>
      </c>
      <c r="E912" s="85">
        <f t="shared" si="338"/>
        <v>5.3755520000000008E-2</v>
      </c>
      <c r="F912" s="85">
        <f t="shared" si="338"/>
        <v>5.3755520000000008E-2</v>
      </c>
      <c r="G912" s="85">
        <f t="shared" si="338"/>
        <v>0</v>
      </c>
      <c r="H912" s="85">
        <f t="shared" si="338"/>
        <v>0</v>
      </c>
      <c r="I912" s="85">
        <f t="shared" si="338"/>
        <v>0</v>
      </c>
      <c r="J912" s="85">
        <f t="shared" si="338"/>
        <v>0</v>
      </c>
      <c r="K912" s="148">
        <v>0</v>
      </c>
      <c r="L912" s="497">
        <f t="shared" si="331"/>
        <v>5.3755520000000008E-2</v>
      </c>
      <c r="M912" s="99"/>
      <c r="N912" s="88"/>
      <c r="O912" s="89"/>
      <c r="P912" s="477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2"/>
    </row>
    <row r="913" spans="1:58" s="82" customFormat="1">
      <c r="A913" s="1325"/>
      <c r="B913" s="1257"/>
      <c r="C913" s="1326"/>
      <c r="D913" s="84">
        <v>2028</v>
      </c>
      <c r="E913" s="85">
        <f t="shared" si="338"/>
        <v>5.5905740800000013E-2</v>
      </c>
      <c r="F913" s="85">
        <f t="shared" si="338"/>
        <v>5.5905740800000013E-2</v>
      </c>
      <c r="G913" s="85">
        <f t="shared" si="338"/>
        <v>0</v>
      </c>
      <c r="H913" s="85">
        <f t="shared" si="338"/>
        <v>0</v>
      </c>
      <c r="I913" s="85">
        <f t="shared" si="338"/>
        <v>0</v>
      </c>
      <c r="J913" s="85">
        <f t="shared" si="338"/>
        <v>0</v>
      </c>
      <c r="K913" s="148">
        <v>0</v>
      </c>
      <c r="L913" s="497">
        <f t="shared" si="331"/>
        <v>5.5905740800000013E-2</v>
      </c>
      <c r="M913" s="99"/>
      <c r="N913" s="88"/>
      <c r="O913" s="89"/>
      <c r="P913" s="477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  <c r="BF913" s="92"/>
    </row>
    <row r="914" spans="1:58" s="82" customFormat="1">
      <c r="A914" s="1325"/>
      <c r="B914" s="1257"/>
      <c r="C914" s="1326"/>
      <c r="D914" s="84">
        <v>2029</v>
      </c>
      <c r="E914" s="85">
        <f t="shared" si="338"/>
        <v>5.8141970432000013E-2</v>
      </c>
      <c r="F914" s="85">
        <f t="shared" si="338"/>
        <v>5.8141970432000013E-2</v>
      </c>
      <c r="G914" s="85">
        <f t="shared" si="338"/>
        <v>0</v>
      </c>
      <c r="H914" s="85">
        <f t="shared" si="338"/>
        <v>0</v>
      </c>
      <c r="I914" s="85">
        <f t="shared" si="338"/>
        <v>0</v>
      </c>
      <c r="J914" s="85">
        <f t="shared" si="338"/>
        <v>0</v>
      </c>
      <c r="K914" s="148">
        <v>0</v>
      </c>
      <c r="L914" s="497">
        <f t="shared" si="331"/>
        <v>5.8141970432000013E-2</v>
      </c>
      <c r="M914" s="99"/>
      <c r="N914" s="88"/>
      <c r="O914" s="89"/>
      <c r="P914" s="477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  <c r="BF914" s="92"/>
    </row>
    <row r="915" spans="1:58" s="82" customFormat="1" ht="17.25" customHeight="1">
      <c r="A915" s="1258"/>
      <c r="B915" s="1258"/>
      <c r="C915" s="1327"/>
      <c r="D915" s="84">
        <v>2030</v>
      </c>
      <c r="E915" s="85">
        <f t="shared" si="338"/>
        <v>6.0467649249280019E-2</v>
      </c>
      <c r="F915" s="85">
        <f t="shared" si="338"/>
        <v>6.0467649249280019E-2</v>
      </c>
      <c r="G915" s="85">
        <f t="shared" si="338"/>
        <v>0</v>
      </c>
      <c r="H915" s="85">
        <f t="shared" si="338"/>
        <v>0</v>
      </c>
      <c r="I915" s="85">
        <f t="shared" si="338"/>
        <v>0</v>
      </c>
      <c r="J915" s="85">
        <f t="shared" si="338"/>
        <v>0</v>
      </c>
      <c r="K915" s="148">
        <v>0</v>
      </c>
      <c r="L915" s="497">
        <f t="shared" si="331"/>
        <v>6.0467649249280019E-2</v>
      </c>
      <c r="M915" s="99"/>
      <c r="N915" s="88"/>
      <c r="O915" s="89"/>
      <c r="P915" s="477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2"/>
    </row>
    <row r="916" spans="1:58" s="82" customFormat="1" ht="13.5" customHeight="1">
      <c r="A916" s="1128" t="s">
        <v>1327</v>
      </c>
      <c r="B916" s="1080" t="s">
        <v>233</v>
      </c>
      <c r="C916" s="1224" t="s">
        <v>599</v>
      </c>
      <c r="D916" s="84" t="s">
        <v>16</v>
      </c>
      <c r="E916" s="85">
        <f t="shared" ref="E916:J916" si="339">E917+E918+E919+E920+E921</f>
        <v>57329</v>
      </c>
      <c r="F916" s="85">
        <f t="shared" si="339"/>
        <v>0</v>
      </c>
      <c r="G916" s="85">
        <f t="shared" si="339"/>
        <v>0</v>
      </c>
      <c r="H916" s="85">
        <f t="shared" si="339"/>
        <v>0</v>
      </c>
      <c r="I916" s="85">
        <f t="shared" si="339"/>
        <v>57329</v>
      </c>
      <c r="J916" s="85">
        <f t="shared" si="339"/>
        <v>0</v>
      </c>
      <c r="K916" s="148">
        <v>0</v>
      </c>
      <c r="L916" s="497">
        <f t="shared" si="331"/>
        <v>57329</v>
      </c>
      <c r="M916" s="1051" t="s">
        <v>1328</v>
      </c>
      <c r="N916" s="88"/>
      <c r="O916" s="1054">
        <v>886</v>
      </c>
      <c r="P916" s="1286" t="s">
        <v>949</v>
      </c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2"/>
    </row>
    <row r="917" spans="1:58" s="82" customFormat="1">
      <c r="A917" s="1183"/>
      <c r="B917" s="1261"/>
      <c r="C917" s="1225"/>
      <c r="D917" s="84">
        <v>2019</v>
      </c>
      <c r="E917" s="85">
        <f>F917+G917+H917+I917+J917</f>
        <v>9396</v>
      </c>
      <c r="F917" s="85">
        <v>0</v>
      </c>
      <c r="G917" s="85">
        <v>0</v>
      </c>
      <c r="H917" s="85">
        <v>0</v>
      </c>
      <c r="I917" s="85">
        <v>9396</v>
      </c>
      <c r="J917" s="85">
        <v>0</v>
      </c>
      <c r="K917" s="148">
        <v>0</v>
      </c>
      <c r="L917" s="497">
        <f t="shared" si="331"/>
        <v>9396</v>
      </c>
      <c r="M917" s="1052"/>
      <c r="N917" s="88"/>
      <c r="O917" s="1055"/>
      <c r="P917" s="1300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2"/>
    </row>
    <row r="918" spans="1:58" s="82" customFormat="1">
      <c r="A918" s="1183"/>
      <c r="B918" s="1261"/>
      <c r="C918" s="1225"/>
      <c r="D918" s="84">
        <v>2020</v>
      </c>
      <c r="E918" s="85">
        <f>F918+G918+H918+I918+J918</f>
        <v>6781</v>
      </c>
      <c r="F918" s="85">
        <v>0</v>
      </c>
      <c r="G918" s="85">
        <v>0</v>
      </c>
      <c r="H918" s="85">
        <v>0</v>
      </c>
      <c r="I918" s="85">
        <v>6781</v>
      </c>
      <c r="J918" s="85">
        <v>0</v>
      </c>
      <c r="K918" s="148">
        <v>0</v>
      </c>
      <c r="L918" s="497">
        <f t="shared" si="331"/>
        <v>6781</v>
      </c>
      <c r="M918" s="1052"/>
      <c r="N918" s="88"/>
      <c r="O918" s="1055"/>
      <c r="P918" s="1300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  <c r="BF918" s="92"/>
    </row>
    <row r="919" spans="1:58" s="82" customFormat="1">
      <c r="A919" s="1183"/>
      <c r="B919" s="1261"/>
      <c r="C919" s="1225"/>
      <c r="D919" s="84">
        <v>2021</v>
      </c>
      <c r="E919" s="85">
        <f>F919+G919+H919+I919+J919</f>
        <v>11383</v>
      </c>
      <c r="F919" s="85">
        <v>0</v>
      </c>
      <c r="G919" s="85">
        <v>0</v>
      </c>
      <c r="H919" s="85">
        <v>0</v>
      </c>
      <c r="I919" s="85">
        <v>11383</v>
      </c>
      <c r="J919" s="85">
        <v>0</v>
      </c>
      <c r="K919" s="148">
        <v>0</v>
      </c>
      <c r="L919" s="497">
        <f t="shared" si="331"/>
        <v>11383</v>
      </c>
      <c r="M919" s="1052"/>
      <c r="N919" s="88"/>
      <c r="O919" s="1055"/>
      <c r="P919" s="1300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  <c r="BF919" s="92"/>
    </row>
    <row r="920" spans="1:58" s="82" customFormat="1" ht="14.25" customHeight="1">
      <c r="A920" s="1183"/>
      <c r="B920" s="1261"/>
      <c r="C920" s="1225"/>
      <c r="D920" s="84">
        <v>2022</v>
      </c>
      <c r="E920" s="85">
        <f>F920+G920+H920+I920+J920</f>
        <v>18329</v>
      </c>
      <c r="F920" s="85">
        <v>0</v>
      </c>
      <c r="G920" s="85">
        <v>0</v>
      </c>
      <c r="H920" s="85">
        <v>0</v>
      </c>
      <c r="I920" s="85">
        <v>18329</v>
      </c>
      <c r="J920" s="85">
        <v>0</v>
      </c>
      <c r="K920" s="148">
        <v>0</v>
      </c>
      <c r="L920" s="497">
        <f t="shared" si="331"/>
        <v>18329</v>
      </c>
      <c r="M920" s="1052"/>
      <c r="N920" s="88"/>
      <c r="O920" s="1055"/>
      <c r="P920" s="1300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  <c r="BF920" s="92"/>
    </row>
    <row r="921" spans="1:58" s="82" customFormat="1" ht="14.25" customHeight="1">
      <c r="A921" s="1183"/>
      <c r="B921" s="1288"/>
      <c r="C921" s="1225"/>
      <c r="D921" s="84">
        <v>2023</v>
      </c>
      <c r="E921" s="85">
        <f>F921+G921+H921+I921+J921</f>
        <v>11440</v>
      </c>
      <c r="F921" s="85">
        <v>0</v>
      </c>
      <c r="G921" s="85">
        <v>0</v>
      </c>
      <c r="H921" s="85">
        <v>0</v>
      </c>
      <c r="I921" s="85">
        <v>11440</v>
      </c>
      <c r="J921" s="85">
        <v>0</v>
      </c>
      <c r="K921" s="148">
        <v>0</v>
      </c>
      <c r="L921" s="497">
        <f t="shared" si="331"/>
        <v>11440</v>
      </c>
      <c r="M921" s="392"/>
      <c r="N921" s="88"/>
      <c r="O921" s="393"/>
      <c r="P921" s="679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2"/>
    </row>
    <row r="922" spans="1:58" s="82" customFormat="1" ht="12.75" customHeight="1">
      <c r="A922" s="1128" t="s">
        <v>1329</v>
      </c>
      <c r="B922" s="1080" t="s">
        <v>1330</v>
      </c>
      <c r="C922" s="1224" t="s">
        <v>599</v>
      </c>
      <c r="D922" s="84" t="s">
        <v>16</v>
      </c>
      <c r="E922" s="85">
        <f>E923+E924+E925+E926</f>
        <v>79160.680000000008</v>
      </c>
      <c r="F922" s="85">
        <f>F923+F924+F925</f>
        <v>0</v>
      </c>
      <c r="G922" s="85">
        <f>G923+G924+G925</f>
        <v>0</v>
      </c>
      <c r="H922" s="85">
        <f>H923+H924+H925</f>
        <v>0</v>
      </c>
      <c r="I922" s="85">
        <f>I923+I924+I925+I926</f>
        <v>79160.680000000008</v>
      </c>
      <c r="J922" s="85">
        <f>J923</f>
        <v>0</v>
      </c>
      <c r="K922" s="148">
        <v>0</v>
      </c>
      <c r="L922" s="497">
        <f t="shared" si="331"/>
        <v>79160.680000000008</v>
      </c>
      <c r="M922" s="892" t="s">
        <v>1331</v>
      </c>
      <c r="N922" s="88"/>
      <c r="O922" s="1054">
        <v>1159</v>
      </c>
      <c r="P922" s="1166" t="s">
        <v>952</v>
      </c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  <c r="BF922" s="92"/>
    </row>
    <row r="923" spans="1:58" s="82" customFormat="1">
      <c r="A923" s="1329"/>
      <c r="B923" s="960"/>
      <c r="C923" s="1225"/>
      <c r="D923" s="84">
        <v>2019</v>
      </c>
      <c r="E923" s="85">
        <f>F923+G923+H923+I923+J923</f>
        <v>18859.18</v>
      </c>
      <c r="F923" s="85">
        <v>0</v>
      </c>
      <c r="G923" s="85">
        <v>0</v>
      </c>
      <c r="H923" s="85">
        <v>0</v>
      </c>
      <c r="I923" s="85">
        <v>18859.18</v>
      </c>
      <c r="J923" s="85">
        <v>0</v>
      </c>
      <c r="K923" s="148">
        <v>0</v>
      </c>
      <c r="L923" s="497">
        <f t="shared" si="331"/>
        <v>18859.18</v>
      </c>
      <c r="M923" s="1330"/>
      <c r="N923" s="88"/>
      <c r="O923" s="1055"/>
      <c r="P923" s="1167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  <c r="BF923" s="92"/>
    </row>
    <row r="924" spans="1:58" s="82" customFormat="1" ht="14.25" customHeight="1">
      <c r="A924" s="702"/>
      <c r="B924" s="285"/>
      <c r="C924" s="621"/>
      <c r="D924" s="84">
        <v>2020</v>
      </c>
      <c r="E924" s="85">
        <f>F924+G924+H924+I924+J924</f>
        <v>34202.65</v>
      </c>
      <c r="F924" s="85">
        <v>0</v>
      </c>
      <c r="G924" s="85">
        <v>0</v>
      </c>
      <c r="H924" s="85">
        <v>0</v>
      </c>
      <c r="I924" s="85">
        <v>34202.65</v>
      </c>
      <c r="J924" s="85">
        <v>0</v>
      </c>
      <c r="K924" s="148">
        <v>0</v>
      </c>
      <c r="L924" s="497">
        <f t="shared" si="331"/>
        <v>34202.65</v>
      </c>
      <c r="M924" s="1330"/>
      <c r="N924" s="88"/>
      <c r="O924" s="1055"/>
      <c r="P924" s="554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  <c r="BF924" s="92"/>
    </row>
    <row r="925" spans="1:58" s="82" customFormat="1" ht="14.25" customHeight="1">
      <c r="A925" s="702"/>
      <c r="B925" s="285"/>
      <c r="C925" s="621"/>
      <c r="D925" s="84">
        <v>2021</v>
      </c>
      <c r="E925" s="85">
        <f>F925+G925+H925+I925+J925</f>
        <v>21749</v>
      </c>
      <c r="F925" s="85">
        <v>0</v>
      </c>
      <c r="G925" s="85">
        <v>0</v>
      </c>
      <c r="H925" s="85">
        <v>0</v>
      </c>
      <c r="I925" s="85">
        <v>21749</v>
      </c>
      <c r="J925" s="85">
        <v>0</v>
      </c>
      <c r="K925" s="148">
        <v>0</v>
      </c>
      <c r="L925" s="497">
        <f t="shared" si="331"/>
        <v>21749</v>
      </c>
      <c r="M925" s="1330"/>
      <c r="N925" s="88"/>
      <c r="O925" s="1055"/>
      <c r="P925" s="554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  <c r="BF925" s="92"/>
    </row>
    <row r="926" spans="1:58" s="82" customFormat="1" ht="14.25" customHeight="1">
      <c r="A926" s="702"/>
      <c r="B926" s="285"/>
      <c r="C926" s="621"/>
      <c r="D926" s="84">
        <v>2022</v>
      </c>
      <c r="E926" s="85">
        <f>F926+G926+H926+I926+J926</f>
        <v>4349.8500000000004</v>
      </c>
      <c r="F926" s="85">
        <v>0</v>
      </c>
      <c r="G926" s="85">
        <v>0</v>
      </c>
      <c r="H926" s="85">
        <v>0</v>
      </c>
      <c r="I926" s="85">
        <v>4349.8500000000004</v>
      </c>
      <c r="J926" s="85">
        <v>0</v>
      </c>
      <c r="K926" s="148">
        <v>0</v>
      </c>
      <c r="L926" s="497"/>
      <c r="M926" s="1331"/>
      <c r="N926" s="88"/>
      <c r="O926" s="1056"/>
      <c r="P926" s="554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  <c r="BF926" s="92"/>
    </row>
    <row r="927" spans="1:58" s="82" customFormat="1">
      <c r="A927" s="1069" t="s">
        <v>1332</v>
      </c>
      <c r="B927" s="1080" t="s">
        <v>954</v>
      </c>
      <c r="C927" s="611"/>
      <c r="D927" s="84" t="s">
        <v>16</v>
      </c>
      <c r="E927" s="85">
        <f t="shared" ref="E927:J927" si="340">E928+E929+E930+E931+E933+E934+E935+E936+E937+E938+E939+E932</f>
        <v>0.56480888048128008</v>
      </c>
      <c r="F927" s="85">
        <f t="shared" si="340"/>
        <v>0.56480888048128008</v>
      </c>
      <c r="G927" s="85">
        <f t="shared" si="340"/>
        <v>0</v>
      </c>
      <c r="H927" s="85">
        <f t="shared" si="340"/>
        <v>0</v>
      </c>
      <c r="I927" s="85">
        <f t="shared" si="340"/>
        <v>0</v>
      </c>
      <c r="J927" s="85">
        <f t="shared" si="340"/>
        <v>0</v>
      </c>
      <c r="K927" s="148">
        <v>0</v>
      </c>
      <c r="L927" s="497">
        <f t="shared" ref="L927:L958" si="341">F927+G927+H927+I927+J927</f>
        <v>0.56480888048128008</v>
      </c>
      <c r="M927" s="407"/>
      <c r="N927" s="88"/>
      <c r="O927" s="408"/>
      <c r="P927" s="1286" t="s">
        <v>527</v>
      </c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  <c r="BF927" s="92"/>
    </row>
    <row r="928" spans="1:58" s="82" customFormat="1" ht="17.25" customHeight="1">
      <c r="A928" s="941"/>
      <c r="B928" s="960"/>
      <c r="C928" s="640" t="s">
        <v>955</v>
      </c>
      <c r="D928" s="84">
        <v>2019</v>
      </c>
      <c r="E928" s="85">
        <f t="shared" ref="E928:E939" si="342">F928+G928+H928+I928+J928</f>
        <v>1.2200000000000001E-2</v>
      </c>
      <c r="F928" s="85">
        <v>1.2200000000000001E-2</v>
      </c>
      <c r="G928" s="85">
        <v>0</v>
      </c>
      <c r="H928" s="85">
        <v>0</v>
      </c>
      <c r="I928" s="85">
        <v>0</v>
      </c>
      <c r="J928" s="85">
        <v>0</v>
      </c>
      <c r="K928" s="148">
        <v>0</v>
      </c>
      <c r="L928" s="497">
        <f t="shared" si="341"/>
        <v>1.2200000000000001E-2</v>
      </c>
      <c r="M928" s="407"/>
      <c r="N928" s="88"/>
      <c r="O928" s="408"/>
      <c r="P928" s="1218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  <c r="BF928" s="92"/>
    </row>
    <row r="929" spans="1:58" s="82" customFormat="1" ht="14.25" customHeight="1">
      <c r="A929" s="941"/>
      <c r="B929" s="960"/>
      <c r="C929" s="1262" t="s">
        <v>1435</v>
      </c>
      <c r="D929" s="84">
        <v>2020</v>
      </c>
      <c r="E929" s="85">
        <f t="shared" si="342"/>
        <v>4.2360000000000002E-2</v>
      </c>
      <c r="F929" s="85">
        <v>4.2360000000000002E-2</v>
      </c>
      <c r="G929" s="85">
        <v>0</v>
      </c>
      <c r="H929" s="85">
        <v>0</v>
      </c>
      <c r="I929" s="85">
        <v>0</v>
      </c>
      <c r="J929" s="85">
        <v>0</v>
      </c>
      <c r="K929" s="148">
        <v>0</v>
      </c>
      <c r="L929" s="497">
        <f t="shared" si="341"/>
        <v>4.2360000000000002E-2</v>
      </c>
      <c r="M929" s="407"/>
      <c r="N929" s="88"/>
      <c r="O929" s="408"/>
      <c r="P929" s="1218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  <c r="BF929" s="92"/>
    </row>
    <row r="930" spans="1:58" s="82" customFormat="1" ht="14.25" customHeight="1">
      <c r="A930" s="941"/>
      <c r="B930" s="960"/>
      <c r="C930" s="1263"/>
      <c r="D930" s="84">
        <v>2021</v>
      </c>
      <c r="E930" s="85">
        <f t="shared" si="342"/>
        <v>4.2500000000000003E-2</v>
      </c>
      <c r="F930" s="85">
        <v>4.2500000000000003E-2</v>
      </c>
      <c r="G930" s="85">
        <v>0</v>
      </c>
      <c r="H930" s="85">
        <v>0</v>
      </c>
      <c r="I930" s="85">
        <v>0</v>
      </c>
      <c r="J930" s="85">
        <v>0</v>
      </c>
      <c r="K930" s="148">
        <v>0</v>
      </c>
      <c r="L930" s="497">
        <f t="shared" si="341"/>
        <v>4.2500000000000003E-2</v>
      </c>
      <c r="M930" s="407"/>
      <c r="N930" s="88"/>
      <c r="O930" s="408"/>
      <c r="P930" s="1218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  <c r="AF930" s="91"/>
      <c r="AG930" s="91"/>
      <c r="AH930" s="91"/>
      <c r="AI930" s="91"/>
      <c r="AJ930" s="91"/>
      <c r="AK930" s="91"/>
      <c r="AL930" s="91"/>
      <c r="AM930" s="91"/>
      <c r="AN930" s="91"/>
      <c r="AO930" s="91"/>
      <c r="AP930" s="9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91"/>
      <c r="BE930" s="91"/>
      <c r="BF930" s="92"/>
    </row>
    <row r="931" spans="1:58" s="82" customFormat="1" ht="14.25" customHeight="1">
      <c r="A931" s="941"/>
      <c r="B931" s="960"/>
      <c r="C931" s="1263"/>
      <c r="D931" s="84">
        <v>2022</v>
      </c>
      <c r="E931" s="85">
        <f t="shared" si="342"/>
        <v>4.4299999999999999E-2</v>
      </c>
      <c r="F931" s="85">
        <v>4.4299999999999999E-2</v>
      </c>
      <c r="G931" s="85">
        <v>0</v>
      </c>
      <c r="H931" s="85">
        <v>0</v>
      </c>
      <c r="I931" s="85">
        <v>0</v>
      </c>
      <c r="J931" s="85">
        <v>0</v>
      </c>
      <c r="K931" s="148">
        <v>0</v>
      </c>
      <c r="L931" s="497">
        <f t="shared" si="341"/>
        <v>4.4299999999999999E-2</v>
      </c>
      <c r="M931" s="407"/>
      <c r="N931" s="88"/>
      <c r="O931" s="408"/>
      <c r="P931" s="1218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  <c r="AF931" s="91"/>
      <c r="AG931" s="91"/>
      <c r="AH931" s="91"/>
      <c r="AI931" s="91"/>
      <c r="AJ931" s="91"/>
      <c r="AK931" s="91"/>
      <c r="AL931" s="91"/>
      <c r="AM931" s="91"/>
      <c r="AN931" s="91"/>
      <c r="AO931" s="91"/>
      <c r="AP931" s="9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91"/>
      <c r="BE931" s="91"/>
      <c r="BF931" s="92"/>
    </row>
    <row r="932" spans="1:58" s="82" customFormat="1" ht="14.25" customHeight="1">
      <c r="A932" s="941"/>
      <c r="B932" s="960"/>
      <c r="C932" s="1263"/>
      <c r="D932" s="84">
        <v>2023</v>
      </c>
      <c r="E932" s="85">
        <f t="shared" si="342"/>
        <v>4.5999999999999999E-2</v>
      </c>
      <c r="F932" s="85">
        <v>4.5999999999999999E-2</v>
      </c>
      <c r="G932" s="85">
        <v>0</v>
      </c>
      <c r="H932" s="85">
        <v>0</v>
      </c>
      <c r="I932" s="85">
        <v>0</v>
      </c>
      <c r="J932" s="85">
        <v>0</v>
      </c>
      <c r="K932" s="148">
        <v>0</v>
      </c>
      <c r="L932" s="497">
        <f t="shared" si="341"/>
        <v>4.5999999999999999E-2</v>
      </c>
      <c r="M932" s="407"/>
      <c r="N932" s="88"/>
      <c r="O932" s="408"/>
      <c r="P932" s="1218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  <c r="AF932" s="91"/>
      <c r="AG932" s="91"/>
      <c r="AH932" s="91"/>
      <c r="AI932" s="91"/>
      <c r="AJ932" s="91"/>
      <c r="AK932" s="91"/>
      <c r="AL932" s="91"/>
      <c r="AM932" s="91"/>
      <c r="AN932" s="91"/>
      <c r="AO932" s="91"/>
      <c r="AP932" s="9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91"/>
      <c r="BE932" s="91"/>
      <c r="BF932" s="92"/>
    </row>
    <row r="933" spans="1:58" s="82" customFormat="1" ht="14.25" customHeight="1">
      <c r="A933" s="941"/>
      <c r="B933" s="960"/>
      <c r="C933" s="1263"/>
      <c r="D933" s="84">
        <v>2024</v>
      </c>
      <c r="E933" s="85">
        <f t="shared" si="342"/>
        <v>4.7789999999999999E-2</v>
      </c>
      <c r="F933" s="85">
        <v>4.7789999999999999E-2</v>
      </c>
      <c r="G933" s="85">
        <v>0</v>
      </c>
      <c r="H933" s="85">
        <v>0</v>
      </c>
      <c r="I933" s="85">
        <v>0</v>
      </c>
      <c r="J933" s="85">
        <v>0</v>
      </c>
      <c r="K933" s="148">
        <v>0</v>
      </c>
      <c r="L933" s="497">
        <f t="shared" si="341"/>
        <v>4.7789999999999999E-2</v>
      </c>
      <c r="M933" s="407"/>
      <c r="N933" s="88"/>
      <c r="O933" s="408"/>
      <c r="P933" s="1218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  <c r="AF933" s="91"/>
      <c r="AG933" s="91"/>
      <c r="AH933" s="91"/>
      <c r="AI933" s="91"/>
      <c r="AJ933" s="91"/>
      <c r="AK933" s="91"/>
      <c r="AL933" s="91"/>
      <c r="AM933" s="91"/>
      <c r="AN933" s="91"/>
      <c r="AO933" s="91"/>
      <c r="AP933" s="9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91"/>
      <c r="BE933" s="91"/>
      <c r="BF933" s="92"/>
    </row>
    <row r="934" spans="1:58" s="82" customFormat="1" ht="14.25" customHeight="1">
      <c r="A934" s="941"/>
      <c r="B934" s="960"/>
      <c r="C934" s="1274"/>
      <c r="D934" s="84">
        <v>2025</v>
      </c>
      <c r="E934" s="85">
        <f t="shared" si="342"/>
        <v>4.9700000000000001E-2</v>
      </c>
      <c r="F934" s="85">
        <v>4.9700000000000001E-2</v>
      </c>
      <c r="G934" s="85">
        <v>0</v>
      </c>
      <c r="H934" s="85">
        <v>0</v>
      </c>
      <c r="I934" s="85">
        <v>0</v>
      </c>
      <c r="J934" s="85">
        <v>0</v>
      </c>
      <c r="K934" s="148">
        <v>0</v>
      </c>
      <c r="L934" s="497">
        <f t="shared" si="341"/>
        <v>4.9700000000000001E-2</v>
      </c>
      <c r="M934" s="407"/>
      <c r="N934" s="88"/>
      <c r="O934" s="408"/>
      <c r="P934" s="1218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  <c r="AF934" s="91"/>
      <c r="AG934" s="91"/>
      <c r="AH934" s="91"/>
      <c r="AI934" s="91"/>
      <c r="AJ934" s="91"/>
      <c r="AK934" s="91"/>
      <c r="AL934" s="91"/>
      <c r="AM934" s="91"/>
      <c r="AN934" s="91"/>
      <c r="AO934" s="91"/>
      <c r="AP934" s="91"/>
      <c r="AQ934" s="91"/>
      <c r="AR934" s="91"/>
      <c r="AS934" s="91"/>
      <c r="AT934" s="91"/>
      <c r="AU934" s="91"/>
      <c r="AV934" s="91"/>
      <c r="AW934" s="91"/>
      <c r="AX934" s="91"/>
      <c r="AY934" s="91"/>
      <c r="AZ934" s="91"/>
      <c r="BA934" s="91"/>
      <c r="BB934" s="91"/>
      <c r="BC934" s="91"/>
      <c r="BD934" s="91"/>
      <c r="BE934" s="91"/>
      <c r="BF934" s="92"/>
    </row>
    <row r="935" spans="1:58" s="82" customFormat="1" ht="14.25" customHeight="1">
      <c r="A935" s="941"/>
      <c r="B935" s="960"/>
      <c r="C935" s="1262" t="s">
        <v>957</v>
      </c>
      <c r="D935" s="84">
        <v>2026</v>
      </c>
      <c r="E935" s="85">
        <f t="shared" si="342"/>
        <v>5.1688000000000005E-2</v>
      </c>
      <c r="F935" s="85">
        <f>F934*1.04</f>
        <v>5.1688000000000005E-2</v>
      </c>
      <c r="G935" s="85">
        <v>0</v>
      </c>
      <c r="H935" s="85">
        <v>0</v>
      </c>
      <c r="I935" s="85">
        <v>0</v>
      </c>
      <c r="J935" s="85">
        <v>0</v>
      </c>
      <c r="K935" s="148">
        <v>0</v>
      </c>
      <c r="L935" s="497">
        <f t="shared" si="341"/>
        <v>5.1688000000000005E-2</v>
      </c>
      <c r="M935" s="407"/>
      <c r="N935" s="88"/>
      <c r="O935" s="408"/>
      <c r="P935" s="1218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  <c r="AF935" s="91"/>
      <c r="AG935" s="91"/>
      <c r="AH935" s="91"/>
      <c r="AI935" s="91"/>
      <c r="AJ935" s="91"/>
      <c r="AK935" s="91"/>
      <c r="AL935" s="91"/>
      <c r="AM935" s="91"/>
      <c r="AN935" s="91"/>
      <c r="AO935" s="91"/>
      <c r="AP935" s="9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91"/>
      <c r="BD935" s="91"/>
      <c r="BE935" s="91"/>
      <c r="BF935" s="92"/>
    </row>
    <row r="936" spans="1:58" s="82" customFormat="1" ht="14.25" customHeight="1">
      <c r="A936" s="941"/>
      <c r="B936" s="960"/>
      <c r="C936" s="1263"/>
      <c r="D936" s="84">
        <v>2027</v>
      </c>
      <c r="E936" s="85">
        <f t="shared" si="342"/>
        <v>5.3755520000000008E-2</v>
      </c>
      <c r="F936" s="85">
        <f>F935*1.04</f>
        <v>5.3755520000000008E-2</v>
      </c>
      <c r="G936" s="85">
        <v>0</v>
      </c>
      <c r="H936" s="85">
        <v>0</v>
      </c>
      <c r="I936" s="85">
        <v>0</v>
      </c>
      <c r="J936" s="85">
        <v>0</v>
      </c>
      <c r="K936" s="148">
        <v>0</v>
      </c>
      <c r="L936" s="497">
        <f t="shared" si="341"/>
        <v>5.3755520000000008E-2</v>
      </c>
      <c r="M936" s="407"/>
      <c r="N936" s="88"/>
      <c r="O936" s="408"/>
      <c r="P936" s="1218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  <c r="AF936" s="91"/>
      <c r="AG936" s="91"/>
      <c r="AH936" s="91"/>
      <c r="AI936" s="91"/>
      <c r="AJ936" s="91"/>
      <c r="AK936" s="91"/>
      <c r="AL936" s="91"/>
      <c r="AM936" s="91"/>
      <c r="AN936" s="91"/>
      <c r="AO936" s="91"/>
      <c r="AP936" s="91"/>
      <c r="AQ936" s="91"/>
      <c r="AR936" s="91"/>
      <c r="AS936" s="91"/>
      <c r="AT936" s="91"/>
      <c r="AU936" s="91"/>
      <c r="AV936" s="91"/>
      <c r="AW936" s="91"/>
      <c r="AX936" s="91"/>
      <c r="AY936" s="91"/>
      <c r="AZ936" s="91"/>
      <c r="BA936" s="91"/>
      <c r="BB936" s="91"/>
      <c r="BC936" s="91"/>
      <c r="BD936" s="91"/>
      <c r="BE936" s="91"/>
      <c r="BF936" s="92"/>
    </row>
    <row r="937" spans="1:58" s="82" customFormat="1" ht="14.25" customHeight="1">
      <c r="A937" s="941"/>
      <c r="B937" s="960"/>
      <c r="C937" s="1263"/>
      <c r="D937" s="84">
        <v>2028</v>
      </c>
      <c r="E937" s="85">
        <f t="shared" si="342"/>
        <v>5.5905740800000013E-2</v>
      </c>
      <c r="F937" s="85">
        <f>F936*1.04</f>
        <v>5.5905740800000013E-2</v>
      </c>
      <c r="G937" s="85">
        <v>0</v>
      </c>
      <c r="H937" s="85">
        <v>0</v>
      </c>
      <c r="I937" s="85">
        <v>0</v>
      </c>
      <c r="J937" s="85">
        <v>0</v>
      </c>
      <c r="K937" s="148">
        <v>0</v>
      </c>
      <c r="L937" s="497">
        <f t="shared" si="341"/>
        <v>5.5905740800000013E-2</v>
      </c>
      <c r="M937" s="407"/>
      <c r="N937" s="88"/>
      <c r="O937" s="408"/>
      <c r="P937" s="1218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  <c r="AF937" s="91"/>
      <c r="AG937" s="91"/>
      <c r="AH937" s="91"/>
      <c r="AI937" s="91"/>
      <c r="AJ937" s="91"/>
      <c r="AK937" s="91"/>
      <c r="AL937" s="91"/>
      <c r="AM937" s="91"/>
      <c r="AN937" s="91"/>
      <c r="AO937" s="91"/>
      <c r="AP937" s="91"/>
      <c r="AQ937" s="91"/>
      <c r="AR937" s="91"/>
      <c r="AS937" s="91"/>
      <c r="AT937" s="91"/>
      <c r="AU937" s="91"/>
      <c r="AV937" s="91"/>
      <c r="AW937" s="91"/>
      <c r="AX937" s="91"/>
      <c r="AY937" s="91"/>
      <c r="AZ937" s="91"/>
      <c r="BA937" s="91"/>
      <c r="BB937" s="91"/>
      <c r="BC937" s="91"/>
      <c r="BD937" s="91"/>
      <c r="BE937" s="91"/>
      <c r="BF937" s="92"/>
    </row>
    <row r="938" spans="1:58" s="82" customFormat="1" ht="14.25" customHeight="1">
      <c r="A938" s="941"/>
      <c r="B938" s="960"/>
      <c r="C938" s="1263"/>
      <c r="D938" s="84">
        <v>2029</v>
      </c>
      <c r="E938" s="85">
        <f t="shared" si="342"/>
        <v>5.8141970432000013E-2</v>
      </c>
      <c r="F938" s="85">
        <f>F937*1.04</f>
        <v>5.8141970432000013E-2</v>
      </c>
      <c r="G938" s="85">
        <v>0</v>
      </c>
      <c r="H938" s="85">
        <v>0</v>
      </c>
      <c r="I938" s="85">
        <v>0</v>
      </c>
      <c r="J938" s="85">
        <v>0</v>
      </c>
      <c r="K938" s="148">
        <v>0</v>
      </c>
      <c r="L938" s="497">
        <f t="shared" si="341"/>
        <v>5.8141970432000013E-2</v>
      </c>
      <c r="M938" s="407"/>
      <c r="N938" s="88"/>
      <c r="O938" s="408"/>
      <c r="P938" s="1218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  <c r="AF938" s="91"/>
      <c r="AG938" s="91"/>
      <c r="AH938" s="91"/>
      <c r="AI938" s="91"/>
      <c r="AJ938" s="91"/>
      <c r="AK938" s="91"/>
      <c r="AL938" s="91"/>
      <c r="AM938" s="91"/>
      <c r="AN938" s="91"/>
      <c r="AO938" s="91"/>
      <c r="AP938" s="91"/>
      <c r="AQ938" s="91"/>
      <c r="AR938" s="91"/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91"/>
      <c r="BD938" s="91"/>
      <c r="BE938" s="91"/>
      <c r="BF938" s="92"/>
    </row>
    <row r="939" spans="1:58" s="82" customFormat="1" ht="14.25" customHeight="1">
      <c r="A939" s="942"/>
      <c r="B939" s="961"/>
      <c r="C939" s="1274"/>
      <c r="D939" s="84">
        <v>2030</v>
      </c>
      <c r="E939" s="85">
        <f t="shared" si="342"/>
        <v>6.0467649249280019E-2</v>
      </c>
      <c r="F939" s="85">
        <f>F938*1.04</f>
        <v>6.0467649249280019E-2</v>
      </c>
      <c r="G939" s="85">
        <v>0</v>
      </c>
      <c r="H939" s="85">
        <v>0</v>
      </c>
      <c r="I939" s="85">
        <v>0</v>
      </c>
      <c r="J939" s="85">
        <v>0</v>
      </c>
      <c r="K939" s="148">
        <v>0</v>
      </c>
      <c r="L939" s="497">
        <f t="shared" si="341"/>
        <v>6.0467649249280019E-2</v>
      </c>
      <c r="M939" s="407"/>
      <c r="N939" s="88"/>
      <c r="O939" s="408"/>
      <c r="P939" s="1218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  <c r="AF939" s="91"/>
      <c r="AG939" s="91"/>
      <c r="AH939" s="91"/>
      <c r="AI939" s="91"/>
      <c r="AJ939" s="91"/>
      <c r="AK939" s="91"/>
      <c r="AL939" s="91"/>
      <c r="AM939" s="91"/>
      <c r="AN939" s="91"/>
      <c r="AO939" s="91"/>
      <c r="AP939" s="91"/>
      <c r="AQ939" s="91"/>
      <c r="AR939" s="91"/>
      <c r="AS939" s="91"/>
      <c r="AT939" s="91"/>
      <c r="AU939" s="91"/>
      <c r="AV939" s="91"/>
      <c r="AW939" s="91"/>
      <c r="AX939" s="91"/>
      <c r="AY939" s="91"/>
      <c r="AZ939" s="91"/>
      <c r="BA939" s="91"/>
      <c r="BB939" s="91"/>
      <c r="BC939" s="91"/>
      <c r="BD939" s="91"/>
      <c r="BE939" s="91"/>
      <c r="BF939" s="92"/>
    </row>
    <row r="940" spans="1:58" s="82" customFormat="1">
      <c r="A940" s="1069" t="s">
        <v>1334</v>
      </c>
      <c r="B940" s="1080" t="s">
        <v>959</v>
      </c>
      <c r="C940" s="1170"/>
      <c r="D940" s="84" t="s">
        <v>16</v>
      </c>
      <c r="E940" s="85">
        <f t="shared" ref="E940:J940" si="343">SUM(E941:E952)</f>
        <v>0</v>
      </c>
      <c r="F940" s="85">
        <f t="shared" si="343"/>
        <v>0</v>
      </c>
      <c r="G940" s="85">
        <f t="shared" si="343"/>
        <v>0</v>
      </c>
      <c r="H940" s="85">
        <f t="shared" si="343"/>
        <v>0</v>
      </c>
      <c r="I940" s="85">
        <f t="shared" si="343"/>
        <v>0</v>
      </c>
      <c r="J940" s="85">
        <f t="shared" si="343"/>
        <v>0</v>
      </c>
      <c r="K940" s="148">
        <v>0</v>
      </c>
      <c r="L940" s="497">
        <f t="shared" si="341"/>
        <v>0</v>
      </c>
      <c r="M940" s="407"/>
      <c r="N940" s="88"/>
      <c r="O940" s="408"/>
      <c r="P940" s="1245" t="s">
        <v>527</v>
      </c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  <c r="AF940" s="91"/>
      <c r="AG940" s="91"/>
      <c r="AH940" s="91"/>
      <c r="AI940" s="91"/>
      <c r="AJ940" s="91"/>
      <c r="AK940" s="91"/>
      <c r="AL940" s="91"/>
      <c r="AM940" s="91"/>
      <c r="AN940" s="91"/>
      <c r="AO940" s="91"/>
      <c r="AP940" s="91"/>
      <c r="AQ940" s="91"/>
      <c r="AR940" s="91"/>
      <c r="AS940" s="91"/>
      <c r="AT940" s="91"/>
      <c r="AU940" s="91"/>
      <c r="AV940" s="91"/>
      <c r="AW940" s="91"/>
      <c r="AX940" s="91"/>
      <c r="AY940" s="91"/>
      <c r="AZ940" s="91"/>
      <c r="BA940" s="91"/>
      <c r="BB940" s="91"/>
      <c r="BC940" s="91"/>
      <c r="BD940" s="91"/>
      <c r="BE940" s="91"/>
      <c r="BF940" s="92"/>
    </row>
    <row r="941" spans="1:58" s="82" customFormat="1" ht="14.25" customHeight="1">
      <c r="A941" s="941"/>
      <c r="B941" s="960"/>
      <c r="C941" s="1218"/>
      <c r="D941" s="84">
        <v>2019</v>
      </c>
      <c r="E941" s="85">
        <f t="shared" ref="E941:E952" si="344">F941+G941+H941+I941+J941</f>
        <v>0</v>
      </c>
      <c r="F941" s="85">
        <v>0</v>
      </c>
      <c r="G941" s="85">
        <v>0</v>
      </c>
      <c r="H941" s="85">
        <v>0</v>
      </c>
      <c r="I941" s="85">
        <v>0</v>
      </c>
      <c r="J941" s="85">
        <v>0</v>
      </c>
      <c r="K941" s="148">
        <v>0</v>
      </c>
      <c r="L941" s="497">
        <f t="shared" si="341"/>
        <v>0</v>
      </c>
      <c r="M941" s="407"/>
      <c r="N941" s="88"/>
      <c r="O941" s="408"/>
      <c r="P941" s="1245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  <c r="AF941" s="91"/>
      <c r="AG941" s="91"/>
      <c r="AH941" s="91"/>
      <c r="AI941" s="91"/>
      <c r="AJ941" s="91"/>
      <c r="AK941" s="91"/>
      <c r="AL941" s="91"/>
      <c r="AM941" s="91"/>
      <c r="AN941" s="91"/>
      <c r="AO941" s="91"/>
      <c r="AP941" s="9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91"/>
      <c r="BD941" s="91"/>
      <c r="BE941" s="91"/>
      <c r="BF941" s="92"/>
    </row>
    <row r="942" spans="1:58" s="82" customFormat="1" ht="14.25" customHeight="1">
      <c r="A942" s="941"/>
      <c r="B942" s="960"/>
      <c r="C942" s="1218"/>
      <c r="D942" s="84">
        <v>2020</v>
      </c>
      <c r="E942" s="85">
        <f t="shared" si="344"/>
        <v>0</v>
      </c>
      <c r="F942" s="85">
        <v>0</v>
      </c>
      <c r="G942" s="85">
        <v>0</v>
      </c>
      <c r="H942" s="85">
        <v>0</v>
      </c>
      <c r="I942" s="85">
        <v>0</v>
      </c>
      <c r="J942" s="85">
        <v>0</v>
      </c>
      <c r="K942" s="148">
        <v>0</v>
      </c>
      <c r="L942" s="497">
        <f t="shared" si="341"/>
        <v>0</v>
      </c>
      <c r="M942" s="407"/>
      <c r="N942" s="88"/>
      <c r="O942" s="408"/>
      <c r="P942" s="1245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  <c r="AF942" s="91"/>
      <c r="AG942" s="91"/>
      <c r="AH942" s="91"/>
      <c r="AI942" s="91"/>
      <c r="AJ942" s="91"/>
      <c r="AK942" s="91"/>
      <c r="AL942" s="91"/>
      <c r="AM942" s="91"/>
      <c r="AN942" s="91"/>
      <c r="AO942" s="91"/>
      <c r="AP942" s="91"/>
      <c r="AQ942" s="91"/>
      <c r="AR942" s="91"/>
      <c r="AS942" s="91"/>
      <c r="AT942" s="91"/>
      <c r="AU942" s="91"/>
      <c r="AV942" s="91"/>
      <c r="AW942" s="91"/>
      <c r="AX942" s="91"/>
      <c r="AY942" s="91"/>
      <c r="AZ942" s="91"/>
      <c r="BA942" s="91"/>
      <c r="BB942" s="91"/>
      <c r="BC942" s="91"/>
      <c r="BD942" s="91"/>
      <c r="BE942" s="91"/>
      <c r="BF942" s="92"/>
    </row>
    <row r="943" spans="1:58" s="82" customFormat="1" ht="14.25" customHeight="1">
      <c r="A943" s="941"/>
      <c r="B943" s="960"/>
      <c r="C943" s="1218"/>
      <c r="D943" s="84">
        <v>2021</v>
      </c>
      <c r="E943" s="85">
        <f t="shared" si="344"/>
        <v>0</v>
      </c>
      <c r="F943" s="85">
        <v>0</v>
      </c>
      <c r="G943" s="85">
        <v>0</v>
      </c>
      <c r="H943" s="85">
        <v>0</v>
      </c>
      <c r="I943" s="85">
        <v>0</v>
      </c>
      <c r="J943" s="85">
        <v>0</v>
      </c>
      <c r="K943" s="148">
        <v>0</v>
      </c>
      <c r="L943" s="497">
        <f t="shared" si="341"/>
        <v>0</v>
      </c>
      <c r="M943" s="407"/>
      <c r="N943" s="88"/>
      <c r="O943" s="408"/>
      <c r="P943" s="1245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  <c r="AF943" s="91"/>
      <c r="AG943" s="91"/>
      <c r="AH943" s="91"/>
      <c r="AI943" s="91"/>
      <c r="AJ943" s="91"/>
      <c r="AK943" s="91"/>
      <c r="AL943" s="91"/>
      <c r="AM943" s="91"/>
      <c r="AN943" s="91"/>
      <c r="AO943" s="91"/>
      <c r="AP943" s="91"/>
      <c r="AQ943" s="91"/>
      <c r="AR943" s="91"/>
      <c r="AS943" s="91"/>
      <c r="AT943" s="91"/>
      <c r="AU943" s="91"/>
      <c r="AV943" s="91"/>
      <c r="AW943" s="91"/>
      <c r="AX943" s="91"/>
      <c r="AY943" s="91"/>
      <c r="AZ943" s="91"/>
      <c r="BA943" s="91"/>
      <c r="BB943" s="91"/>
      <c r="BC943" s="91"/>
      <c r="BD943" s="91"/>
      <c r="BE943" s="91"/>
      <c r="BF943" s="92"/>
    </row>
    <row r="944" spans="1:58" s="82" customFormat="1" ht="14.25" customHeight="1">
      <c r="A944" s="941"/>
      <c r="B944" s="960"/>
      <c r="C944" s="1218"/>
      <c r="D944" s="84">
        <v>2022</v>
      </c>
      <c r="E944" s="85">
        <f t="shared" si="344"/>
        <v>0</v>
      </c>
      <c r="F944" s="85">
        <v>0</v>
      </c>
      <c r="G944" s="85">
        <v>0</v>
      </c>
      <c r="H944" s="85">
        <v>0</v>
      </c>
      <c r="I944" s="85">
        <v>0</v>
      </c>
      <c r="J944" s="85">
        <v>0</v>
      </c>
      <c r="K944" s="148">
        <v>0</v>
      </c>
      <c r="L944" s="497">
        <f t="shared" si="341"/>
        <v>0</v>
      </c>
      <c r="M944" s="407"/>
      <c r="N944" s="88"/>
      <c r="O944" s="408"/>
      <c r="P944" s="1245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  <c r="AF944" s="91"/>
      <c r="AG944" s="91"/>
      <c r="AH944" s="91"/>
      <c r="AI944" s="91"/>
      <c r="AJ944" s="91"/>
      <c r="AK944" s="91"/>
      <c r="AL944" s="91"/>
      <c r="AM944" s="91"/>
      <c r="AN944" s="91"/>
      <c r="AO944" s="91"/>
      <c r="AP944" s="91"/>
      <c r="AQ944" s="91"/>
      <c r="AR944" s="91"/>
      <c r="AS944" s="91"/>
      <c r="AT944" s="91"/>
      <c r="AU944" s="91"/>
      <c r="AV944" s="91"/>
      <c r="AW944" s="91"/>
      <c r="AX944" s="91"/>
      <c r="AY944" s="91"/>
      <c r="AZ944" s="91"/>
      <c r="BA944" s="91"/>
      <c r="BB944" s="91"/>
      <c r="BC944" s="91"/>
      <c r="BD944" s="91"/>
      <c r="BE944" s="91"/>
      <c r="BF944" s="92"/>
    </row>
    <row r="945" spans="1:58" s="82" customFormat="1" ht="14.25" customHeight="1">
      <c r="A945" s="941"/>
      <c r="B945" s="960"/>
      <c r="C945" s="1218"/>
      <c r="D945" s="84">
        <v>2023</v>
      </c>
      <c r="E945" s="85">
        <f t="shared" si="344"/>
        <v>0</v>
      </c>
      <c r="F945" s="85">
        <v>0</v>
      </c>
      <c r="G945" s="85">
        <v>0</v>
      </c>
      <c r="H945" s="85">
        <v>0</v>
      </c>
      <c r="I945" s="85">
        <v>0</v>
      </c>
      <c r="J945" s="85">
        <v>0</v>
      </c>
      <c r="K945" s="148">
        <v>0</v>
      </c>
      <c r="L945" s="497">
        <f t="shared" si="341"/>
        <v>0</v>
      </c>
      <c r="M945" s="407"/>
      <c r="N945" s="88"/>
      <c r="O945" s="408"/>
      <c r="P945" s="1245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  <c r="AF945" s="91"/>
      <c r="AG945" s="91"/>
      <c r="AH945" s="91"/>
      <c r="AI945" s="91"/>
      <c r="AJ945" s="91"/>
      <c r="AK945" s="91"/>
      <c r="AL945" s="91"/>
      <c r="AM945" s="91"/>
      <c r="AN945" s="91"/>
      <c r="AO945" s="91"/>
      <c r="AP945" s="91"/>
      <c r="AQ945" s="91"/>
      <c r="AR945" s="91"/>
      <c r="AS945" s="91"/>
      <c r="AT945" s="91"/>
      <c r="AU945" s="91"/>
      <c r="AV945" s="91"/>
      <c r="AW945" s="91"/>
      <c r="AX945" s="91"/>
      <c r="AY945" s="91"/>
      <c r="AZ945" s="91"/>
      <c r="BA945" s="91"/>
      <c r="BB945" s="91"/>
      <c r="BC945" s="91"/>
      <c r="BD945" s="91"/>
      <c r="BE945" s="91"/>
      <c r="BF945" s="92"/>
    </row>
    <row r="946" spans="1:58" s="82" customFormat="1" ht="14.25" customHeight="1">
      <c r="A946" s="941"/>
      <c r="B946" s="960"/>
      <c r="C946" s="1218"/>
      <c r="D946" s="84">
        <v>2024</v>
      </c>
      <c r="E946" s="85">
        <f t="shared" si="344"/>
        <v>0</v>
      </c>
      <c r="F946" s="85">
        <v>0</v>
      </c>
      <c r="G946" s="85">
        <v>0</v>
      </c>
      <c r="H946" s="85">
        <v>0</v>
      </c>
      <c r="I946" s="85">
        <v>0</v>
      </c>
      <c r="J946" s="85">
        <v>0</v>
      </c>
      <c r="K946" s="148">
        <v>0</v>
      </c>
      <c r="L946" s="497">
        <f t="shared" si="341"/>
        <v>0</v>
      </c>
      <c r="M946" s="407"/>
      <c r="N946" s="88"/>
      <c r="O946" s="408"/>
      <c r="P946" s="1245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  <c r="AF946" s="91"/>
      <c r="AG946" s="91"/>
      <c r="AH946" s="91"/>
      <c r="AI946" s="91"/>
      <c r="AJ946" s="91"/>
      <c r="AK946" s="91"/>
      <c r="AL946" s="91"/>
      <c r="AM946" s="91"/>
      <c r="AN946" s="91"/>
      <c r="AO946" s="91"/>
      <c r="AP946" s="91"/>
      <c r="AQ946" s="91"/>
      <c r="AR946" s="91"/>
      <c r="AS946" s="91"/>
      <c r="AT946" s="91"/>
      <c r="AU946" s="91"/>
      <c r="AV946" s="91"/>
      <c r="AW946" s="91"/>
      <c r="AX946" s="91"/>
      <c r="AY946" s="91"/>
      <c r="AZ946" s="91"/>
      <c r="BA946" s="91"/>
      <c r="BB946" s="91"/>
      <c r="BC946" s="91"/>
      <c r="BD946" s="91"/>
      <c r="BE946" s="91"/>
      <c r="BF946" s="92"/>
    </row>
    <row r="947" spans="1:58" s="82" customFormat="1" ht="14.25" customHeight="1">
      <c r="A947" s="941"/>
      <c r="B947" s="960"/>
      <c r="C947" s="1218"/>
      <c r="D947" s="84">
        <v>2025</v>
      </c>
      <c r="E947" s="85">
        <f t="shared" si="344"/>
        <v>0</v>
      </c>
      <c r="F947" s="85">
        <v>0</v>
      </c>
      <c r="G947" s="85">
        <v>0</v>
      </c>
      <c r="H947" s="85">
        <v>0</v>
      </c>
      <c r="I947" s="85">
        <v>0</v>
      </c>
      <c r="J947" s="85">
        <v>0</v>
      </c>
      <c r="K947" s="148">
        <v>0</v>
      </c>
      <c r="L947" s="497">
        <f t="shared" si="341"/>
        <v>0</v>
      </c>
      <c r="M947" s="407"/>
      <c r="N947" s="88"/>
      <c r="O947" s="408"/>
      <c r="P947" s="1245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  <c r="AF947" s="91"/>
      <c r="AG947" s="91"/>
      <c r="AH947" s="91"/>
      <c r="AI947" s="91"/>
      <c r="AJ947" s="91"/>
      <c r="AK947" s="91"/>
      <c r="AL947" s="91"/>
      <c r="AM947" s="91"/>
      <c r="AN947" s="91"/>
      <c r="AO947" s="91"/>
      <c r="AP947" s="91"/>
      <c r="AQ947" s="91"/>
      <c r="AR947" s="91"/>
      <c r="AS947" s="91"/>
      <c r="AT947" s="91"/>
      <c r="AU947" s="91"/>
      <c r="AV947" s="91"/>
      <c r="AW947" s="91"/>
      <c r="AX947" s="91"/>
      <c r="AY947" s="91"/>
      <c r="AZ947" s="91"/>
      <c r="BA947" s="91"/>
      <c r="BB947" s="91"/>
      <c r="BC947" s="91"/>
      <c r="BD947" s="91"/>
      <c r="BE947" s="91"/>
      <c r="BF947" s="92"/>
    </row>
    <row r="948" spans="1:58" s="82" customFormat="1" ht="14.25" customHeight="1">
      <c r="A948" s="941"/>
      <c r="B948" s="960"/>
      <c r="C948" s="1218"/>
      <c r="D948" s="84">
        <v>2026</v>
      </c>
      <c r="E948" s="85">
        <f t="shared" si="344"/>
        <v>0</v>
      </c>
      <c r="F948" s="85">
        <v>0</v>
      </c>
      <c r="G948" s="85">
        <v>0</v>
      </c>
      <c r="H948" s="85">
        <v>0</v>
      </c>
      <c r="I948" s="85">
        <v>0</v>
      </c>
      <c r="J948" s="85">
        <v>0</v>
      </c>
      <c r="K948" s="148">
        <v>0</v>
      </c>
      <c r="L948" s="497">
        <f t="shared" si="341"/>
        <v>0</v>
      </c>
      <c r="M948" s="407"/>
      <c r="N948" s="88"/>
      <c r="O948" s="408"/>
      <c r="P948" s="1245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  <c r="AF948" s="91"/>
      <c r="AG948" s="91"/>
      <c r="AH948" s="91"/>
      <c r="AI948" s="91"/>
      <c r="AJ948" s="91"/>
      <c r="AK948" s="91"/>
      <c r="AL948" s="91"/>
      <c r="AM948" s="91"/>
      <c r="AN948" s="91"/>
      <c r="AO948" s="91"/>
      <c r="AP948" s="91"/>
      <c r="AQ948" s="91"/>
      <c r="AR948" s="91"/>
      <c r="AS948" s="91"/>
      <c r="AT948" s="91"/>
      <c r="AU948" s="91"/>
      <c r="AV948" s="91"/>
      <c r="AW948" s="91"/>
      <c r="AX948" s="91"/>
      <c r="AY948" s="91"/>
      <c r="AZ948" s="91"/>
      <c r="BA948" s="91"/>
      <c r="BB948" s="91"/>
      <c r="BC948" s="91"/>
      <c r="BD948" s="91"/>
      <c r="BE948" s="91"/>
      <c r="BF948" s="92"/>
    </row>
    <row r="949" spans="1:58" s="82" customFormat="1" ht="14.25" customHeight="1">
      <c r="A949" s="941"/>
      <c r="B949" s="960"/>
      <c r="C949" s="1218"/>
      <c r="D949" s="84">
        <v>2027</v>
      </c>
      <c r="E949" s="85">
        <f t="shared" si="344"/>
        <v>0</v>
      </c>
      <c r="F949" s="85">
        <v>0</v>
      </c>
      <c r="G949" s="85">
        <v>0</v>
      </c>
      <c r="H949" s="85">
        <v>0</v>
      </c>
      <c r="I949" s="85">
        <v>0</v>
      </c>
      <c r="J949" s="85">
        <v>0</v>
      </c>
      <c r="K949" s="148">
        <v>0</v>
      </c>
      <c r="L949" s="497">
        <f t="shared" si="341"/>
        <v>0</v>
      </c>
      <c r="M949" s="407"/>
      <c r="N949" s="88"/>
      <c r="O949" s="408"/>
      <c r="P949" s="1245"/>
      <c r="Q949" s="91"/>
      <c r="R949" s="91"/>
      <c r="S949" s="91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  <c r="AF949" s="91"/>
      <c r="AG949" s="91"/>
      <c r="AH949" s="91"/>
      <c r="AI949" s="91"/>
      <c r="AJ949" s="91"/>
      <c r="AK949" s="91"/>
      <c r="AL949" s="91"/>
      <c r="AM949" s="91"/>
      <c r="AN949" s="91"/>
      <c r="AO949" s="91"/>
      <c r="AP949" s="91"/>
      <c r="AQ949" s="91"/>
      <c r="AR949" s="91"/>
      <c r="AS949" s="91"/>
      <c r="AT949" s="91"/>
      <c r="AU949" s="91"/>
      <c r="AV949" s="91"/>
      <c r="AW949" s="91"/>
      <c r="AX949" s="91"/>
      <c r="AY949" s="91"/>
      <c r="AZ949" s="91"/>
      <c r="BA949" s="91"/>
      <c r="BB949" s="91"/>
      <c r="BC949" s="91"/>
      <c r="BD949" s="91"/>
      <c r="BE949" s="91"/>
      <c r="BF949" s="92"/>
    </row>
    <row r="950" spans="1:58" s="82" customFormat="1" ht="14.25" customHeight="1">
      <c r="A950" s="941"/>
      <c r="B950" s="960"/>
      <c r="C950" s="1218"/>
      <c r="D950" s="84">
        <v>2028</v>
      </c>
      <c r="E950" s="85">
        <f t="shared" si="344"/>
        <v>0</v>
      </c>
      <c r="F950" s="85">
        <v>0</v>
      </c>
      <c r="G950" s="85">
        <v>0</v>
      </c>
      <c r="H950" s="85">
        <v>0</v>
      </c>
      <c r="I950" s="85">
        <v>0</v>
      </c>
      <c r="J950" s="85">
        <v>0</v>
      </c>
      <c r="K950" s="148">
        <v>0</v>
      </c>
      <c r="L950" s="497">
        <f t="shared" si="341"/>
        <v>0</v>
      </c>
      <c r="M950" s="407"/>
      <c r="N950" s="88"/>
      <c r="O950" s="408"/>
      <c r="P950" s="1245"/>
      <c r="Q950" s="91"/>
      <c r="R950" s="91"/>
      <c r="S950" s="91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  <c r="AF950" s="91"/>
      <c r="AG950" s="91"/>
      <c r="AH950" s="91"/>
      <c r="AI950" s="91"/>
      <c r="AJ950" s="91"/>
      <c r="AK950" s="91"/>
      <c r="AL950" s="91"/>
      <c r="AM950" s="91"/>
      <c r="AN950" s="91"/>
      <c r="AO950" s="91"/>
      <c r="AP950" s="91"/>
      <c r="AQ950" s="91"/>
      <c r="AR950" s="91"/>
      <c r="AS950" s="91"/>
      <c r="AT950" s="91"/>
      <c r="AU950" s="91"/>
      <c r="AV950" s="91"/>
      <c r="AW950" s="91"/>
      <c r="AX950" s="91"/>
      <c r="AY950" s="91"/>
      <c r="AZ950" s="91"/>
      <c r="BA950" s="91"/>
      <c r="BB950" s="91"/>
      <c r="BC950" s="91"/>
      <c r="BD950" s="91"/>
      <c r="BE950" s="91"/>
      <c r="BF950" s="92"/>
    </row>
    <row r="951" spans="1:58" s="82" customFormat="1" ht="14.25" customHeight="1">
      <c r="A951" s="941"/>
      <c r="B951" s="960"/>
      <c r="C951" s="1218"/>
      <c r="D951" s="84">
        <v>2029</v>
      </c>
      <c r="E951" s="85">
        <f t="shared" si="344"/>
        <v>0</v>
      </c>
      <c r="F951" s="85">
        <v>0</v>
      </c>
      <c r="G951" s="85">
        <v>0</v>
      </c>
      <c r="H951" s="85">
        <v>0</v>
      </c>
      <c r="I951" s="85">
        <v>0</v>
      </c>
      <c r="J951" s="85">
        <v>0</v>
      </c>
      <c r="K951" s="148">
        <v>0</v>
      </c>
      <c r="L951" s="497">
        <f t="shared" si="341"/>
        <v>0</v>
      </c>
      <c r="M951" s="407"/>
      <c r="N951" s="88"/>
      <c r="O951" s="408"/>
      <c r="P951" s="1245"/>
      <c r="Q951" s="91"/>
      <c r="R951" s="91"/>
      <c r="S951" s="91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  <c r="AF951" s="91"/>
      <c r="AG951" s="91"/>
      <c r="AH951" s="91"/>
      <c r="AI951" s="91"/>
      <c r="AJ951" s="91"/>
      <c r="AK951" s="91"/>
      <c r="AL951" s="91"/>
      <c r="AM951" s="91"/>
      <c r="AN951" s="91"/>
      <c r="AO951" s="91"/>
      <c r="AP951" s="91"/>
      <c r="AQ951" s="91"/>
      <c r="AR951" s="91"/>
      <c r="AS951" s="91"/>
      <c r="AT951" s="91"/>
      <c r="AU951" s="91"/>
      <c r="AV951" s="91"/>
      <c r="AW951" s="91"/>
      <c r="AX951" s="91"/>
      <c r="AY951" s="91"/>
      <c r="AZ951" s="91"/>
      <c r="BA951" s="91"/>
      <c r="BB951" s="91"/>
      <c r="BC951" s="91"/>
      <c r="BD951" s="91"/>
      <c r="BE951" s="91"/>
      <c r="BF951" s="92"/>
    </row>
    <row r="952" spans="1:58" s="82" customFormat="1" ht="14.25" customHeight="1">
      <c r="A952" s="942"/>
      <c r="B952" s="961"/>
      <c r="C952" s="1219"/>
      <c r="D952" s="84">
        <v>2030</v>
      </c>
      <c r="E952" s="85">
        <f t="shared" si="344"/>
        <v>0</v>
      </c>
      <c r="F952" s="85">
        <v>0</v>
      </c>
      <c r="G952" s="85">
        <v>0</v>
      </c>
      <c r="H952" s="85">
        <v>0</v>
      </c>
      <c r="I952" s="85">
        <v>0</v>
      </c>
      <c r="J952" s="85">
        <v>0</v>
      </c>
      <c r="K952" s="148">
        <v>0</v>
      </c>
      <c r="L952" s="497">
        <f t="shared" si="341"/>
        <v>0</v>
      </c>
      <c r="M952" s="407"/>
      <c r="N952" s="88"/>
      <c r="O952" s="408"/>
      <c r="P952" s="1245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  <c r="AF952" s="91"/>
      <c r="AG952" s="91"/>
      <c r="AH952" s="91"/>
      <c r="AI952" s="91"/>
      <c r="AJ952" s="91"/>
      <c r="AK952" s="91"/>
      <c r="AL952" s="91"/>
      <c r="AM952" s="91"/>
      <c r="AN952" s="91"/>
      <c r="AO952" s="91"/>
      <c r="AP952" s="91"/>
      <c r="AQ952" s="91"/>
      <c r="AR952" s="91"/>
      <c r="AS952" s="91"/>
      <c r="AT952" s="91"/>
      <c r="AU952" s="91"/>
      <c r="AV952" s="91"/>
      <c r="AW952" s="91"/>
      <c r="AX952" s="91"/>
      <c r="AY952" s="91"/>
      <c r="AZ952" s="91"/>
      <c r="BA952" s="91"/>
      <c r="BB952" s="91"/>
      <c r="BC952" s="91"/>
      <c r="BD952" s="91"/>
      <c r="BE952" s="91"/>
      <c r="BF952" s="92"/>
    </row>
    <row r="953" spans="1:58" s="82" customFormat="1" ht="14.25" customHeight="1">
      <c r="A953" s="926" t="s">
        <v>1335</v>
      </c>
      <c r="B953" s="929" t="s">
        <v>961</v>
      </c>
      <c r="C953" s="1224"/>
      <c r="D953" s="84" t="s">
        <v>16</v>
      </c>
      <c r="E953" s="85">
        <f t="shared" ref="E953:J953" si="345">E966</f>
        <v>0.6268999999999999</v>
      </c>
      <c r="F953" s="85">
        <f t="shared" si="345"/>
        <v>0.6268999999999999</v>
      </c>
      <c r="G953" s="85">
        <f t="shared" si="345"/>
        <v>0</v>
      </c>
      <c r="H953" s="85">
        <f t="shared" si="345"/>
        <v>0</v>
      </c>
      <c r="I953" s="85">
        <f t="shared" si="345"/>
        <v>0</v>
      </c>
      <c r="J953" s="85">
        <f t="shared" si="345"/>
        <v>0</v>
      </c>
      <c r="K953" s="148">
        <v>0</v>
      </c>
      <c r="L953" s="497">
        <f t="shared" si="341"/>
        <v>0.6268999999999999</v>
      </c>
      <c r="M953" s="407"/>
      <c r="N953" s="88"/>
      <c r="O953" s="408"/>
      <c r="P953" s="685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  <c r="AF953" s="91"/>
      <c r="AG953" s="91"/>
      <c r="AH953" s="91"/>
      <c r="AI953" s="91"/>
      <c r="AJ953" s="91"/>
      <c r="AK953" s="91"/>
      <c r="AL953" s="91"/>
      <c r="AM953" s="91"/>
      <c r="AN953" s="91"/>
      <c r="AO953" s="91"/>
      <c r="AP953" s="91"/>
      <c r="AQ953" s="91"/>
      <c r="AR953" s="91"/>
      <c r="AS953" s="91"/>
      <c r="AT953" s="91"/>
      <c r="AU953" s="91"/>
      <c r="AV953" s="91"/>
      <c r="AW953" s="91"/>
      <c r="AX953" s="91"/>
      <c r="AY953" s="91"/>
      <c r="AZ953" s="91"/>
      <c r="BA953" s="91"/>
      <c r="BB953" s="91"/>
      <c r="BC953" s="91"/>
      <c r="BD953" s="91"/>
      <c r="BE953" s="91"/>
      <c r="BF953" s="92"/>
    </row>
    <row r="954" spans="1:58" s="82" customFormat="1" ht="14.25" customHeight="1">
      <c r="A954" s="941"/>
      <c r="B954" s="960"/>
      <c r="C954" s="1218"/>
      <c r="D954" s="84">
        <v>2019</v>
      </c>
      <c r="E954" s="85">
        <f>F954+G954+H954+I954+J954</f>
        <v>4.4999999999999998E-2</v>
      </c>
      <c r="F954" s="85">
        <f t="shared" ref="F954:J960" si="346">F967</f>
        <v>4.4999999999999998E-2</v>
      </c>
      <c r="G954" s="85">
        <f t="shared" si="346"/>
        <v>0</v>
      </c>
      <c r="H954" s="85">
        <f t="shared" si="346"/>
        <v>0</v>
      </c>
      <c r="I954" s="85">
        <f t="shared" si="346"/>
        <v>0</v>
      </c>
      <c r="J954" s="85">
        <f t="shared" si="346"/>
        <v>0</v>
      </c>
      <c r="K954" s="148">
        <v>0</v>
      </c>
      <c r="L954" s="497">
        <f t="shared" si="341"/>
        <v>4.4999999999999998E-2</v>
      </c>
      <c r="M954" s="704"/>
      <c r="N954" s="88"/>
      <c r="O954" s="408"/>
      <c r="P954" s="685"/>
      <c r="Q954" s="91"/>
      <c r="R954" s="91"/>
      <c r="S954" s="91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  <c r="AF954" s="91"/>
      <c r="AG954" s="91"/>
      <c r="AH954" s="91"/>
      <c r="AI954" s="91"/>
      <c r="AJ954" s="91"/>
      <c r="AK954" s="91"/>
      <c r="AL954" s="91"/>
      <c r="AM954" s="91"/>
      <c r="AN954" s="91"/>
      <c r="AO954" s="91"/>
      <c r="AP954" s="91"/>
      <c r="AQ954" s="91"/>
      <c r="AR954" s="91"/>
      <c r="AS954" s="91"/>
      <c r="AT954" s="91"/>
      <c r="AU954" s="91"/>
      <c r="AV954" s="91"/>
      <c r="AW954" s="91"/>
      <c r="AX954" s="91"/>
      <c r="AY954" s="91"/>
      <c r="AZ954" s="91"/>
      <c r="BA954" s="91"/>
      <c r="BB954" s="91"/>
      <c r="BC954" s="91"/>
      <c r="BD954" s="91"/>
      <c r="BE954" s="91"/>
      <c r="BF954" s="92"/>
    </row>
    <row r="955" spans="1:58" s="82" customFormat="1" ht="14.25" customHeight="1">
      <c r="A955" s="941"/>
      <c r="B955" s="960"/>
      <c r="C955" s="1218"/>
      <c r="D955" s="84">
        <v>2020</v>
      </c>
      <c r="E955" s="85">
        <f t="shared" ref="E955:E965" si="347">E968</f>
        <v>0.05</v>
      </c>
      <c r="F955" s="85">
        <f t="shared" si="346"/>
        <v>0.05</v>
      </c>
      <c r="G955" s="85">
        <f t="shared" si="346"/>
        <v>0</v>
      </c>
      <c r="H955" s="85">
        <f t="shared" si="346"/>
        <v>0</v>
      </c>
      <c r="I955" s="85">
        <f t="shared" si="346"/>
        <v>0</v>
      </c>
      <c r="J955" s="85">
        <f t="shared" si="346"/>
        <v>0</v>
      </c>
      <c r="K955" s="148">
        <v>0</v>
      </c>
      <c r="L955" s="497">
        <f t="shared" si="341"/>
        <v>0.05</v>
      </c>
      <c r="M955" s="412"/>
      <c r="N955" s="88"/>
      <c r="O955" s="408"/>
      <c r="P955" s="685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  <c r="AF955" s="91"/>
      <c r="AG955" s="91"/>
      <c r="AH955" s="91"/>
      <c r="AI955" s="91"/>
      <c r="AJ955" s="91"/>
      <c r="AK955" s="91"/>
      <c r="AL955" s="91"/>
      <c r="AM955" s="91"/>
      <c r="AN955" s="91"/>
      <c r="AO955" s="91"/>
      <c r="AP955" s="91"/>
      <c r="AQ955" s="91"/>
      <c r="AR955" s="91"/>
      <c r="AS955" s="91"/>
      <c r="AT955" s="91"/>
      <c r="AU955" s="91"/>
      <c r="AV955" s="91"/>
      <c r="AW955" s="91"/>
      <c r="AX955" s="91"/>
      <c r="AY955" s="91"/>
      <c r="AZ955" s="91"/>
      <c r="BA955" s="91"/>
      <c r="BB955" s="91"/>
      <c r="BC955" s="91"/>
      <c r="BD955" s="91"/>
      <c r="BE955" s="91"/>
      <c r="BF955" s="92"/>
    </row>
    <row r="956" spans="1:58" s="82" customFormat="1" ht="14.25" customHeight="1">
      <c r="A956" s="941"/>
      <c r="B956" s="960"/>
      <c r="C956" s="1218"/>
      <c r="D956" s="84">
        <v>2021</v>
      </c>
      <c r="E956" s="85">
        <f t="shared" si="347"/>
        <v>0.05</v>
      </c>
      <c r="F956" s="85">
        <f t="shared" si="346"/>
        <v>0.05</v>
      </c>
      <c r="G956" s="85">
        <f t="shared" si="346"/>
        <v>0</v>
      </c>
      <c r="H956" s="85">
        <f t="shared" si="346"/>
        <v>0</v>
      </c>
      <c r="I956" s="85">
        <f t="shared" si="346"/>
        <v>0</v>
      </c>
      <c r="J956" s="85">
        <f t="shared" si="346"/>
        <v>0</v>
      </c>
      <c r="K956" s="148">
        <v>0</v>
      </c>
      <c r="L956" s="497">
        <f t="shared" si="341"/>
        <v>0.05</v>
      </c>
      <c r="M956" s="407"/>
      <c r="N956" s="88"/>
      <c r="O956" s="408"/>
      <c r="P956" s="685"/>
      <c r="Q956" s="91"/>
      <c r="R956" s="91"/>
      <c r="S956" s="91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  <c r="AF956" s="91"/>
      <c r="AG956" s="91"/>
      <c r="AH956" s="91"/>
      <c r="AI956" s="91"/>
      <c r="AJ956" s="91"/>
      <c r="AK956" s="91"/>
      <c r="AL956" s="91"/>
      <c r="AM956" s="91"/>
      <c r="AN956" s="91"/>
      <c r="AO956" s="91"/>
      <c r="AP956" s="91"/>
      <c r="AQ956" s="91"/>
      <c r="AR956" s="91"/>
      <c r="AS956" s="91"/>
      <c r="AT956" s="91"/>
      <c r="AU956" s="91"/>
      <c r="AV956" s="91"/>
      <c r="AW956" s="91"/>
      <c r="AX956" s="91"/>
      <c r="AY956" s="91"/>
      <c r="AZ956" s="91"/>
      <c r="BA956" s="91"/>
      <c r="BB956" s="91"/>
      <c r="BC956" s="91"/>
      <c r="BD956" s="91"/>
      <c r="BE956" s="91"/>
      <c r="BF956" s="92"/>
    </row>
    <row r="957" spans="1:58" s="82" customFormat="1" ht="14.25" customHeight="1">
      <c r="A957" s="941"/>
      <c r="B957" s="960"/>
      <c r="C957" s="1218"/>
      <c r="D957" s="84">
        <v>2022</v>
      </c>
      <c r="E957" s="85">
        <f t="shared" si="347"/>
        <v>0.05</v>
      </c>
      <c r="F957" s="85">
        <f t="shared" si="346"/>
        <v>0.05</v>
      </c>
      <c r="G957" s="85">
        <f t="shared" si="346"/>
        <v>0</v>
      </c>
      <c r="H957" s="85">
        <f t="shared" si="346"/>
        <v>0</v>
      </c>
      <c r="I957" s="85">
        <f t="shared" si="346"/>
        <v>0</v>
      </c>
      <c r="J957" s="85">
        <f t="shared" si="346"/>
        <v>0</v>
      </c>
      <c r="K957" s="148">
        <v>0</v>
      </c>
      <c r="L957" s="497">
        <f t="shared" si="341"/>
        <v>0.05</v>
      </c>
      <c r="M957" s="407"/>
      <c r="N957" s="88"/>
      <c r="O957" s="408"/>
      <c r="P957" s="685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  <c r="AF957" s="91"/>
      <c r="AG957" s="91"/>
      <c r="AH957" s="91"/>
      <c r="AI957" s="91"/>
      <c r="AJ957" s="91"/>
      <c r="AK957" s="91"/>
      <c r="AL957" s="91"/>
      <c r="AM957" s="91"/>
      <c r="AN957" s="91"/>
      <c r="AO957" s="91"/>
      <c r="AP957" s="91"/>
      <c r="AQ957" s="91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91"/>
      <c r="BD957" s="91"/>
      <c r="BE957" s="91"/>
      <c r="BF957" s="92"/>
    </row>
    <row r="958" spans="1:58" s="82" customFormat="1" ht="14.25" customHeight="1">
      <c r="A958" s="941"/>
      <c r="B958" s="960"/>
      <c r="C958" s="1218"/>
      <c r="D958" s="84">
        <v>2023</v>
      </c>
      <c r="E958" s="85">
        <f t="shared" si="347"/>
        <v>0.05</v>
      </c>
      <c r="F958" s="85">
        <f t="shared" si="346"/>
        <v>0.05</v>
      </c>
      <c r="G958" s="85">
        <f t="shared" si="346"/>
        <v>0</v>
      </c>
      <c r="H958" s="85">
        <f t="shared" si="346"/>
        <v>0</v>
      </c>
      <c r="I958" s="85">
        <f t="shared" si="346"/>
        <v>0</v>
      </c>
      <c r="J958" s="85">
        <f t="shared" si="346"/>
        <v>0</v>
      </c>
      <c r="K958" s="148">
        <v>0</v>
      </c>
      <c r="L958" s="497">
        <f t="shared" si="341"/>
        <v>0.05</v>
      </c>
      <c r="M958" s="407"/>
      <c r="N958" s="88"/>
      <c r="O958" s="408"/>
      <c r="P958" s="685"/>
      <c r="Q958" s="91"/>
      <c r="R958" s="91"/>
      <c r="S958" s="91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  <c r="AF958" s="91"/>
      <c r="AG958" s="91"/>
      <c r="AH958" s="91"/>
      <c r="AI958" s="91"/>
      <c r="AJ958" s="91"/>
      <c r="AK958" s="91"/>
      <c r="AL958" s="91"/>
      <c r="AM958" s="91"/>
      <c r="AN958" s="91"/>
      <c r="AO958" s="91"/>
      <c r="AP958" s="91"/>
      <c r="AQ958" s="91"/>
      <c r="AR958" s="91"/>
      <c r="AS958" s="91"/>
      <c r="AT958" s="91"/>
      <c r="AU958" s="91"/>
      <c r="AV958" s="91"/>
      <c r="AW958" s="91"/>
      <c r="AX958" s="91"/>
      <c r="AY958" s="91"/>
      <c r="AZ958" s="91"/>
      <c r="BA958" s="91"/>
      <c r="BB958" s="91"/>
      <c r="BC958" s="91"/>
      <c r="BD958" s="91"/>
      <c r="BE958" s="91"/>
      <c r="BF958" s="92"/>
    </row>
    <row r="959" spans="1:58" s="82" customFormat="1" ht="14.25" customHeight="1">
      <c r="A959" s="941"/>
      <c r="B959" s="960"/>
      <c r="C959" s="1218"/>
      <c r="D959" s="84">
        <v>2024</v>
      </c>
      <c r="E959" s="85">
        <f t="shared" si="347"/>
        <v>0.05</v>
      </c>
      <c r="F959" s="85">
        <f t="shared" si="346"/>
        <v>0.05</v>
      </c>
      <c r="G959" s="85">
        <f t="shared" si="346"/>
        <v>0</v>
      </c>
      <c r="H959" s="85">
        <f t="shared" si="346"/>
        <v>0</v>
      </c>
      <c r="I959" s="85">
        <f t="shared" si="346"/>
        <v>0</v>
      </c>
      <c r="J959" s="85">
        <f t="shared" si="346"/>
        <v>0</v>
      </c>
      <c r="K959" s="148">
        <v>0</v>
      </c>
      <c r="L959" s="497">
        <f t="shared" ref="L959:L982" si="348">F959+G959+H959+I959+J959</f>
        <v>0.05</v>
      </c>
      <c r="M959" s="407"/>
      <c r="N959" s="88"/>
      <c r="O959" s="408"/>
      <c r="P959" s="685"/>
      <c r="Q959" s="91"/>
      <c r="R959" s="91"/>
      <c r="S959" s="91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  <c r="AF959" s="91"/>
      <c r="AG959" s="91"/>
      <c r="AH959" s="91"/>
      <c r="AI959" s="91"/>
      <c r="AJ959" s="91"/>
      <c r="AK959" s="91"/>
      <c r="AL959" s="91"/>
      <c r="AM959" s="91"/>
      <c r="AN959" s="91"/>
      <c r="AO959" s="91"/>
      <c r="AP959" s="91"/>
      <c r="AQ959" s="91"/>
      <c r="AR959" s="91"/>
      <c r="AS959" s="91"/>
      <c r="AT959" s="91"/>
      <c r="AU959" s="91"/>
      <c r="AV959" s="91"/>
      <c r="AW959" s="91"/>
      <c r="AX959" s="91"/>
      <c r="AY959" s="91"/>
      <c r="AZ959" s="91"/>
      <c r="BA959" s="91"/>
      <c r="BB959" s="91"/>
      <c r="BC959" s="91"/>
      <c r="BD959" s="91"/>
      <c r="BE959" s="91"/>
      <c r="BF959" s="92"/>
    </row>
    <row r="960" spans="1:58" s="82" customFormat="1" ht="14.25" customHeight="1">
      <c r="A960" s="941"/>
      <c r="B960" s="960"/>
      <c r="C960" s="1218"/>
      <c r="D960" s="84">
        <v>2025</v>
      </c>
      <c r="E960" s="85">
        <f t="shared" si="347"/>
        <v>0.05</v>
      </c>
      <c r="F960" s="85">
        <f t="shared" si="346"/>
        <v>0.05</v>
      </c>
      <c r="G960" s="85">
        <f t="shared" si="346"/>
        <v>0</v>
      </c>
      <c r="H960" s="85">
        <f t="shared" si="346"/>
        <v>0</v>
      </c>
      <c r="I960" s="85">
        <f t="shared" si="346"/>
        <v>0</v>
      </c>
      <c r="J960" s="85">
        <f t="shared" si="346"/>
        <v>0</v>
      </c>
      <c r="K960" s="148">
        <v>0</v>
      </c>
      <c r="L960" s="497">
        <f t="shared" si="348"/>
        <v>0.05</v>
      </c>
      <c r="M960" s="407"/>
      <c r="N960" s="88"/>
      <c r="O960" s="408"/>
      <c r="P960" s="685"/>
      <c r="Q960" s="91"/>
      <c r="R960" s="91"/>
      <c r="S960" s="91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  <c r="AF960" s="91"/>
      <c r="AG960" s="91"/>
      <c r="AH960" s="91"/>
      <c r="AI960" s="91"/>
      <c r="AJ960" s="91"/>
      <c r="AK960" s="91"/>
      <c r="AL960" s="91"/>
      <c r="AM960" s="91"/>
      <c r="AN960" s="91"/>
      <c r="AO960" s="91"/>
      <c r="AP960" s="91"/>
      <c r="AQ960" s="91"/>
      <c r="AR960" s="91"/>
      <c r="AS960" s="91"/>
      <c r="AT960" s="91"/>
      <c r="AU960" s="91"/>
      <c r="AV960" s="91"/>
      <c r="AW960" s="91"/>
      <c r="AX960" s="91"/>
      <c r="AY960" s="91"/>
      <c r="AZ960" s="91"/>
      <c r="BA960" s="91"/>
      <c r="BB960" s="91"/>
      <c r="BC960" s="91"/>
      <c r="BD960" s="91"/>
      <c r="BE960" s="91"/>
      <c r="BF960" s="92"/>
    </row>
    <row r="961" spans="1:58" s="82" customFormat="1" ht="14.25" customHeight="1">
      <c r="A961" s="941"/>
      <c r="B961" s="960"/>
      <c r="C961" s="1218"/>
      <c r="D961" s="84">
        <v>2026</v>
      </c>
      <c r="E961" s="85">
        <f t="shared" si="347"/>
        <v>5.1999999999999998E-2</v>
      </c>
      <c r="F961" s="85">
        <v>5.1999999999999998E-2</v>
      </c>
      <c r="G961" s="85">
        <f t="shared" ref="G961:J965" si="349">G974</f>
        <v>0</v>
      </c>
      <c r="H961" s="85">
        <f t="shared" si="349"/>
        <v>0</v>
      </c>
      <c r="I961" s="85">
        <f t="shared" si="349"/>
        <v>0</v>
      </c>
      <c r="J961" s="85">
        <f t="shared" si="349"/>
        <v>0</v>
      </c>
      <c r="K961" s="148">
        <v>0</v>
      </c>
      <c r="L961" s="497">
        <f t="shared" si="348"/>
        <v>5.1999999999999998E-2</v>
      </c>
      <c r="M961" s="407"/>
      <c r="N961" s="88"/>
      <c r="O961" s="408"/>
      <c r="P961" s="685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  <c r="AF961" s="91"/>
      <c r="AG961" s="91"/>
      <c r="AH961" s="91"/>
      <c r="AI961" s="91"/>
      <c r="AJ961" s="91"/>
      <c r="AK961" s="91"/>
      <c r="AL961" s="91"/>
      <c r="AM961" s="91"/>
      <c r="AN961" s="91"/>
      <c r="AO961" s="91"/>
      <c r="AP961" s="91"/>
      <c r="AQ961" s="91"/>
      <c r="AR961" s="91"/>
      <c r="AS961" s="91"/>
      <c r="AT961" s="91"/>
      <c r="AU961" s="91"/>
      <c r="AV961" s="91"/>
      <c r="AW961" s="91"/>
      <c r="AX961" s="91"/>
      <c r="AY961" s="91"/>
      <c r="AZ961" s="91"/>
      <c r="BA961" s="91"/>
      <c r="BB961" s="91"/>
      <c r="BC961" s="91"/>
      <c r="BD961" s="91"/>
      <c r="BE961" s="91"/>
      <c r="BF961" s="92"/>
    </row>
    <row r="962" spans="1:58" s="82" customFormat="1" ht="14.25" customHeight="1">
      <c r="A962" s="941"/>
      <c r="B962" s="960"/>
      <c r="C962" s="1218"/>
      <c r="D962" s="84">
        <v>2027</v>
      </c>
      <c r="E962" s="85">
        <f t="shared" si="347"/>
        <v>5.4100000000000002E-2</v>
      </c>
      <c r="F962" s="85">
        <v>5.4100000000000002E-2</v>
      </c>
      <c r="G962" s="85">
        <f t="shared" si="349"/>
        <v>0</v>
      </c>
      <c r="H962" s="85">
        <f t="shared" si="349"/>
        <v>0</v>
      </c>
      <c r="I962" s="85">
        <f t="shared" si="349"/>
        <v>0</v>
      </c>
      <c r="J962" s="85">
        <f t="shared" si="349"/>
        <v>0</v>
      </c>
      <c r="K962" s="148">
        <v>0</v>
      </c>
      <c r="L962" s="497">
        <f t="shared" si="348"/>
        <v>5.4100000000000002E-2</v>
      </c>
      <c r="M962" s="407"/>
      <c r="N962" s="88"/>
      <c r="O962" s="408"/>
      <c r="P962" s="685"/>
      <c r="Q962" s="91"/>
      <c r="R962" s="91"/>
      <c r="S962" s="91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  <c r="AF962" s="91"/>
      <c r="AG962" s="91"/>
      <c r="AH962" s="91"/>
      <c r="AI962" s="91"/>
      <c r="AJ962" s="91"/>
      <c r="AK962" s="91"/>
      <c r="AL962" s="91"/>
      <c r="AM962" s="91"/>
      <c r="AN962" s="91"/>
      <c r="AO962" s="91"/>
      <c r="AP962" s="91"/>
      <c r="AQ962" s="91"/>
      <c r="AR962" s="91"/>
      <c r="AS962" s="91"/>
      <c r="AT962" s="91"/>
      <c r="AU962" s="91"/>
      <c r="AV962" s="91"/>
      <c r="AW962" s="91"/>
      <c r="AX962" s="91"/>
      <c r="AY962" s="91"/>
      <c r="AZ962" s="91"/>
      <c r="BA962" s="91"/>
      <c r="BB962" s="91"/>
      <c r="BC962" s="91"/>
      <c r="BD962" s="91"/>
      <c r="BE962" s="91"/>
      <c r="BF962" s="92"/>
    </row>
    <row r="963" spans="1:58" s="82" customFormat="1" ht="14.25" customHeight="1">
      <c r="A963" s="941"/>
      <c r="B963" s="960"/>
      <c r="C963" s="1218"/>
      <c r="D963" s="84">
        <v>2028</v>
      </c>
      <c r="E963" s="85">
        <f t="shared" si="347"/>
        <v>5.6300000000000003E-2</v>
      </c>
      <c r="F963" s="85">
        <v>5.6300000000000003E-2</v>
      </c>
      <c r="G963" s="85">
        <f t="shared" si="349"/>
        <v>0</v>
      </c>
      <c r="H963" s="85">
        <f t="shared" si="349"/>
        <v>0</v>
      </c>
      <c r="I963" s="85">
        <f t="shared" si="349"/>
        <v>0</v>
      </c>
      <c r="J963" s="85">
        <f t="shared" si="349"/>
        <v>0</v>
      </c>
      <c r="K963" s="148">
        <v>0</v>
      </c>
      <c r="L963" s="497">
        <f t="shared" si="348"/>
        <v>5.6300000000000003E-2</v>
      </c>
      <c r="M963" s="407"/>
      <c r="N963" s="88"/>
      <c r="O963" s="408"/>
      <c r="P963" s="685"/>
      <c r="Q963" s="91"/>
      <c r="R963" s="91"/>
      <c r="S963" s="91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  <c r="AF963" s="91"/>
      <c r="AG963" s="91"/>
      <c r="AH963" s="91"/>
      <c r="AI963" s="91"/>
      <c r="AJ963" s="91"/>
      <c r="AK963" s="91"/>
      <c r="AL963" s="91"/>
      <c r="AM963" s="91"/>
      <c r="AN963" s="91"/>
      <c r="AO963" s="91"/>
      <c r="AP963" s="91"/>
      <c r="AQ963" s="91"/>
      <c r="AR963" s="91"/>
      <c r="AS963" s="91"/>
      <c r="AT963" s="91"/>
      <c r="AU963" s="91"/>
      <c r="AV963" s="91"/>
      <c r="AW963" s="91"/>
      <c r="AX963" s="91"/>
      <c r="AY963" s="91"/>
      <c r="AZ963" s="91"/>
      <c r="BA963" s="91"/>
      <c r="BB963" s="91"/>
      <c r="BC963" s="91"/>
      <c r="BD963" s="91"/>
      <c r="BE963" s="91"/>
      <c r="BF963" s="92"/>
    </row>
    <row r="964" spans="1:58" s="82" customFormat="1" ht="14.25" customHeight="1">
      <c r="A964" s="941"/>
      <c r="B964" s="960"/>
      <c r="C964" s="1218"/>
      <c r="D964" s="84">
        <v>2029</v>
      </c>
      <c r="E964" s="85">
        <f t="shared" si="347"/>
        <v>5.8599999999999999E-2</v>
      </c>
      <c r="F964" s="85">
        <v>5.8599999999999999E-2</v>
      </c>
      <c r="G964" s="85">
        <f t="shared" si="349"/>
        <v>0</v>
      </c>
      <c r="H964" s="85">
        <f t="shared" si="349"/>
        <v>0</v>
      </c>
      <c r="I964" s="85">
        <f t="shared" si="349"/>
        <v>0</v>
      </c>
      <c r="J964" s="85">
        <f t="shared" si="349"/>
        <v>0</v>
      </c>
      <c r="K964" s="148">
        <v>0</v>
      </c>
      <c r="L964" s="497">
        <f t="shared" si="348"/>
        <v>5.8599999999999999E-2</v>
      </c>
      <c r="M964" s="407"/>
      <c r="N964" s="88"/>
      <c r="O964" s="408"/>
      <c r="P964" s="685"/>
      <c r="Q964" s="91"/>
      <c r="R964" s="91"/>
      <c r="S964" s="91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  <c r="AF964" s="91"/>
      <c r="AG964" s="91"/>
      <c r="AH964" s="91"/>
      <c r="AI964" s="91"/>
      <c r="AJ964" s="91"/>
      <c r="AK964" s="91"/>
      <c r="AL964" s="91"/>
      <c r="AM964" s="91"/>
      <c r="AN964" s="91"/>
      <c r="AO964" s="91"/>
      <c r="AP964" s="91"/>
      <c r="AQ964" s="91"/>
      <c r="AR964" s="91"/>
      <c r="AS964" s="91"/>
      <c r="AT964" s="91"/>
      <c r="AU964" s="91"/>
      <c r="AV964" s="91"/>
      <c r="AW964" s="91"/>
      <c r="AX964" s="91"/>
      <c r="AY964" s="91"/>
      <c r="AZ964" s="91"/>
      <c r="BA964" s="91"/>
      <c r="BB964" s="91"/>
      <c r="BC964" s="91"/>
      <c r="BD964" s="91"/>
      <c r="BE964" s="91"/>
      <c r="BF964" s="92"/>
    </row>
    <row r="965" spans="1:58" s="82" customFormat="1" ht="14.25" customHeight="1">
      <c r="A965" s="942"/>
      <c r="B965" s="961"/>
      <c r="C965" s="1219"/>
      <c r="D965" s="84">
        <v>2030</v>
      </c>
      <c r="E965" s="85">
        <f t="shared" si="347"/>
        <v>6.0900000000000003E-2</v>
      </c>
      <c r="F965" s="85">
        <v>6.0900000000000003E-2</v>
      </c>
      <c r="G965" s="85">
        <f t="shared" si="349"/>
        <v>0</v>
      </c>
      <c r="H965" s="85">
        <f t="shared" si="349"/>
        <v>0</v>
      </c>
      <c r="I965" s="85">
        <f t="shared" si="349"/>
        <v>0</v>
      </c>
      <c r="J965" s="85">
        <f t="shared" si="349"/>
        <v>0</v>
      </c>
      <c r="K965" s="148">
        <v>0</v>
      </c>
      <c r="L965" s="497">
        <f t="shared" si="348"/>
        <v>6.0900000000000003E-2</v>
      </c>
      <c r="M965" s="407"/>
      <c r="N965" s="88"/>
      <c r="O965" s="408"/>
      <c r="P965" s="685"/>
      <c r="Q965" s="91"/>
      <c r="R965" s="91"/>
      <c r="S965" s="91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  <c r="AF965" s="91"/>
      <c r="AG965" s="91"/>
      <c r="AH965" s="91"/>
      <c r="AI965" s="91"/>
      <c r="AJ965" s="91"/>
      <c r="AK965" s="91"/>
      <c r="AL965" s="91"/>
      <c r="AM965" s="91"/>
      <c r="AN965" s="91"/>
      <c r="AO965" s="91"/>
      <c r="AP965" s="91"/>
      <c r="AQ965" s="91"/>
      <c r="AR965" s="91"/>
      <c r="AS965" s="91"/>
      <c r="AT965" s="91"/>
      <c r="AU965" s="91"/>
      <c r="AV965" s="91"/>
      <c r="AW965" s="91"/>
      <c r="AX965" s="91"/>
      <c r="AY965" s="91"/>
      <c r="AZ965" s="91"/>
      <c r="BA965" s="91"/>
      <c r="BB965" s="91"/>
      <c r="BC965" s="91"/>
      <c r="BD965" s="91"/>
      <c r="BE965" s="91"/>
      <c r="BF965" s="92"/>
    </row>
    <row r="966" spans="1:58" s="82" customFormat="1" ht="14.25" customHeight="1">
      <c r="A966" s="1069" t="s">
        <v>1336</v>
      </c>
      <c r="B966" s="1080" t="s">
        <v>963</v>
      </c>
      <c r="C966" s="583"/>
      <c r="D966" s="84" t="s">
        <v>16</v>
      </c>
      <c r="E966" s="85">
        <f t="shared" ref="E966:J966" si="350">E967+E968+E969+E970+E971+E972+E973+E974+E975+E976+E977+E978</f>
        <v>0.6268999999999999</v>
      </c>
      <c r="F966" s="85">
        <f t="shared" si="350"/>
        <v>0.6268999999999999</v>
      </c>
      <c r="G966" s="85">
        <f t="shared" si="350"/>
        <v>0</v>
      </c>
      <c r="H966" s="85">
        <f t="shared" si="350"/>
        <v>0</v>
      </c>
      <c r="I966" s="85">
        <f t="shared" si="350"/>
        <v>0</v>
      </c>
      <c r="J966" s="85">
        <f t="shared" si="350"/>
        <v>0</v>
      </c>
      <c r="K966" s="148">
        <v>0</v>
      </c>
      <c r="L966" s="497">
        <f t="shared" si="348"/>
        <v>0.6268999999999999</v>
      </c>
      <c r="M966" s="407"/>
      <c r="N966" s="88"/>
      <c r="O966" s="408"/>
      <c r="P966" s="1286" t="s">
        <v>527</v>
      </c>
      <c r="Q966" s="91"/>
      <c r="R966" s="91"/>
      <c r="S966" s="91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  <c r="AF966" s="91"/>
      <c r="AG966" s="91"/>
      <c r="AH966" s="91"/>
      <c r="AI966" s="91"/>
      <c r="AJ966" s="91"/>
      <c r="AK966" s="91"/>
      <c r="AL966" s="91"/>
      <c r="AM966" s="91"/>
      <c r="AN966" s="91"/>
      <c r="AO966" s="91"/>
      <c r="AP966" s="91"/>
      <c r="AQ966" s="91"/>
      <c r="AR966" s="91"/>
      <c r="AS966" s="91"/>
      <c r="AT966" s="91"/>
      <c r="AU966" s="91"/>
      <c r="AV966" s="91"/>
      <c r="AW966" s="91"/>
      <c r="AX966" s="91"/>
      <c r="AY966" s="91"/>
      <c r="AZ966" s="91"/>
      <c r="BA966" s="91"/>
      <c r="BB966" s="91"/>
      <c r="BC966" s="91"/>
      <c r="BD966" s="91"/>
      <c r="BE966" s="91"/>
      <c r="BF966" s="92"/>
    </row>
    <row r="967" spans="1:58" s="82" customFormat="1" ht="14.25" customHeight="1">
      <c r="A967" s="941"/>
      <c r="B967" s="1261"/>
      <c r="C967" s="634" t="s">
        <v>955</v>
      </c>
      <c r="D967" s="84">
        <v>2019</v>
      </c>
      <c r="E967" s="85">
        <f t="shared" ref="E967:E978" si="351">F967+G967+H967+I967+J967</f>
        <v>4.4999999999999998E-2</v>
      </c>
      <c r="F967" s="85">
        <v>4.4999999999999998E-2</v>
      </c>
      <c r="G967" s="85">
        <v>0</v>
      </c>
      <c r="H967" s="85">
        <v>0</v>
      </c>
      <c r="I967" s="85">
        <v>0</v>
      </c>
      <c r="J967" s="85">
        <v>0</v>
      </c>
      <c r="K967" s="148">
        <v>0</v>
      </c>
      <c r="L967" s="497">
        <f t="shared" si="348"/>
        <v>4.4999999999999998E-2</v>
      </c>
      <c r="M967" s="407"/>
      <c r="N967" s="88"/>
      <c r="O967" s="408"/>
      <c r="P967" s="1300"/>
      <c r="Q967" s="91"/>
      <c r="R967" s="91"/>
      <c r="S967" s="91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  <c r="AF967" s="91"/>
      <c r="AG967" s="91"/>
      <c r="AH967" s="91"/>
      <c r="AI967" s="91"/>
      <c r="AJ967" s="91"/>
      <c r="AK967" s="91"/>
      <c r="AL967" s="91"/>
      <c r="AM967" s="91"/>
      <c r="AN967" s="91"/>
      <c r="AO967" s="91"/>
      <c r="AP967" s="91"/>
      <c r="AQ967" s="91"/>
      <c r="AR967" s="91"/>
      <c r="AS967" s="91"/>
      <c r="AT967" s="91"/>
      <c r="AU967" s="91"/>
      <c r="AV967" s="91"/>
      <c r="AW967" s="91"/>
      <c r="AX967" s="91"/>
      <c r="AY967" s="91"/>
      <c r="AZ967" s="91"/>
      <c r="BA967" s="91"/>
      <c r="BB967" s="91"/>
      <c r="BC967" s="91"/>
      <c r="BD967" s="91"/>
      <c r="BE967" s="91"/>
      <c r="BF967" s="92"/>
    </row>
    <row r="968" spans="1:58" s="82" customFormat="1" ht="13.5" customHeight="1">
      <c r="A968" s="941"/>
      <c r="B968" s="1261"/>
      <c r="C968" s="1224" t="s">
        <v>1435</v>
      </c>
      <c r="D968" s="84">
        <v>2020</v>
      </c>
      <c r="E968" s="85">
        <f t="shared" si="351"/>
        <v>0.05</v>
      </c>
      <c r="F968" s="85">
        <v>0.05</v>
      </c>
      <c r="G968" s="85">
        <v>0</v>
      </c>
      <c r="H968" s="85">
        <v>0</v>
      </c>
      <c r="I968" s="85">
        <v>0</v>
      </c>
      <c r="J968" s="85">
        <v>0</v>
      </c>
      <c r="K968" s="148">
        <v>0</v>
      </c>
      <c r="L968" s="497">
        <f t="shared" si="348"/>
        <v>0.05</v>
      </c>
      <c r="M968" s="407"/>
      <c r="N968" s="88"/>
      <c r="O968" s="408"/>
      <c r="P968" s="1300"/>
      <c r="Q968" s="91"/>
      <c r="R968" s="91"/>
      <c r="S968" s="91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  <c r="AF968" s="91"/>
      <c r="AG968" s="91"/>
      <c r="AH968" s="91"/>
      <c r="AI968" s="91"/>
      <c r="AJ968" s="91"/>
      <c r="AK968" s="91"/>
      <c r="AL968" s="91"/>
      <c r="AM968" s="91"/>
      <c r="AN968" s="91"/>
      <c r="AO968" s="91"/>
      <c r="AP968" s="91"/>
      <c r="AQ968" s="91"/>
      <c r="AR968" s="91"/>
      <c r="AS968" s="91"/>
      <c r="AT968" s="91"/>
      <c r="AU968" s="91"/>
      <c r="AV968" s="91"/>
      <c r="AW968" s="91"/>
      <c r="AX968" s="91"/>
      <c r="AY968" s="91"/>
      <c r="AZ968" s="91"/>
      <c r="BA968" s="91"/>
      <c r="BB968" s="91"/>
      <c r="BC968" s="91"/>
      <c r="BD968" s="91"/>
      <c r="BE968" s="91"/>
      <c r="BF968" s="92"/>
    </row>
    <row r="969" spans="1:58" s="82" customFormat="1" ht="14.25" customHeight="1">
      <c r="A969" s="941"/>
      <c r="B969" s="1261"/>
      <c r="C969" s="1225"/>
      <c r="D969" s="84">
        <v>2021</v>
      </c>
      <c r="E969" s="85">
        <f t="shared" si="351"/>
        <v>0.05</v>
      </c>
      <c r="F969" s="85">
        <v>0.05</v>
      </c>
      <c r="G969" s="85">
        <v>0</v>
      </c>
      <c r="H969" s="85">
        <v>0</v>
      </c>
      <c r="I969" s="85">
        <v>0</v>
      </c>
      <c r="J969" s="85">
        <v>0</v>
      </c>
      <c r="K969" s="148">
        <v>0</v>
      </c>
      <c r="L969" s="497">
        <f t="shared" si="348"/>
        <v>0.05</v>
      </c>
      <c r="M969" s="407"/>
      <c r="N969" s="88"/>
      <c r="O969" s="408"/>
      <c r="P969" s="1300"/>
      <c r="Q969" s="91"/>
      <c r="R969" s="91"/>
      <c r="S969" s="91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  <c r="AF969" s="91"/>
      <c r="AG969" s="91"/>
      <c r="AH969" s="91"/>
      <c r="AI969" s="91"/>
      <c r="AJ969" s="91"/>
      <c r="AK969" s="91"/>
      <c r="AL969" s="91"/>
      <c r="AM969" s="91"/>
      <c r="AN969" s="91"/>
      <c r="AO969" s="91"/>
      <c r="AP969" s="91"/>
      <c r="AQ969" s="91"/>
      <c r="AR969" s="91"/>
      <c r="AS969" s="91"/>
      <c r="AT969" s="91"/>
      <c r="AU969" s="91"/>
      <c r="AV969" s="91"/>
      <c r="AW969" s="91"/>
      <c r="AX969" s="91"/>
      <c r="AY969" s="91"/>
      <c r="AZ969" s="91"/>
      <c r="BA969" s="91"/>
      <c r="BB969" s="91"/>
      <c r="BC969" s="91"/>
      <c r="BD969" s="91"/>
      <c r="BE969" s="91"/>
      <c r="BF969" s="92"/>
    </row>
    <row r="970" spans="1:58" s="82" customFormat="1" ht="14.25" customHeight="1">
      <c r="A970" s="941"/>
      <c r="B970" s="1261"/>
      <c r="C970" s="1225"/>
      <c r="D970" s="84">
        <v>2022</v>
      </c>
      <c r="E970" s="85">
        <f t="shared" si="351"/>
        <v>0.05</v>
      </c>
      <c r="F970" s="85">
        <v>0.05</v>
      </c>
      <c r="G970" s="85">
        <v>0</v>
      </c>
      <c r="H970" s="85">
        <v>0</v>
      </c>
      <c r="I970" s="85">
        <v>0</v>
      </c>
      <c r="J970" s="85">
        <v>0</v>
      </c>
      <c r="K970" s="148">
        <v>0</v>
      </c>
      <c r="L970" s="497">
        <f t="shared" si="348"/>
        <v>0.05</v>
      </c>
      <c r="M970" s="407"/>
      <c r="N970" s="88"/>
      <c r="O970" s="408"/>
      <c r="P970" s="1300"/>
      <c r="Q970" s="91"/>
      <c r="R970" s="91"/>
      <c r="S970" s="91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  <c r="AF970" s="91"/>
      <c r="AG970" s="91"/>
      <c r="AH970" s="91"/>
      <c r="AI970" s="91"/>
      <c r="AJ970" s="91"/>
      <c r="AK970" s="91"/>
      <c r="AL970" s="91"/>
      <c r="AM970" s="91"/>
      <c r="AN970" s="91"/>
      <c r="AO970" s="91"/>
      <c r="AP970" s="91"/>
      <c r="AQ970" s="91"/>
      <c r="AR970" s="91"/>
      <c r="AS970" s="91"/>
      <c r="AT970" s="91"/>
      <c r="AU970" s="91"/>
      <c r="AV970" s="91"/>
      <c r="AW970" s="91"/>
      <c r="AX970" s="91"/>
      <c r="AY970" s="91"/>
      <c r="AZ970" s="91"/>
      <c r="BA970" s="91"/>
      <c r="BB970" s="91"/>
      <c r="BC970" s="91"/>
      <c r="BD970" s="91"/>
      <c r="BE970" s="91"/>
      <c r="BF970" s="92"/>
    </row>
    <row r="971" spans="1:58" s="82" customFormat="1" ht="14.25" customHeight="1">
      <c r="A971" s="941"/>
      <c r="B971" s="1261"/>
      <c r="C971" s="1225"/>
      <c r="D971" s="84">
        <v>2023</v>
      </c>
      <c r="E971" s="85">
        <f t="shared" si="351"/>
        <v>0.05</v>
      </c>
      <c r="F971" s="85">
        <v>0.05</v>
      </c>
      <c r="G971" s="85">
        <v>0</v>
      </c>
      <c r="H971" s="85">
        <v>0</v>
      </c>
      <c r="I971" s="85">
        <v>0</v>
      </c>
      <c r="J971" s="85">
        <v>0</v>
      </c>
      <c r="K971" s="148">
        <v>0</v>
      </c>
      <c r="L971" s="497">
        <f t="shared" si="348"/>
        <v>0.05</v>
      </c>
      <c r="M971" s="407"/>
      <c r="N971" s="88"/>
      <c r="O971" s="408"/>
      <c r="P971" s="1300"/>
      <c r="Q971" s="91"/>
      <c r="R971" s="91"/>
      <c r="S971" s="91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  <c r="AF971" s="91"/>
      <c r="AG971" s="91"/>
      <c r="AH971" s="91"/>
      <c r="AI971" s="91"/>
      <c r="AJ971" s="91"/>
      <c r="AK971" s="91"/>
      <c r="AL971" s="91"/>
      <c r="AM971" s="91"/>
      <c r="AN971" s="91"/>
      <c r="AO971" s="91"/>
      <c r="AP971" s="91"/>
      <c r="AQ971" s="91"/>
      <c r="AR971" s="91"/>
      <c r="AS971" s="91"/>
      <c r="AT971" s="91"/>
      <c r="AU971" s="91"/>
      <c r="AV971" s="91"/>
      <c r="AW971" s="91"/>
      <c r="AX971" s="91"/>
      <c r="AY971" s="91"/>
      <c r="AZ971" s="91"/>
      <c r="BA971" s="91"/>
      <c r="BB971" s="91"/>
      <c r="BC971" s="91"/>
      <c r="BD971" s="91"/>
      <c r="BE971" s="91"/>
      <c r="BF971" s="92"/>
    </row>
    <row r="972" spans="1:58" s="82" customFormat="1" ht="14.25" customHeight="1">
      <c r="A972" s="941"/>
      <c r="B972" s="1261"/>
      <c r="C972" s="1225"/>
      <c r="D972" s="84">
        <v>2024</v>
      </c>
      <c r="E972" s="85">
        <f t="shared" si="351"/>
        <v>0.05</v>
      </c>
      <c r="F972" s="85">
        <v>0.05</v>
      </c>
      <c r="G972" s="85">
        <v>0</v>
      </c>
      <c r="H972" s="85">
        <v>0</v>
      </c>
      <c r="I972" s="85">
        <v>0</v>
      </c>
      <c r="J972" s="85">
        <v>0</v>
      </c>
      <c r="K972" s="148">
        <v>0</v>
      </c>
      <c r="L972" s="497">
        <f t="shared" si="348"/>
        <v>0.05</v>
      </c>
      <c r="M972" s="407"/>
      <c r="N972" s="88"/>
      <c r="O972" s="408"/>
      <c r="P972" s="1300"/>
      <c r="Q972" s="91"/>
      <c r="R972" s="91"/>
      <c r="S972" s="91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  <c r="AF972" s="91"/>
      <c r="AG972" s="91"/>
      <c r="AH972" s="91"/>
      <c r="AI972" s="91"/>
      <c r="AJ972" s="91"/>
      <c r="AK972" s="91"/>
      <c r="AL972" s="91"/>
      <c r="AM972" s="91"/>
      <c r="AN972" s="91"/>
      <c r="AO972" s="91"/>
      <c r="AP972" s="91"/>
      <c r="AQ972" s="91"/>
      <c r="AR972" s="91"/>
      <c r="AS972" s="91"/>
      <c r="AT972" s="91"/>
      <c r="AU972" s="91"/>
      <c r="AV972" s="91"/>
      <c r="AW972" s="91"/>
      <c r="AX972" s="91"/>
      <c r="AY972" s="91"/>
      <c r="AZ972" s="91"/>
      <c r="BA972" s="91"/>
      <c r="BB972" s="91"/>
      <c r="BC972" s="91"/>
      <c r="BD972" s="91"/>
      <c r="BE972" s="91"/>
      <c r="BF972" s="92"/>
    </row>
    <row r="973" spans="1:58" s="82" customFormat="1" ht="14.25" customHeight="1">
      <c r="A973" s="941"/>
      <c r="B973" s="1261"/>
      <c r="C973" s="1226"/>
      <c r="D973" s="84">
        <v>2025</v>
      </c>
      <c r="E973" s="85">
        <f t="shared" si="351"/>
        <v>0.05</v>
      </c>
      <c r="F973" s="85">
        <v>0.05</v>
      </c>
      <c r="G973" s="85">
        <v>0</v>
      </c>
      <c r="H973" s="85">
        <v>0</v>
      </c>
      <c r="I973" s="85">
        <v>0</v>
      </c>
      <c r="J973" s="85">
        <v>0</v>
      </c>
      <c r="K973" s="148">
        <v>0</v>
      </c>
      <c r="L973" s="497">
        <f t="shared" si="348"/>
        <v>0.05</v>
      </c>
      <c r="M973" s="407"/>
      <c r="N973" s="88"/>
      <c r="O973" s="408"/>
      <c r="P973" s="1300"/>
      <c r="Q973" s="91"/>
      <c r="R973" s="91"/>
      <c r="S973" s="91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  <c r="AF973" s="91"/>
      <c r="AG973" s="91"/>
      <c r="AH973" s="91"/>
      <c r="AI973" s="91"/>
      <c r="AJ973" s="91"/>
      <c r="AK973" s="91"/>
      <c r="AL973" s="91"/>
      <c r="AM973" s="91"/>
      <c r="AN973" s="91"/>
      <c r="AO973" s="91"/>
      <c r="AP973" s="91"/>
      <c r="AQ973" s="91"/>
      <c r="AR973" s="91"/>
      <c r="AS973" s="91"/>
      <c r="AT973" s="91"/>
      <c r="AU973" s="91"/>
      <c r="AV973" s="91"/>
      <c r="AW973" s="91"/>
      <c r="AX973" s="91"/>
      <c r="AY973" s="91"/>
      <c r="AZ973" s="91"/>
      <c r="BA973" s="91"/>
      <c r="BB973" s="91"/>
      <c r="BC973" s="91"/>
      <c r="BD973" s="91"/>
      <c r="BE973" s="91"/>
      <c r="BF973" s="92"/>
    </row>
    <row r="974" spans="1:58" s="82" customFormat="1" ht="14.25" customHeight="1">
      <c r="A974" s="941"/>
      <c r="B974" s="1261"/>
      <c r="C974" s="1224" t="s">
        <v>957</v>
      </c>
      <c r="D974" s="84">
        <v>2026</v>
      </c>
      <c r="E974" s="85">
        <f t="shared" si="351"/>
        <v>5.1999999999999998E-2</v>
      </c>
      <c r="F974" s="85">
        <v>5.1999999999999998E-2</v>
      </c>
      <c r="G974" s="85">
        <v>0</v>
      </c>
      <c r="H974" s="85">
        <v>0</v>
      </c>
      <c r="I974" s="85">
        <v>0</v>
      </c>
      <c r="J974" s="85">
        <v>0</v>
      </c>
      <c r="K974" s="148">
        <v>0</v>
      </c>
      <c r="L974" s="497">
        <f t="shared" si="348"/>
        <v>5.1999999999999998E-2</v>
      </c>
      <c r="M974" s="407"/>
      <c r="N974" s="88"/>
      <c r="O974" s="408"/>
      <c r="P974" s="1300"/>
      <c r="Q974" s="91"/>
      <c r="R974" s="91"/>
      <c r="S974" s="91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  <c r="AF974" s="91"/>
      <c r="AG974" s="91"/>
      <c r="AH974" s="91"/>
      <c r="AI974" s="91"/>
      <c r="AJ974" s="91"/>
      <c r="AK974" s="91"/>
      <c r="AL974" s="91"/>
      <c r="AM974" s="91"/>
      <c r="AN974" s="91"/>
      <c r="AO974" s="91"/>
      <c r="AP974" s="91"/>
      <c r="AQ974" s="91"/>
      <c r="AR974" s="91"/>
      <c r="AS974" s="91"/>
      <c r="AT974" s="91"/>
      <c r="AU974" s="91"/>
      <c r="AV974" s="91"/>
      <c r="AW974" s="91"/>
      <c r="AX974" s="91"/>
      <c r="AY974" s="91"/>
      <c r="AZ974" s="91"/>
      <c r="BA974" s="91"/>
      <c r="BB974" s="91"/>
      <c r="BC974" s="91"/>
      <c r="BD974" s="91"/>
      <c r="BE974" s="91"/>
      <c r="BF974" s="92"/>
    </row>
    <row r="975" spans="1:58" s="82" customFormat="1" ht="14.25" customHeight="1">
      <c r="A975" s="941"/>
      <c r="B975" s="1261"/>
      <c r="C975" s="1218"/>
      <c r="D975" s="84">
        <v>2027</v>
      </c>
      <c r="E975" s="85">
        <f t="shared" si="351"/>
        <v>5.4100000000000002E-2</v>
      </c>
      <c r="F975" s="85">
        <v>5.4100000000000002E-2</v>
      </c>
      <c r="G975" s="85">
        <v>0</v>
      </c>
      <c r="H975" s="85">
        <v>0</v>
      </c>
      <c r="I975" s="85">
        <v>0</v>
      </c>
      <c r="J975" s="85">
        <v>0</v>
      </c>
      <c r="K975" s="148">
        <v>0</v>
      </c>
      <c r="L975" s="497">
        <f t="shared" si="348"/>
        <v>5.4100000000000002E-2</v>
      </c>
      <c r="M975" s="407"/>
      <c r="N975" s="88"/>
      <c r="O975" s="408"/>
      <c r="P975" s="1300"/>
      <c r="Q975" s="91"/>
      <c r="R975" s="91"/>
      <c r="S975" s="91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  <c r="AF975" s="91"/>
      <c r="AG975" s="91"/>
      <c r="AH975" s="91"/>
      <c r="AI975" s="91"/>
      <c r="AJ975" s="91"/>
      <c r="AK975" s="91"/>
      <c r="AL975" s="91"/>
      <c r="AM975" s="91"/>
      <c r="AN975" s="91"/>
      <c r="AO975" s="91"/>
      <c r="AP975" s="91"/>
      <c r="AQ975" s="91"/>
      <c r="AR975" s="91"/>
      <c r="AS975" s="91"/>
      <c r="AT975" s="91"/>
      <c r="AU975" s="91"/>
      <c r="AV975" s="91"/>
      <c r="AW975" s="91"/>
      <c r="AX975" s="91"/>
      <c r="AY975" s="91"/>
      <c r="AZ975" s="91"/>
      <c r="BA975" s="91"/>
      <c r="BB975" s="91"/>
      <c r="BC975" s="91"/>
      <c r="BD975" s="91"/>
      <c r="BE975" s="91"/>
      <c r="BF975" s="92"/>
    </row>
    <row r="976" spans="1:58" s="82" customFormat="1" ht="14.25" customHeight="1">
      <c r="A976" s="941"/>
      <c r="B976" s="1261"/>
      <c r="C976" s="1218"/>
      <c r="D976" s="84">
        <v>2028</v>
      </c>
      <c r="E976" s="85">
        <f t="shared" si="351"/>
        <v>5.6300000000000003E-2</v>
      </c>
      <c r="F976" s="85">
        <v>5.6300000000000003E-2</v>
      </c>
      <c r="G976" s="85">
        <v>0</v>
      </c>
      <c r="H976" s="85">
        <v>0</v>
      </c>
      <c r="I976" s="85">
        <v>0</v>
      </c>
      <c r="J976" s="85">
        <v>0</v>
      </c>
      <c r="K976" s="148">
        <v>0</v>
      </c>
      <c r="L976" s="497">
        <f t="shared" si="348"/>
        <v>5.6300000000000003E-2</v>
      </c>
      <c r="M976" s="407"/>
      <c r="N976" s="88"/>
      <c r="O976" s="408"/>
      <c r="P976" s="1300"/>
      <c r="Q976" s="91"/>
      <c r="R976" s="91"/>
      <c r="S976" s="91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  <c r="AF976" s="91"/>
      <c r="AG976" s="91"/>
      <c r="AH976" s="91"/>
      <c r="AI976" s="91"/>
      <c r="AJ976" s="91"/>
      <c r="AK976" s="91"/>
      <c r="AL976" s="91"/>
      <c r="AM976" s="91"/>
      <c r="AN976" s="91"/>
      <c r="AO976" s="91"/>
      <c r="AP976" s="91"/>
      <c r="AQ976" s="91"/>
      <c r="AR976" s="91"/>
      <c r="AS976" s="91"/>
      <c r="AT976" s="91"/>
      <c r="AU976" s="91"/>
      <c r="AV976" s="91"/>
      <c r="AW976" s="91"/>
      <c r="AX976" s="91"/>
      <c r="AY976" s="91"/>
      <c r="AZ976" s="91"/>
      <c r="BA976" s="91"/>
      <c r="BB976" s="91"/>
      <c r="BC976" s="91"/>
      <c r="BD976" s="91"/>
      <c r="BE976" s="91"/>
      <c r="BF976" s="92"/>
    </row>
    <row r="977" spans="1:58" s="82" customFormat="1" ht="14.25" customHeight="1">
      <c r="A977" s="941"/>
      <c r="B977" s="1261"/>
      <c r="C977" s="1218"/>
      <c r="D977" s="84">
        <v>2029</v>
      </c>
      <c r="E977" s="85">
        <f t="shared" si="351"/>
        <v>5.8599999999999999E-2</v>
      </c>
      <c r="F977" s="85">
        <v>5.8599999999999999E-2</v>
      </c>
      <c r="G977" s="85">
        <v>0</v>
      </c>
      <c r="H977" s="85">
        <v>0</v>
      </c>
      <c r="I977" s="85">
        <v>0</v>
      </c>
      <c r="J977" s="85">
        <v>0</v>
      </c>
      <c r="K977" s="148">
        <v>0</v>
      </c>
      <c r="L977" s="497">
        <f t="shared" si="348"/>
        <v>5.8599999999999999E-2</v>
      </c>
      <c r="M977" s="407"/>
      <c r="N977" s="88"/>
      <c r="O977" s="408"/>
      <c r="P977" s="1300"/>
      <c r="Q977" s="91"/>
      <c r="R977" s="91"/>
      <c r="S977" s="91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  <c r="AF977" s="91"/>
      <c r="AG977" s="91"/>
      <c r="AH977" s="91"/>
      <c r="AI977" s="91"/>
      <c r="AJ977" s="91"/>
      <c r="AK977" s="91"/>
      <c r="AL977" s="91"/>
      <c r="AM977" s="91"/>
      <c r="AN977" s="91"/>
      <c r="AO977" s="91"/>
      <c r="AP977" s="91"/>
      <c r="AQ977" s="91"/>
      <c r="AR977" s="91"/>
      <c r="AS977" s="91"/>
      <c r="AT977" s="91"/>
      <c r="AU977" s="91"/>
      <c r="AV977" s="91"/>
      <c r="AW977" s="91"/>
      <c r="AX977" s="91"/>
      <c r="AY977" s="91"/>
      <c r="AZ977" s="91"/>
      <c r="BA977" s="91"/>
      <c r="BB977" s="91"/>
      <c r="BC977" s="91"/>
      <c r="BD977" s="91"/>
      <c r="BE977" s="91"/>
      <c r="BF977" s="92"/>
    </row>
    <row r="978" spans="1:58" s="82" customFormat="1" ht="14.25" customHeight="1">
      <c r="A978" s="942"/>
      <c r="B978" s="1288"/>
      <c r="C978" s="1219"/>
      <c r="D978" s="84">
        <v>2030</v>
      </c>
      <c r="E978" s="85">
        <f t="shared" si="351"/>
        <v>6.0900000000000003E-2</v>
      </c>
      <c r="F978" s="85">
        <v>6.0900000000000003E-2</v>
      </c>
      <c r="G978" s="85">
        <v>0</v>
      </c>
      <c r="H978" s="85">
        <v>0</v>
      </c>
      <c r="I978" s="85">
        <v>0</v>
      </c>
      <c r="J978" s="85">
        <v>0</v>
      </c>
      <c r="K978" s="148">
        <v>0</v>
      </c>
      <c r="L978" s="497">
        <f t="shared" si="348"/>
        <v>6.0900000000000003E-2</v>
      </c>
      <c r="M978" s="407"/>
      <c r="N978" s="88"/>
      <c r="O978" s="408"/>
      <c r="P978" s="1299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  <c r="AF978" s="91"/>
      <c r="AG978" s="91"/>
      <c r="AH978" s="91"/>
      <c r="AI978" s="91"/>
      <c r="AJ978" s="91"/>
      <c r="AK978" s="91"/>
      <c r="AL978" s="91"/>
      <c r="AM978" s="91"/>
      <c r="AN978" s="91"/>
      <c r="AO978" s="91"/>
      <c r="AP978" s="9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91"/>
      <c r="BE978" s="91"/>
      <c r="BF978" s="92"/>
    </row>
    <row r="979" spans="1:58" s="82" customFormat="1" ht="14.25" customHeight="1">
      <c r="A979" s="1069" t="s">
        <v>1337</v>
      </c>
      <c r="B979" s="929" t="s">
        <v>201</v>
      </c>
      <c r="C979" s="1224"/>
      <c r="D979" s="84" t="s">
        <v>16</v>
      </c>
      <c r="E979" s="85">
        <f t="shared" ref="E979:E991" si="352">E992</f>
        <v>0.11747</v>
      </c>
      <c r="F979" s="85">
        <f>F980+F981+F982+F983+F984+F985+F986+F987+F988+F989+F990+F991</f>
        <v>0.11747</v>
      </c>
      <c r="G979" s="85">
        <f t="shared" ref="G979:J991" si="353">G992</f>
        <v>0</v>
      </c>
      <c r="H979" s="85">
        <f t="shared" si="353"/>
        <v>0</v>
      </c>
      <c r="I979" s="85">
        <f t="shared" si="353"/>
        <v>0</v>
      </c>
      <c r="J979" s="85">
        <f t="shared" si="353"/>
        <v>0</v>
      </c>
      <c r="K979" s="148">
        <v>0</v>
      </c>
      <c r="L979" s="497">
        <f t="shared" si="348"/>
        <v>0.11747</v>
      </c>
      <c r="M979" s="407"/>
      <c r="N979" s="88"/>
      <c r="O979" s="408"/>
      <c r="P979" s="685"/>
      <c r="Q979" s="91"/>
      <c r="R979" s="91"/>
      <c r="S979" s="91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  <c r="AF979" s="91"/>
      <c r="AG979" s="91"/>
      <c r="AH979" s="91"/>
      <c r="AI979" s="91"/>
      <c r="AJ979" s="91"/>
      <c r="AK979" s="91"/>
      <c r="AL979" s="91"/>
      <c r="AM979" s="91"/>
      <c r="AN979" s="91"/>
      <c r="AO979" s="91"/>
      <c r="AP979" s="91"/>
      <c r="AQ979" s="91"/>
      <c r="AR979" s="91"/>
      <c r="AS979" s="91"/>
      <c r="AT979" s="91"/>
      <c r="AU979" s="91"/>
      <c r="AV979" s="91"/>
      <c r="AW979" s="91"/>
      <c r="AX979" s="91"/>
      <c r="AY979" s="91"/>
      <c r="AZ979" s="91"/>
      <c r="BA979" s="91"/>
      <c r="BB979" s="91"/>
      <c r="BC979" s="91"/>
      <c r="BD979" s="91"/>
      <c r="BE979" s="91"/>
      <c r="BF979" s="92"/>
    </row>
    <row r="980" spans="1:58" s="82" customFormat="1" ht="14.25" customHeight="1">
      <c r="A980" s="941"/>
      <c r="B980" s="960"/>
      <c r="C980" s="1218"/>
      <c r="D980" s="84">
        <v>2019</v>
      </c>
      <c r="E980" s="85">
        <f t="shared" si="352"/>
        <v>0</v>
      </c>
      <c r="F980" s="85">
        <f>F993</f>
        <v>0</v>
      </c>
      <c r="G980" s="85">
        <f t="shared" si="353"/>
        <v>0</v>
      </c>
      <c r="H980" s="85">
        <f t="shared" si="353"/>
        <v>0</v>
      </c>
      <c r="I980" s="85">
        <f t="shared" si="353"/>
        <v>0</v>
      </c>
      <c r="J980" s="85">
        <f t="shared" si="353"/>
        <v>0</v>
      </c>
      <c r="K980" s="148">
        <v>0</v>
      </c>
      <c r="L980" s="497">
        <f t="shared" si="348"/>
        <v>0</v>
      </c>
      <c r="M980" s="407"/>
      <c r="N980" s="88"/>
      <c r="O980" s="408"/>
      <c r="P980" s="685"/>
      <c r="Q980" s="91"/>
      <c r="R980" s="91"/>
      <c r="S980" s="91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  <c r="AF980" s="91"/>
      <c r="AG980" s="91"/>
      <c r="AH980" s="91"/>
      <c r="AI980" s="91"/>
      <c r="AJ980" s="91"/>
      <c r="AK980" s="91"/>
      <c r="AL980" s="91"/>
      <c r="AM980" s="91"/>
      <c r="AN980" s="91"/>
      <c r="AO980" s="91"/>
      <c r="AP980" s="91"/>
      <c r="AQ980" s="91"/>
      <c r="AR980" s="91"/>
      <c r="AS980" s="91"/>
      <c r="AT980" s="91"/>
      <c r="AU980" s="91"/>
      <c r="AV980" s="91"/>
      <c r="AW980" s="91"/>
      <c r="AX980" s="91"/>
      <c r="AY980" s="91"/>
      <c r="AZ980" s="91"/>
      <c r="BA980" s="91"/>
      <c r="BB980" s="91"/>
      <c r="BC980" s="91"/>
      <c r="BD980" s="91"/>
      <c r="BE980" s="91"/>
      <c r="BF980" s="92"/>
    </row>
    <row r="981" spans="1:58" s="82" customFormat="1" ht="14.25" customHeight="1">
      <c r="A981" s="941"/>
      <c r="B981" s="960"/>
      <c r="C981" s="1218"/>
      <c r="D981" s="84">
        <v>2020</v>
      </c>
      <c r="E981" s="655">
        <f t="shared" si="352"/>
        <v>1.0370000000000001E-2</v>
      </c>
      <c r="F981" s="655">
        <f>F994</f>
        <v>1.0370000000000001E-2</v>
      </c>
      <c r="G981" s="655">
        <f t="shared" si="353"/>
        <v>0</v>
      </c>
      <c r="H981" s="655">
        <f t="shared" si="353"/>
        <v>0</v>
      </c>
      <c r="I981" s="655">
        <f t="shared" si="353"/>
        <v>0</v>
      </c>
      <c r="J981" s="655">
        <f t="shared" si="353"/>
        <v>0</v>
      </c>
      <c r="K981" s="148">
        <v>0</v>
      </c>
      <c r="L981" s="497">
        <f t="shared" si="348"/>
        <v>1.0370000000000001E-2</v>
      </c>
      <c r="M981" s="407"/>
      <c r="N981" s="88"/>
      <c r="O981" s="408"/>
      <c r="P981" s="685"/>
      <c r="Q981" s="91"/>
      <c r="R981" s="91"/>
      <c r="S981" s="91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  <c r="AF981" s="91"/>
      <c r="AG981" s="91"/>
      <c r="AH981" s="91"/>
      <c r="AI981" s="91"/>
      <c r="AJ981" s="91"/>
      <c r="AK981" s="91"/>
      <c r="AL981" s="91"/>
      <c r="AM981" s="91"/>
      <c r="AN981" s="91"/>
      <c r="AO981" s="91"/>
      <c r="AP981" s="91"/>
      <c r="AQ981" s="91"/>
      <c r="AR981" s="91"/>
      <c r="AS981" s="91"/>
      <c r="AT981" s="91"/>
      <c r="AU981" s="91"/>
      <c r="AV981" s="91"/>
      <c r="AW981" s="91"/>
      <c r="AX981" s="91"/>
      <c r="AY981" s="91"/>
      <c r="AZ981" s="91"/>
      <c r="BA981" s="91"/>
      <c r="BB981" s="91"/>
      <c r="BC981" s="91"/>
      <c r="BD981" s="91"/>
      <c r="BE981" s="91"/>
      <c r="BF981" s="92"/>
    </row>
    <row r="982" spans="1:58" s="82" customFormat="1" ht="14.25" customHeight="1">
      <c r="A982" s="941"/>
      <c r="B982" s="960"/>
      <c r="C982" s="1218"/>
      <c r="D982" s="84">
        <v>2021</v>
      </c>
      <c r="E982" s="85">
        <f t="shared" si="352"/>
        <v>1.04E-2</v>
      </c>
      <c r="F982" s="85">
        <f>F995</f>
        <v>1.04E-2</v>
      </c>
      <c r="G982" s="85">
        <f t="shared" si="353"/>
        <v>0</v>
      </c>
      <c r="H982" s="85">
        <f t="shared" si="353"/>
        <v>0</v>
      </c>
      <c r="I982" s="85">
        <f t="shared" si="353"/>
        <v>0</v>
      </c>
      <c r="J982" s="85">
        <f t="shared" si="353"/>
        <v>0</v>
      </c>
      <c r="K982" s="148">
        <v>0</v>
      </c>
      <c r="L982" s="497">
        <f t="shared" si="348"/>
        <v>1.04E-2</v>
      </c>
      <c r="M982" s="407"/>
      <c r="N982" s="88"/>
      <c r="O982" s="408"/>
      <c r="P982" s="685"/>
      <c r="Q982" s="91"/>
      <c r="R982" s="91"/>
      <c r="S982" s="91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  <c r="AF982" s="91"/>
      <c r="AG982" s="91"/>
      <c r="AH982" s="91"/>
      <c r="AI982" s="91"/>
      <c r="AJ982" s="91"/>
      <c r="AK982" s="91"/>
      <c r="AL982" s="91"/>
      <c r="AM982" s="91"/>
      <c r="AN982" s="91"/>
      <c r="AO982" s="91"/>
      <c r="AP982" s="91"/>
      <c r="AQ982" s="91"/>
      <c r="AR982" s="91"/>
      <c r="AS982" s="91"/>
      <c r="AT982" s="91"/>
      <c r="AU982" s="91"/>
      <c r="AV982" s="91"/>
      <c r="AW982" s="91"/>
      <c r="AX982" s="91"/>
      <c r="AY982" s="91"/>
      <c r="AZ982" s="91"/>
      <c r="BA982" s="91"/>
      <c r="BB982" s="91"/>
      <c r="BC982" s="91"/>
      <c r="BD982" s="91"/>
      <c r="BE982" s="91"/>
      <c r="BF982" s="92"/>
    </row>
    <row r="983" spans="1:58" s="82" customFormat="1" ht="14.25" customHeight="1">
      <c r="A983" s="941"/>
      <c r="B983" s="960"/>
      <c r="C983" s="1218"/>
      <c r="D983" s="84">
        <v>2022</v>
      </c>
      <c r="E983" s="85">
        <f t="shared" si="352"/>
        <v>1.04E-2</v>
      </c>
      <c r="F983" s="85">
        <f>F996</f>
        <v>1.04E-2</v>
      </c>
      <c r="G983" s="85">
        <f t="shared" si="353"/>
        <v>0</v>
      </c>
      <c r="H983" s="85">
        <f t="shared" si="353"/>
        <v>0</v>
      </c>
      <c r="I983" s="85">
        <f t="shared" si="353"/>
        <v>0</v>
      </c>
      <c r="J983" s="85">
        <f t="shared" si="353"/>
        <v>0</v>
      </c>
      <c r="K983" s="148">
        <v>0</v>
      </c>
      <c r="L983" s="473">
        <f>L996</f>
        <v>1.04E-2</v>
      </c>
      <c r="M983" s="407"/>
      <c r="N983" s="88"/>
      <c r="O983" s="408"/>
      <c r="P983" s="685"/>
      <c r="Q983" s="91"/>
      <c r="R983" s="91"/>
      <c r="S983" s="91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  <c r="AF983" s="91"/>
      <c r="AG983" s="91"/>
      <c r="AH983" s="91"/>
      <c r="AI983" s="91"/>
      <c r="AJ983" s="91"/>
      <c r="AK983" s="91"/>
      <c r="AL983" s="91"/>
      <c r="AM983" s="91"/>
      <c r="AN983" s="91"/>
      <c r="AO983" s="91"/>
      <c r="AP983" s="91"/>
      <c r="AQ983" s="91"/>
      <c r="AR983" s="91"/>
      <c r="AS983" s="91"/>
      <c r="AT983" s="91"/>
      <c r="AU983" s="91"/>
      <c r="AV983" s="91"/>
      <c r="AW983" s="91"/>
      <c r="AX983" s="91"/>
      <c r="AY983" s="91"/>
      <c r="AZ983" s="91"/>
      <c r="BA983" s="91"/>
      <c r="BB983" s="91"/>
      <c r="BC983" s="91"/>
      <c r="BD983" s="91"/>
      <c r="BE983" s="91"/>
      <c r="BF983" s="92"/>
    </row>
    <row r="984" spans="1:58" s="82" customFormat="1" ht="14.25" customHeight="1">
      <c r="A984" s="941"/>
      <c r="B984" s="960"/>
      <c r="C984" s="1218"/>
      <c r="D984" s="84">
        <v>2023</v>
      </c>
      <c r="E984" s="85">
        <f t="shared" si="352"/>
        <v>0.01</v>
      </c>
      <c r="F984" s="85">
        <f>F997</f>
        <v>0.01</v>
      </c>
      <c r="G984" s="85">
        <f t="shared" si="353"/>
        <v>0</v>
      </c>
      <c r="H984" s="85">
        <f t="shared" si="353"/>
        <v>0</v>
      </c>
      <c r="I984" s="85">
        <f t="shared" si="353"/>
        <v>0</v>
      </c>
      <c r="J984" s="85">
        <f t="shared" si="353"/>
        <v>0</v>
      </c>
      <c r="K984" s="148">
        <v>0</v>
      </c>
      <c r="L984" s="497">
        <f t="shared" ref="L984:L1015" si="354">F984+G984+H984+I984+J984</f>
        <v>0.01</v>
      </c>
      <c r="M984" s="407"/>
      <c r="N984" s="88"/>
      <c r="O984" s="408"/>
      <c r="P984" s="685"/>
      <c r="Q984" s="91"/>
      <c r="R984" s="91"/>
      <c r="S984" s="91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  <c r="AF984" s="91"/>
      <c r="AG984" s="91"/>
      <c r="AH984" s="91"/>
      <c r="AI984" s="91"/>
      <c r="AJ984" s="91"/>
      <c r="AK984" s="91"/>
      <c r="AL984" s="91"/>
      <c r="AM984" s="91"/>
      <c r="AN984" s="91"/>
      <c r="AO984" s="91"/>
      <c r="AP984" s="91"/>
      <c r="AQ984" s="91"/>
      <c r="AR984" s="91"/>
      <c r="AS984" s="91"/>
      <c r="AT984" s="91"/>
      <c r="AU984" s="91"/>
      <c r="AV984" s="91"/>
      <c r="AW984" s="91"/>
      <c r="AX984" s="91"/>
      <c r="AY984" s="91"/>
      <c r="AZ984" s="91"/>
      <c r="BA984" s="91"/>
      <c r="BB984" s="91"/>
      <c r="BC984" s="91"/>
      <c r="BD984" s="91"/>
      <c r="BE984" s="91"/>
      <c r="BF984" s="92"/>
    </row>
    <row r="985" spans="1:58" s="82" customFormat="1" ht="14.25" customHeight="1">
      <c r="A985" s="941"/>
      <c r="B985" s="960"/>
      <c r="C985" s="1218"/>
      <c r="D985" s="84">
        <v>2024</v>
      </c>
      <c r="E985" s="85">
        <f t="shared" si="352"/>
        <v>0.01</v>
      </c>
      <c r="F985" s="85">
        <v>0.01</v>
      </c>
      <c r="G985" s="85">
        <f t="shared" si="353"/>
        <v>0</v>
      </c>
      <c r="H985" s="85">
        <f t="shared" si="353"/>
        <v>0</v>
      </c>
      <c r="I985" s="85">
        <f t="shared" si="353"/>
        <v>0</v>
      </c>
      <c r="J985" s="85">
        <f t="shared" si="353"/>
        <v>0</v>
      </c>
      <c r="K985" s="148">
        <v>0</v>
      </c>
      <c r="L985" s="497">
        <f t="shared" si="354"/>
        <v>0.01</v>
      </c>
      <c r="M985" s="407"/>
      <c r="N985" s="88"/>
      <c r="O985" s="408"/>
      <c r="P985" s="685"/>
      <c r="Q985" s="91"/>
      <c r="R985" s="91"/>
      <c r="S985" s="91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  <c r="AF985" s="91"/>
      <c r="AG985" s="91"/>
      <c r="AH985" s="91"/>
      <c r="AI985" s="91"/>
      <c r="AJ985" s="91"/>
      <c r="AK985" s="91"/>
      <c r="AL985" s="91"/>
      <c r="AM985" s="91"/>
      <c r="AN985" s="91"/>
      <c r="AO985" s="91"/>
      <c r="AP985" s="91"/>
      <c r="AQ985" s="91"/>
      <c r="AR985" s="91"/>
      <c r="AS985" s="91"/>
      <c r="AT985" s="91"/>
      <c r="AU985" s="91"/>
      <c r="AV985" s="91"/>
      <c r="AW985" s="91"/>
      <c r="AX985" s="91"/>
      <c r="AY985" s="91"/>
      <c r="AZ985" s="91"/>
      <c r="BA985" s="91"/>
      <c r="BB985" s="91"/>
      <c r="BC985" s="91"/>
      <c r="BD985" s="91"/>
      <c r="BE985" s="91"/>
      <c r="BF985" s="92"/>
    </row>
    <row r="986" spans="1:58" s="82" customFormat="1" ht="14.25" customHeight="1">
      <c r="A986" s="941"/>
      <c r="B986" s="960"/>
      <c r="C986" s="1218"/>
      <c r="D986" s="84">
        <v>2025</v>
      </c>
      <c r="E986" s="85">
        <f t="shared" si="352"/>
        <v>0.01</v>
      </c>
      <c r="F986" s="85">
        <v>0.01</v>
      </c>
      <c r="G986" s="85">
        <f t="shared" si="353"/>
        <v>0</v>
      </c>
      <c r="H986" s="85">
        <f t="shared" si="353"/>
        <v>0</v>
      </c>
      <c r="I986" s="85">
        <f t="shared" si="353"/>
        <v>0</v>
      </c>
      <c r="J986" s="85">
        <f t="shared" si="353"/>
        <v>0</v>
      </c>
      <c r="K986" s="148">
        <v>0</v>
      </c>
      <c r="L986" s="497">
        <f t="shared" si="354"/>
        <v>0.01</v>
      </c>
      <c r="M986" s="407"/>
      <c r="N986" s="88"/>
      <c r="O986" s="408"/>
      <c r="P986" s="685"/>
      <c r="Q986" s="91"/>
      <c r="R986" s="91"/>
      <c r="S986" s="91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  <c r="AF986" s="91"/>
      <c r="AG986" s="91"/>
      <c r="AH986" s="91"/>
      <c r="AI986" s="91"/>
      <c r="AJ986" s="91"/>
      <c r="AK986" s="91"/>
      <c r="AL986" s="91"/>
      <c r="AM986" s="91"/>
      <c r="AN986" s="91"/>
      <c r="AO986" s="91"/>
      <c r="AP986" s="91"/>
      <c r="AQ986" s="91"/>
      <c r="AR986" s="91"/>
      <c r="AS986" s="91"/>
      <c r="AT986" s="91"/>
      <c r="AU986" s="91"/>
      <c r="AV986" s="91"/>
      <c r="AW986" s="91"/>
      <c r="AX986" s="91"/>
      <c r="AY986" s="91"/>
      <c r="AZ986" s="91"/>
      <c r="BA986" s="91"/>
      <c r="BB986" s="91"/>
      <c r="BC986" s="91"/>
      <c r="BD986" s="91"/>
      <c r="BE986" s="91"/>
      <c r="BF986" s="92"/>
    </row>
    <row r="987" spans="1:58" s="82" customFormat="1" ht="14.25" customHeight="1">
      <c r="A987" s="941"/>
      <c r="B987" s="960"/>
      <c r="C987" s="1218"/>
      <c r="D987" s="84">
        <v>2026</v>
      </c>
      <c r="E987" s="85">
        <f t="shared" si="352"/>
        <v>1.04E-2</v>
      </c>
      <c r="F987" s="85">
        <f>F1000</f>
        <v>1.04E-2</v>
      </c>
      <c r="G987" s="85">
        <f t="shared" si="353"/>
        <v>0</v>
      </c>
      <c r="H987" s="85">
        <f t="shared" si="353"/>
        <v>0</v>
      </c>
      <c r="I987" s="85">
        <f t="shared" si="353"/>
        <v>0</v>
      </c>
      <c r="J987" s="85">
        <f t="shared" si="353"/>
        <v>0</v>
      </c>
      <c r="K987" s="148">
        <v>0</v>
      </c>
      <c r="L987" s="497">
        <f t="shared" si="354"/>
        <v>1.04E-2</v>
      </c>
      <c r="M987" s="407"/>
      <c r="N987" s="88"/>
      <c r="O987" s="408"/>
      <c r="P987" s="685"/>
      <c r="Q987" s="91"/>
      <c r="R987" s="91"/>
      <c r="S987" s="91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  <c r="AF987" s="91"/>
      <c r="AG987" s="91"/>
      <c r="AH987" s="91"/>
      <c r="AI987" s="91"/>
      <c r="AJ987" s="91"/>
      <c r="AK987" s="91"/>
      <c r="AL987" s="91"/>
      <c r="AM987" s="91"/>
      <c r="AN987" s="91"/>
      <c r="AO987" s="91"/>
      <c r="AP987" s="91"/>
      <c r="AQ987" s="91"/>
      <c r="AR987" s="91"/>
      <c r="AS987" s="91"/>
      <c r="AT987" s="91"/>
      <c r="AU987" s="91"/>
      <c r="AV987" s="91"/>
      <c r="AW987" s="91"/>
      <c r="AX987" s="91"/>
      <c r="AY987" s="91"/>
      <c r="AZ987" s="91"/>
      <c r="BA987" s="91"/>
      <c r="BB987" s="91"/>
      <c r="BC987" s="91"/>
      <c r="BD987" s="91"/>
      <c r="BE987" s="91"/>
      <c r="BF987" s="92"/>
    </row>
    <row r="988" spans="1:58" s="82" customFormat="1" ht="14.25" customHeight="1">
      <c r="A988" s="941"/>
      <c r="B988" s="960"/>
      <c r="C988" s="1218"/>
      <c r="D988" s="84">
        <v>2027</v>
      </c>
      <c r="E988" s="85">
        <f t="shared" si="352"/>
        <v>1.0800000000000001E-2</v>
      </c>
      <c r="F988" s="85">
        <f>F1001</f>
        <v>1.0800000000000001E-2</v>
      </c>
      <c r="G988" s="85">
        <f t="shared" si="353"/>
        <v>0</v>
      </c>
      <c r="H988" s="85">
        <f t="shared" si="353"/>
        <v>0</v>
      </c>
      <c r="I988" s="85">
        <f t="shared" si="353"/>
        <v>0</v>
      </c>
      <c r="J988" s="85">
        <f t="shared" si="353"/>
        <v>0</v>
      </c>
      <c r="K988" s="148">
        <v>0</v>
      </c>
      <c r="L988" s="497">
        <f t="shared" si="354"/>
        <v>1.0800000000000001E-2</v>
      </c>
      <c r="M988" s="407"/>
      <c r="N988" s="88"/>
      <c r="O988" s="408"/>
      <c r="P988" s="685"/>
      <c r="Q988" s="91"/>
      <c r="R988" s="91"/>
      <c r="S988" s="91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  <c r="AF988" s="91"/>
      <c r="AG988" s="91"/>
      <c r="AH988" s="91"/>
      <c r="AI988" s="91"/>
      <c r="AJ988" s="91"/>
      <c r="AK988" s="91"/>
      <c r="AL988" s="91"/>
      <c r="AM988" s="91"/>
      <c r="AN988" s="91"/>
      <c r="AO988" s="91"/>
      <c r="AP988" s="91"/>
      <c r="AQ988" s="91"/>
      <c r="AR988" s="91"/>
      <c r="AS988" s="91"/>
      <c r="AT988" s="91"/>
      <c r="AU988" s="91"/>
      <c r="AV988" s="91"/>
      <c r="AW988" s="91"/>
      <c r="AX988" s="91"/>
      <c r="AY988" s="91"/>
      <c r="AZ988" s="91"/>
      <c r="BA988" s="91"/>
      <c r="BB988" s="91"/>
      <c r="BC988" s="91"/>
      <c r="BD988" s="91"/>
      <c r="BE988" s="91"/>
      <c r="BF988" s="92"/>
    </row>
    <row r="989" spans="1:58" s="82" customFormat="1" ht="14.25" customHeight="1">
      <c r="A989" s="941"/>
      <c r="B989" s="960"/>
      <c r="C989" s="1218"/>
      <c r="D989" s="84">
        <v>2028</v>
      </c>
      <c r="E989" s="85">
        <f t="shared" si="352"/>
        <v>1.12E-2</v>
      </c>
      <c r="F989" s="85">
        <f>F1002</f>
        <v>1.12E-2</v>
      </c>
      <c r="G989" s="85">
        <f t="shared" si="353"/>
        <v>0</v>
      </c>
      <c r="H989" s="85">
        <f t="shared" si="353"/>
        <v>0</v>
      </c>
      <c r="I989" s="85">
        <f t="shared" si="353"/>
        <v>0</v>
      </c>
      <c r="J989" s="85">
        <f t="shared" si="353"/>
        <v>0</v>
      </c>
      <c r="K989" s="148">
        <v>0</v>
      </c>
      <c r="L989" s="497">
        <f t="shared" si="354"/>
        <v>1.12E-2</v>
      </c>
      <c r="M989" s="407"/>
      <c r="N989" s="88"/>
      <c r="O989" s="408"/>
      <c r="P989" s="685"/>
      <c r="Q989" s="91"/>
      <c r="R989" s="91"/>
      <c r="S989" s="91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  <c r="AF989" s="91"/>
      <c r="AG989" s="91"/>
      <c r="AH989" s="91"/>
      <c r="AI989" s="91"/>
      <c r="AJ989" s="91"/>
      <c r="AK989" s="91"/>
      <c r="AL989" s="91"/>
      <c r="AM989" s="91"/>
      <c r="AN989" s="91"/>
      <c r="AO989" s="91"/>
      <c r="AP989" s="91"/>
      <c r="AQ989" s="91"/>
      <c r="AR989" s="91"/>
      <c r="AS989" s="91"/>
      <c r="AT989" s="91"/>
      <c r="AU989" s="91"/>
      <c r="AV989" s="91"/>
      <c r="AW989" s="91"/>
      <c r="AX989" s="91"/>
      <c r="AY989" s="91"/>
      <c r="AZ989" s="91"/>
      <c r="BA989" s="91"/>
      <c r="BB989" s="91"/>
      <c r="BC989" s="91"/>
      <c r="BD989" s="91"/>
      <c r="BE989" s="91"/>
      <c r="BF989" s="92"/>
    </row>
    <row r="990" spans="1:58" s="82" customFormat="1" ht="14.25" customHeight="1">
      <c r="A990" s="941"/>
      <c r="B990" s="960"/>
      <c r="C990" s="1218"/>
      <c r="D990" s="84">
        <v>2029</v>
      </c>
      <c r="E990" s="85">
        <f t="shared" si="352"/>
        <v>1.17E-2</v>
      </c>
      <c r="F990" s="85">
        <f>F1003</f>
        <v>1.17E-2</v>
      </c>
      <c r="G990" s="85">
        <f t="shared" si="353"/>
        <v>0</v>
      </c>
      <c r="H990" s="85">
        <f t="shared" si="353"/>
        <v>0</v>
      </c>
      <c r="I990" s="85">
        <f t="shared" si="353"/>
        <v>0</v>
      </c>
      <c r="J990" s="85">
        <f t="shared" si="353"/>
        <v>0</v>
      </c>
      <c r="K990" s="148">
        <v>0</v>
      </c>
      <c r="L990" s="497">
        <f t="shared" si="354"/>
        <v>1.17E-2</v>
      </c>
      <c r="M990" s="407"/>
      <c r="N990" s="88"/>
      <c r="O990" s="408"/>
      <c r="P990" s="685"/>
      <c r="Q990" s="91"/>
      <c r="R990" s="91"/>
      <c r="S990" s="91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  <c r="AF990" s="91"/>
      <c r="AG990" s="91"/>
      <c r="AH990" s="91"/>
      <c r="AI990" s="91"/>
      <c r="AJ990" s="91"/>
      <c r="AK990" s="91"/>
      <c r="AL990" s="91"/>
      <c r="AM990" s="91"/>
      <c r="AN990" s="91"/>
      <c r="AO990" s="91"/>
      <c r="AP990" s="91"/>
      <c r="AQ990" s="91"/>
      <c r="AR990" s="91"/>
      <c r="AS990" s="91"/>
      <c r="AT990" s="91"/>
      <c r="AU990" s="91"/>
      <c r="AV990" s="91"/>
      <c r="AW990" s="91"/>
      <c r="AX990" s="91"/>
      <c r="AY990" s="91"/>
      <c r="AZ990" s="91"/>
      <c r="BA990" s="91"/>
      <c r="BB990" s="91"/>
      <c r="BC990" s="91"/>
      <c r="BD990" s="91"/>
      <c r="BE990" s="91"/>
      <c r="BF990" s="92"/>
    </row>
    <row r="991" spans="1:58" s="82" customFormat="1" ht="14.25" customHeight="1">
      <c r="A991" s="942"/>
      <c r="B991" s="961"/>
      <c r="C991" s="1219"/>
      <c r="D991" s="84">
        <v>2030</v>
      </c>
      <c r="E991" s="85">
        <f t="shared" si="352"/>
        <v>1.2200000000000001E-2</v>
      </c>
      <c r="F991" s="85">
        <f>F1004</f>
        <v>1.2200000000000001E-2</v>
      </c>
      <c r="G991" s="85">
        <f t="shared" si="353"/>
        <v>0</v>
      </c>
      <c r="H991" s="85">
        <f t="shared" si="353"/>
        <v>0</v>
      </c>
      <c r="I991" s="85">
        <f t="shared" si="353"/>
        <v>0</v>
      </c>
      <c r="J991" s="85">
        <f t="shared" si="353"/>
        <v>0</v>
      </c>
      <c r="K991" s="148">
        <v>0</v>
      </c>
      <c r="L991" s="497">
        <f t="shared" si="354"/>
        <v>1.2200000000000001E-2</v>
      </c>
      <c r="M991" s="407"/>
      <c r="N991" s="88"/>
      <c r="O991" s="408"/>
      <c r="P991" s="685"/>
      <c r="Q991" s="91"/>
      <c r="R991" s="91"/>
      <c r="S991" s="91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  <c r="AF991" s="91"/>
      <c r="AG991" s="91"/>
      <c r="AH991" s="91"/>
      <c r="AI991" s="91"/>
      <c r="AJ991" s="91"/>
      <c r="AK991" s="91"/>
      <c r="AL991" s="91"/>
      <c r="AM991" s="91"/>
      <c r="AN991" s="91"/>
      <c r="AO991" s="91"/>
      <c r="AP991" s="91"/>
      <c r="AQ991" s="91"/>
      <c r="AR991" s="91"/>
      <c r="AS991" s="91"/>
      <c r="AT991" s="91"/>
      <c r="AU991" s="91"/>
      <c r="AV991" s="91"/>
      <c r="AW991" s="91"/>
      <c r="AX991" s="91"/>
      <c r="AY991" s="91"/>
      <c r="AZ991" s="91"/>
      <c r="BA991" s="91"/>
      <c r="BB991" s="91"/>
      <c r="BC991" s="91"/>
      <c r="BD991" s="91"/>
      <c r="BE991" s="91"/>
      <c r="BF991" s="92"/>
    </row>
    <row r="992" spans="1:58" s="82" customFormat="1" ht="14.25" customHeight="1">
      <c r="A992" s="1069" t="s">
        <v>1338</v>
      </c>
      <c r="B992" s="1080" t="s">
        <v>966</v>
      </c>
      <c r="C992" s="583"/>
      <c r="D992" s="84" t="s">
        <v>16</v>
      </c>
      <c r="E992" s="85">
        <f t="shared" ref="E992:J992" si="355">E993+E994+E995+E996+E997+E998+E999+E1000+E1001+E1002+E1003+E1004</f>
        <v>0.11747</v>
      </c>
      <c r="F992" s="85">
        <f t="shared" si="355"/>
        <v>0.11747</v>
      </c>
      <c r="G992" s="85">
        <f t="shared" si="355"/>
        <v>0</v>
      </c>
      <c r="H992" s="85">
        <f t="shared" si="355"/>
        <v>0</v>
      </c>
      <c r="I992" s="85">
        <f t="shared" si="355"/>
        <v>0</v>
      </c>
      <c r="J992" s="85">
        <f t="shared" si="355"/>
        <v>0</v>
      </c>
      <c r="K992" s="148">
        <v>0</v>
      </c>
      <c r="L992" s="497">
        <f t="shared" si="354"/>
        <v>0.11747</v>
      </c>
      <c r="M992" s="407"/>
      <c r="N992" s="88"/>
      <c r="O992" s="408"/>
      <c r="P992" s="1286" t="s">
        <v>527</v>
      </c>
      <c r="Q992" s="91"/>
      <c r="R992" s="91"/>
      <c r="S992" s="91"/>
      <c r="T992" s="91"/>
      <c r="U992" s="91"/>
      <c r="V992" s="91"/>
      <c r="W992" s="91"/>
      <c r="X992" s="91"/>
      <c r="Y992" s="91"/>
      <c r="Z992" s="91"/>
      <c r="AA992" s="91"/>
      <c r="AB992" s="91"/>
      <c r="AC992" s="91"/>
      <c r="AD992" s="91"/>
      <c r="AE992" s="91"/>
      <c r="AF992" s="91"/>
      <c r="AG992" s="91"/>
      <c r="AH992" s="91"/>
      <c r="AI992" s="91"/>
      <c r="AJ992" s="91"/>
      <c r="AK992" s="91"/>
      <c r="AL992" s="91"/>
      <c r="AM992" s="91"/>
      <c r="AN992" s="91"/>
      <c r="AO992" s="91"/>
      <c r="AP992" s="91"/>
      <c r="AQ992" s="91"/>
      <c r="AR992" s="91"/>
      <c r="AS992" s="91"/>
      <c r="AT992" s="91"/>
      <c r="AU992" s="91"/>
      <c r="AV992" s="91"/>
      <c r="AW992" s="91"/>
      <c r="AX992" s="91"/>
      <c r="AY992" s="91"/>
      <c r="AZ992" s="91"/>
      <c r="BA992" s="91"/>
      <c r="BB992" s="91"/>
      <c r="BC992" s="91"/>
      <c r="BD992" s="91"/>
      <c r="BE992" s="91"/>
      <c r="BF992" s="92"/>
    </row>
    <row r="993" spans="1:58" s="82" customFormat="1" ht="14.25" customHeight="1">
      <c r="A993" s="941"/>
      <c r="B993" s="960"/>
      <c r="C993" s="634" t="s">
        <v>955</v>
      </c>
      <c r="D993" s="84">
        <v>2019</v>
      </c>
      <c r="E993" s="85">
        <f t="shared" ref="E993:E1004" si="356">F993+G993+H993+I993+J993</f>
        <v>0</v>
      </c>
      <c r="F993" s="85">
        <v>0</v>
      </c>
      <c r="G993" s="85">
        <v>0</v>
      </c>
      <c r="H993" s="85">
        <v>0</v>
      </c>
      <c r="I993" s="85">
        <v>0</v>
      </c>
      <c r="J993" s="85">
        <v>0</v>
      </c>
      <c r="K993" s="148">
        <v>0</v>
      </c>
      <c r="L993" s="497">
        <f t="shared" si="354"/>
        <v>0</v>
      </c>
      <c r="M993" s="407"/>
      <c r="N993" s="88"/>
      <c r="O993" s="408"/>
      <c r="P993" s="1300"/>
      <c r="Q993" s="91"/>
      <c r="R993" s="91"/>
      <c r="S993" s="91"/>
      <c r="T993" s="91"/>
      <c r="U993" s="91"/>
      <c r="V993" s="91"/>
      <c r="W993" s="91"/>
      <c r="X993" s="91"/>
      <c r="Y993" s="91"/>
      <c r="Z993" s="91"/>
      <c r="AA993" s="91"/>
      <c r="AB993" s="91"/>
      <c r="AC993" s="91"/>
      <c r="AD993" s="91"/>
      <c r="AE993" s="91"/>
      <c r="AF993" s="91"/>
      <c r="AG993" s="91"/>
      <c r="AH993" s="91"/>
      <c r="AI993" s="91"/>
      <c r="AJ993" s="91"/>
      <c r="AK993" s="91"/>
      <c r="AL993" s="91"/>
      <c r="AM993" s="91"/>
      <c r="AN993" s="91"/>
      <c r="AO993" s="91"/>
      <c r="AP993" s="91"/>
      <c r="AQ993" s="91"/>
      <c r="AR993" s="91"/>
      <c r="AS993" s="91"/>
      <c r="AT993" s="91"/>
      <c r="AU993" s="91"/>
      <c r="AV993" s="91"/>
      <c r="AW993" s="91"/>
      <c r="AX993" s="91"/>
      <c r="AY993" s="91"/>
      <c r="AZ993" s="91"/>
      <c r="BA993" s="91"/>
      <c r="BB993" s="91"/>
      <c r="BC993" s="91"/>
      <c r="BD993" s="91"/>
      <c r="BE993" s="91"/>
      <c r="BF993" s="92"/>
    </row>
    <row r="994" spans="1:58" s="82" customFormat="1" ht="14.25" customHeight="1">
      <c r="A994" s="941"/>
      <c r="B994" s="960"/>
      <c r="C994" s="1224" t="s">
        <v>1435</v>
      </c>
      <c r="D994" s="84">
        <v>2020</v>
      </c>
      <c r="E994" s="85">
        <f t="shared" si="356"/>
        <v>1.0370000000000001E-2</v>
      </c>
      <c r="F994" s="85">
        <v>1.0370000000000001E-2</v>
      </c>
      <c r="G994" s="85">
        <v>0</v>
      </c>
      <c r="H994" s="85">
        <v>0</v>
      </c>
      <c r="I994" s="85">
        <v>0</v>
      </c>
      <c r="J994" s="85">
        <v>0</v>
      </c>
      <c r="K994" s="148">
        <v>0</v>
      </c>
      <c r="L994" s="497">
        <f t="shared" si="354"/>
        <v>1.0370000000000001E-2</v>
      </c>
      <c r="M994" s="407"/>
      <c r="N994" s="88"/>
      <c r="O994" s="408"/>
      <c r="P994" s="1300"/>
      <c r="Q994" s="91"/>
      <c r="R994" s="91"/>
      <c r="S994" s="91"/>
      <c r="T994" s="91"/>
      <c r="U994" s="91"/>
      <c r="V994" s="91"/>
      <c r="W994" s="91"/>
      <c r="X994" s="91"/>
      <c r="Y994" s="91"/>
      <c r="Z994" s="91"/>
      <c r="AA994" s="91"/>
      <c r="AB994" s="91"/>
      <c r="AC994" s="91"/>
      <c r="AD994" s="91"/>
      <c r="AE994" s="91"/>
      <c r="AF994" s="91"/>
      <c r="AG994" s="91"/>
      <c r="AH994" s="91"/>
      <c r="AI994" s="91"/>
      <c r="AJ994" s="91"/>
      <c r="AK994" s="91"/>
      <c r="AL994" s="91"/>
      <c r="AM994" s="91"/>
      <c r="AN994" s="91"/>
      <c r="AO994" s="91"/>
      <c r="AP994" s="91"/>
      <c r="AQ994" s="91"/>
      <c r="AR994" s="91"/>
      <c r="AS994" s="91"/>
      <c r="AT994" s="91"/>
      <c r="AU994" s="91"/>
      <c r="AV994" s="91"/>
      <c r="AW994" s="91"/>
      <c r="AX994" s="91"/>
      <c r="AY994" s="91"/>
      <c r="AZ994" s="91"/>
      <c r="BA994" s="91"/>
      <c r="BB994" s="91"/>
      <c r="BC994" s="91"/>
      <c r="BD994" s="91"/>
      <c r="BE994" s="91"/>
      <c r="BF994" s="92"/>
    </row>
    <row r="995" spans="1:58" s="82" customFormat="1" ht="14.25" customHeight="1">
      <c r="A995" s="941"/>
      <c r="B995" s="960"/>
      <c r="C995" s="1225"/>
      <c r="D995" s="84">
        <v>2021</v>
      </c>
      <c r="E995" s="85">
        <f t="shared" si="356"/>
        <v>1.04E-2</v>
      </c>
      <c r="F995" s="85">
        <v>1.04E-2</v>
      </c>
      <c r="G995" s="85">
        <v>0</v>
      </c>
      <c r="H995" s="85">
        <v>0</v>
      </c>
      <c r="I995" s="85">
        <v>0</v>
      </c>
      <c r="J995" s="85">
        <v>0</v>
      </c>
      <c r="K995" s="148">
        <v>0</v>
      </c>
      <c r="L995" s="497">
        <f t="shared" si="354"/>
        <v>1.04E-2</v>
      </c>
      <c r="M995" s="407"/>
      <c r="N995" s="88"/>
      <c r="O995" s="408"/>
      <c r="P995" s="1300"/>
      <c r="Q995" s="91"/>
      <c r="R995" s="91"/>
      <c r="S995" s="91"/>
      <c r="T995" s="91"/>
      <c r="U995" s="91"/>
      <c r="V995" s="91"/>
      <c r="W995" s="91"/>
      <c r="X995" s="91"/>
      <c r="Y995" s="91"/>
      <c r="Z995" s="91"/>
      <c r="AA995" s="91"/>
      <c r="AB995" s="91"/>
      <c r="AC995" s="91"/>
      <c r="AD995" s="91"/>
      <c r="AE995" s="91"/>
      <c r="AF995" s="91"/>
      <c r="AG995" s="91"/>
      <c r="AH995" s="91"/>
      <c r="AI995" s="91"/>
      <c r="AJ995" s="91"/>
      <c r="AK995" s="91"/>
      <c r="AL995" s="91"/>
      <c r="AM995" s="91"/>
      <c r="AN995" s="91"/>
      <c r="AO995" s="91"/>
      <c r="AP995" s="91"/>
      <c r="AQ995" s="91"/>
      <c r="AR995" s="91"/>
      <c r="AS995" s="91"/>
      <c r="AT995" s="91"/>
      <c r="AU995" s="91"/>
      <c r="AV995" s="91"/>
      <c r="AW995" s="91"/>
      <c r="AX995" s="91"/>
      <c r="AY995" s="91"/>
      <c r="AZ995" s="91"/>
      <c r="BA995" s="91"/>
      <c r="BB995" s="91"/>
      <c r="BC995" s="91"/>
      <c r="BD995" s="91"/>
      <c r="BE995" s="91"/>
      <c r="BF995" s="92"/>
    </row>
    <row r="996" spans="1:58" s="82" customFormat="1" ht="14.25" customHeight="1">
      <c r="A996" s="941"/>
      <c r="B996" s="960"/>
      <c r="C996" s="1225"/>
      <c r="D996" s="84">
        <v>2022</v>
      </c>
      <c r="E996" s="85">
        <f t="shared" si="356"/>
        <v>1.04E-2</v>
      </c>
      <c r="F996" s="85">
        <v>1.04E-2</v>
      </c>
      <c r="G996" s="85">
        <v>0</v>
      </c>
      <c r="H996" s="85">
        <v>0</v>
      </c>
      <c r="I996" s="85">
        <v>0</v>
      </c>
      <c r="J996" s="85">
        <v>0</v>
      </c>
      <c r="K996" s="148">
        <v>0</v>
      </c>
      <c r="L996" s="497">
        <f t="shared" si="354"/>
        <v>1.04E-2</v>
      </c>
      <c r="M996" s="407"/>
      <c r="N996" s="88"/>
      <c r="O996" s="408"/>
      <c r="P996" s="1300"/>
      <c r="Q996" s="91"/>
      <c r="R996" s="91"/>
      <c r="S996" s="91"/>
      <c r="T996" s="91"/>
      <c r="U996" s="91"/>
      <c r="V996" s="91"/>
      <c r="W996" s="91"/>
      <c r="X996" s="91"/>
      <c r="Y996" s="91"/>
      <c r="Z996" s="91"/>
      <c r="AA996" s="91"/>
      <c r="AB996" s="91"/>
      <c r="AC996" s="91"/>
      <c r="AD996" s="91"/>
      <c r="AE996" s="91"/>
      <c r="AF996" s="91"/>
      <c r="AG996" s="91"/>
      <c r="AH996" s="91"/>
      <c r="AI996" s="91"/>
      <c r="AJ996" s="91"/>
      <c r="AK996" s="91"/>
      <c r="AL996" s="91"/>
      <c r="AM996" s="91"/>
      <c r="AN996" s="91"/>
      <c r="AO996" s="91"/>
      <c r="AP996" s="91"/>
      <c r="AQ996" s="91"/>
      <c r="AR996" s="91"/>
      <c r="AS996" s="91"/>
      <c r="AT996" s="91"/>
      <c r="AU996" s="91"/>
      <c r="AV996" s="91"/>
      <c r="AW996" s="91"/>
      <c r="AX996" s="91"/>
      <c r="AY996" s="91"/>
      <c r="AZ996" s="91"/>
      <c r="BA996" s="91"/>
      <c r="BB996" s="91"/>
      <c r="BC996" s="91"/>
      <c r="BD996" s="91"/>
      <c r="BE996" s="91"/>
      <c r="BF996" s="92"/>
    </row>
    <row r="997" spans="1:58" s="82" customFormat="1" ht="14.25" customHeight="1">
      <c r="A997" s="941"/>
      <c r="B997" s="960"/>
      <c r="C997" s="1225"/>
      <c r="D997" s="84">
        <v>2023</v>
      </c>
      <c r="E997" s="85">
        <f t="shared" si="356"/>
        <v>0.01</v>
      </c>
      <c r="F997" s="85">
        <v>0.01</v>
      </c>
      <c r="G997" s="85">
        <v>0</v>
      </c>
      <c r="H997" s="85">
        <v>0</v>
      </c>
      <c r="I997" s="85">
        <v>0</v>
      </c>
      <c r="J997" s="85">
        <v>0</v>
      </c>
      <c r="K997" s="148">
        <v>0</v>
      </c>
      <c r="L997" s="497">
        <f t="shared" si="354"/>
        <v>0.01</v>
      </c>
      <c r="M997" s="407"/>
      <c r="N997" s="88"/>
      <c r="O997" s="408"/>
      <c r="P997" s="1300"/>
      <c r="Q997" s="91"/>
      <c r="R997" s="91"/>
      <c r="S997" s="91"/>
      <c r="T997" s="91"/>
      <c r="U997" s="91"/>
      <c r="V997" s="91"/>
      <c r="W997" s="91"/>
      <c r="X997" s="91"/>
      <c r="Y997" s="91"/>
      <c r="Z997" s="91"/>
      <c r="AA997" s="91"/>
      <c r="AB997" s="91"/>
      <c r="AC997" s="91"/>
      <c r="AD997" s="91"/>
      <c r="AE997" s="91"/>
      <c r="AF997" s="91"/>
      <c r="AG997" s="91"/>
      <c r="AH997" s="91"/>
      <c r="AI997" s="91"/>
      <c r="AJ997" s="91"/>
      <c r="AK997" s="91"/>
      <c r="AL997" s="91"/>
      <c r="AM997" s="91"/>
      <c r="AN997" s="91"/>
      <c r="AO997" s="91"/>
      <c r="AP997" s="91"/>
      <c r="AQ997" s="91"/>
      <c r="AR997" s="91"/>
      <c r="AS997" s="91"/>
      <c r="AT997" s="91"/>
      <c r="AU997" s="91"/>
      <c r="AV997" s="91"/>
      <c r="AW997" s="91"/>
      <c r="AX997" s="91"/>
      <c r="AY997" s="91"/>
      <c r="AZ997" s="91"/>
      <c r="BA997" s="91"/>
      <c r="BB997" s="91"/>
      <c r="BC997" s="91"/>
      <c r="BD997" s="91"/>
      <c r="BE997" s="91"/>
      <c r="BF997" s="92"/>
    </row>
    <row r="998" spans="1:58" s="82" customFormat="1" ht="14.25" customHeight="1">
      <c r="A998" s="941"/>
      <c r="B998" s="960"/>
      <c r="C998" s="1225"/>
      <c r="D998" s="84">
        <v>2024</v>
      </c>
      <c r="E998" s="85">
        <f t="shared" si="356"/>
        <v>0.01</v>
      </c>
      <c r="F998" s="85">
        <v>0.01</v>
      </c>
      <c r="G998" s="85">
        <v>0</v>
      </c>
      <c r="H998" s="85">
        <v>0</v>
      </c>
      <c r="I998" s="85">
        <v>0</v>
      </c>
      <c r="J998" s="85">
        <v>0</v>
      </c>
      <c r="K998" s="148">
        <v>0</v>
      </c>
      <c r="L998" s="497">
        <f t="shared" si="354"/>
        <v>0.01</v>
      </c>
      <c r="M998" s="407"/>
      <c r="N998" s="88"/>
      <c r="O998" s="408"/>
      <c r="P998" s="1300"/>
      <c r="Q998" s="91"/>
      <c r="R998" s="91"/>
      <c r="S998" s="91"/>
      <c r="T998" s="91"/>
      <c r="U998" s="91"/>
      <c r="V998" s="91"/>
      <c r="W998" s="91"/>
      <c r="X998" s="91"/>
      <c r="Y998" s="91"/>
      <c r="Z998" s="91"/>
      <c r="AA998" s="91"/>
      <c r="AB998" s="91"/>
      <c r="AC998" s="91"/>
      <c r="AD998" s="91"/>
      <c r="AE998" s="91"/>
      <c r="AF998" s="91"/>
      <c r="AG998" s="91"/>
      <c r="AH998" s="91"/>
      <c r="AI998" s="91"/>
      <c r="AJ998" s="91"/>
      <c r="AK998" s="91"/>
      <c r="AL998" s="91"/>
      <c r="AM998" s="91"/>
      <c r="AN998" s="91"/>
      <c r="AO998" s="91"/>
      <c r="AP998" s="9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91"/>
      <c r="BE998" s="91"/>
      <c r="BF998" s="92"/>
    </row>
    <row r="999" spans="1:58" s="82" customFormat="1" ht="14.25" customHeight="1">
      <c r="A999" s="941"/>
      <c r="B999" s="960"/>
      <c r="C999" s="1226"/>
      <c r="D999" s="84">
        <v>2025</v>
      </c>
      <c r="E999" s="85">
        <f t="shared" si="356"/>
        <v>0.01</v>
      </c>
      <c r="F999" s="85">
        <v>0.01</v>
      </c>
      <c r="G999" s="85">
        <v>0</v>
      </c>
      <c r="H999" s="85">
        <v>0</v>
      </c>
      <c r="I999" s="85">
        <v>0</v>
      </c>
      <c r="J999" s="85">
        <v>0</v>
      </c>
      <c r="K999" s="148">
        <v>0</v>
      </c>
      <c r="L999" s="497">
        <f t="shared" si="354"/>
        <v>0.01</v>
      </c>
      <c r="M999" s="407"/>
      <c r="N999" s="88"/>
      <c r="O999" s="408"/>
      <c r="P999" s="1300"/>
      <c r="Q999" s="91"/>
      <c r="R999" s="91"/>
      <c r="S999" s="91"/>
      <c r="T999" s="91"/>
      <c r="U999" s="91"/>
      <c r="V999" s="91"/>
      <c r="W999" s="91"/>
      <c r="X999" s="91"/>
      <c r="Y999" s="91"/>
      <c r="Z999" s="91"/>
      <c r="AA999" s="91"/>
      <c r="AB999" s="91"/>
      <c r="AC999" s="91"/>
      <c r="AD999" s="91"/>
      <c r="AE999" s="91"/>
      <c r="AF999" s="91"/>
      <c r="AG999" s="91"/>
      <c r="AH999" s="91"/>
      <c r="AI999" s="91"/>
      <c r="AJ999" s="91"/>
      <c r="AK999" s="91"/>
      <c r="AL999" s="91"/>
      <c r="AM999" s="91"/>
      <c r="AN999" s="91"/>
      <c r="AO999" s="91"/>
      <c r="AP999" s="91"/>
      <c r="AQ999" s="91"/>
      <c r="AR999" s="91"/>
      <c r="AS999" s="91"/>
      <c r="AT999" s="91"/>
      <c r="AU999" s="91"/>
      <c r="AV999" s="91"/>
      <c r="AW999" s="91"/>
      <c r="AX999" s="91"/>
      <c r="AY999" s="91"/>
      <c r="AZ999" s="91"/>
      <c r="BA999" s="91"/>
      <c r="BB999" s="91"/>
      <c r="BC999" s="91"/>
      <c r="BD999" s="91"/>
      <c r="BE999" s="91"/>
      <c r="BF999" s="92"/>
    </row>
    <row r="1000" spans="1:58" s="82" customFormat="1" ht="14.25" customHeight="1">
      <c r="A1000" s="941"/>
      <c r="B1000" s="960"/>
      <c r="C1000" s="1224" t="s">
        <v>967</v>
      </c>
      <c r="D1000" s="84">
        <v>2026</v>
      </c>
      <c r="E1000" s="85">
        <f t="shared" si="356"/>
        <v>1.04E-2</v>
      </c>
      <c r="F1000" s="85">
        <v>1.04E-2</v>
      </c>
      <c r="G1000" s="85">
        <v>0</v>
      </c>
      <c r="H1000" s="85">
        <v>0</v>
      </c>
      <c r="I1000" s="85">
        <v>0</v>
      </c>
      <c r="J1000" s="85">
        <v>0</v>
      </c>
      <c r="K1000" s="148">
        <v>0</v>
      </c>
      <c r="L1000" s="497">
        <f t="shared" si="354"/>
        <v>1.04E-2</v>
      </c>
      <c r="M1000" s="407"/>
      <c r="N1000" s="88"/>
      <c r="O1000" s="408"/>
      <c r="P1000" s="1300"/>
      <c r="Q1000" s="91"/>
      <c r="R1000" s="91"/>
      <c r="S1000" s="91"/>
      <c r="T1000" s="91"/>
      <c r="U1000" s="91"/>
      <c r="V1000" s="91"/>
      <c r="W1000" s="91"/>
      <c r="X1000" s="91"/>
      <c r="Y1000" s="91"/>
      <c r="Z1000" s="91"/>
      <c r="AA1000" s="91"/>
      <c r="AB1000" s="91"/>
      <c r="AC1000" s="91"/>
      <c r="AD1000" s="91"/>
      <c r="AE1000" s="91"/>
      <c r="AF1000" s="91"/>
      <c r="AG1000" s="91"/>
      <c r="AH1000" s="91"/>
      <c r="AI1000" s="91"/>
      <c r="AJ1000" s="91"/>
      <c r="AK1000" s="91"/>
      <c r="AL1000" s="91"/>
      <c r="AM1000" s="91"/>
      <c r="AN1000" s="91"/>
      <c r="AO1000" s="91"/>
      <c r="AP1000" s="91"/>
      <c r="AQ1000" s="91"/>
      <c r="AR1000" s="91"/>
      <c r="AS1000" s="91"/>
      <c r="AT1000" s="91"/>
      <c r="AU1000" s="91"/>
      <c r="AV1000" s="91"/>
      <c r="AW1000" s="91"/>
      <c r="AX1000" s="91"/>
      <c r="AY1000" s="91"/>
      <c r="AZ1000" s="91"/>
      <c r="BA1000" s="91"/>
      <c r="BB1000" s="91"/>
      <c r="BC1000" s="91"/>
      <c r="BD1000" s="91"/>
      <c r="BE1000" s="91"/>
      <c r="BF1000" s="92"/>
    </row>
    <row r="1001" spans="1:58" s="82" customFormat="1" ht="14.25" customHeight="1">
      <c r="A1001" s="941"/>
      <c r="B1001" s="960"/>
      <c r="C1001" s="1218"/>
      <c r="D1001" s="84">
        <v>2027</v>
      </c>
      <c r="E1001" s="85">
        <f t="shared" si="356"/>
        <v>1.0800000000000001E-2</v>
      </c>
      <c r="F1001" s="85">
        <v>1.0800000000000001E-2</v>
      </c>
      <c r="G1001" s="85">
        <v>0</v>
      </c>
      <c r="H1001" s="85">
        <v>0</v>
      </c>
      <c r="I1001" s="85">
        <v>0</v>
      </c>
      <c r="J1001" s="85">
        <v>0</v>
      </c>
      <c r="K1001" s="148">
        <v>0</v>
      </c>
      <c r="L1001" s="497">
        <f t="shared" si="354"/>
        <v>1.0800000000000001E-2</v>
      </c>
      <c r="M1001" s="407"/>
      <c r="N1001" s="88"/>
      <c r="O1001" s="408"/>
      <c r="P1001" s="1300"/>
      <c r="Q1001" s="91"/>
      <c r="R1001" s="91"/>
      <c r="S1001" s="91"/>
      <c r="T1001" s="91"/>
      <c r="U1001" s="91"/>
      <c r="V1001" s="91"/>
      <c r="W1001" s="91"/>
      <c r="X1001" s="91"/>
      <c r="Y1001" s="91"/>
      <c r="Z1001" s="91"/>
      <c r="AA1001" s="91"/>
      <c r="AB1001" s="91"/>
      <c r="AC1001" s="91"/>
      <c r="AD1001" s="91"/>
      <c r="AE1001" s="91"/>
      <c r="AF1001" s="91"/>
      <c r="AG1001" s="91"/>
      <c r="AH1001" s="91"/>
      <c r="AI1001" s="91"/>
      <c r="AJ1001" s="91"/>
      <c r="AK1001" s="91"/>
      <c r="AL1001" s="91"/>
      <c r="AM1001" s="91"/>
      <c r="AN1001" s="91"/>
      <c r="AO1001" s="91"/>
      <c r="AP1001" s="91"/>
      <c r="AQ1001" s="91"/>
      <c r="AR1001" s="91"/>
      <c r="AS1001" s="91"/>
      <c r="AT1001" s="91"/>
      <c r="AU1001" s="91"/>
      <c r="AV1001" s="91"/>
      <c r="AW1001" s="91"/>
      <c r="AX1001" s="91"/>
      <c r="AY1001" s="91"/>
      <c r="AZ1001" s="91"/>
      <c r="BA1001" s="91"/>
      <c r="BB1001" s="91"/>
      <c r="BC1001" s="91"/>
      <c r="BD1001" s="91"/>
      <c r="BE1001" s="91"/>
      <c r="BF1001" s="92"/>
    </row>
    <row r="1002" spans="1:58" s="82" customFormat="1" ht="14.25" customHeight="1">
      <c r="A1002" s="941"/>
      <c r="B1002" s="960"/>
      <c r="C1002" s="1218"/>
      <c r="D1002" s="84">
        <v>2028</v>
      </c>
      <c r="E1002" s="85">
        <f t="shared" si="356"/>
        <v>1.12E-2</v>
      </c>
      <c r="F1002" s="85">
        <v>1.12E-2</v>
      </c>
      <c r="G1002" s="85">
        <v>0</v>
      </c>
      <c r="H1002" s="85">
        <v>0</v>
      </c>
      <c r="I1002" s="85">
        <v>0</v>
      </c>
      <c r="J1002" s="85">
        <v>0</v>
      </c>
      <c r="K1002" s="148">
        <v>0</v>
      </c>
      <c r="L1002" s="497">
        <f t="shared" si="354"/>
        <v>1.12E-2</v>
      </c>
      <c r="M1002" s="407"/>
      <c r="N1002" s="88"/>
      <c r="O1002" s="408"/>
      <c r="P1002" s="1300"/>
      <c r="Q1002" s="91"/>
      <c r="R1002" s="91"/>
      <c r="S1002" s="91"/>
      <c r="T1002" s="91"/>
      <c r="U1002" s="91"/>
      <c r="V1002" s="91"/>
      <c r="W1002" s="91"/>
      <c r="X1002" s="91"/>
      <c r="Y1002" s="91"/>
      <c r="Z1002" s="91"/>
      <c r="AA1002" s="91"/>
      <c r="AB1002" s="91"/>
      <c r="AC1002" s="91"/>
      <c r="AD1002" s="91"/>
      <c r="AE1002" s="91"/>
      <c r="AF1002" s="91"/>
      <c r="AG1002" s="91"/>
      <c r="AH1002" s="91"/>
      <c r="AI1002" s="91"/>
      <c r="AJ1002" s="91"/>
      <c r="AK1002" s="91"/>
      <c r="AL1002" s="91"/>
      <c r="AM1002" s="91"/>
      <c r="AN1002" s="91"/>
      <c r="AO1002" s="91"/>
      <c r="AP1002" s="91"/>
      <c r="AQ1002" s="91"/>
      <c r="AR1002" s="91"/>
      <c r="AS1002" s="91"/>
      <c r="AT1002" s="91"/>
      <c r="AU1002" s="91"/>
      <c r="AV1002" s="91"/>
      <c r="AW1002" s="91"/>
      <c r="AX1002" s="91"/>
      <c r="AY1002" s="91"/>
      <c r="AZ1002" s="91"/>
      <c r="BA1002" s="91"/>
      <c r="BB1002" s="91"/>
      <c r="BC1002" s="91"/>
      <c r="BD1002" s="91"/>
      <c r="BE1002" s="91"/>
      <c r="BF1002" s="92"/>
    </row>
    <row r="1003" spans="1:58" s="82" customFormat="1" ht="14.25" customHeight="1">
      <c r="A1003" s="941"/>
      <c r="B1003" s="960"/>
      <c r="C1003" s="1218"/>
      <c r="D1003" s="84">
        <v>2029</v>
      </c>
      <c r="E1003" s="85">
        <f t="shared" si="356"/>
        <v>1.17E-2</v>
      </c>
      <c r="F1003" s="85">
        <v>1.17E-2</v>
      </c>
      <c r="G1003" s="85">
        <v>0</v>
      </c>
      <c r="H1003" s="85">
        <v>0</v>
      </c>
      <c r="I1003" s="85">
        <v>0</v>
      </c>
      <c r="J1003" s="85">
        <v>0</v>
      </c>
      <c r="K1003" s="148">
        <v>0</v>
      </c>
      <c r="L1003" s="497">
        <f t="shared" si="354"/>
        <v>1.17E-2</v>
      </c>
      <c r="M1003" s="407"/>
      <c r="N1003" s="88"/>
      <c r="O1003" s="408"/>
      <c r="P1003" s="1300"/>
      <c r="Q1003" s="91"/>
      <c r="R1003" s="91"/>
      <c r="S1003" s="91"/>
      <c r="T1003" s="91"/>
      <c r="U1003" s="91"/>
      <c r="V1003" s="91"/>
      <c r="W1003" s="91"/>
      <c r="X1003" s="91"/>
      <c r="Y1003" s="91"/>
      <c r="Z1003" s="91"/>
      <c r="AA1003" s="91"/>
      <c r="AB1003" s="91"/>
      <c r="AC1003" s="91"/>
      <c r="AD1003" s="91"/>
      <c r="AE1003" s="91"/>
      <c r="AF1003" s="91"/>
      <c r="AG1003" s="91"/>
      <c r="AH1003" s="91"/>
      <c r="AI1003" s="91"/>
      <c r="AJ1003" s="91"/>
      <c r="AK1003" s="91"/>
      <c r="AL1003" s="91"/>
      <c r="AM1003" s="91"/>
      <c r="AN1003" s="91"/>
      <c r="AO1003" s="91"/>
      <c r="AP1003" s="91"/>
      <c r="AQ1003" s="91"/>
      <c r="AR1003" s="91"/>
      <c r="AS1003" s="91"/>
      <c r="AT1003" s="91"/>
      <c r="AU1003" s="91"/>
      <c r="AV1003" s="91"/>
      <c r="AW1003" s="91"/>
      <c r="AX1003" s="91"/>
      <c r="AY1003" s="91"/>
      <c r="AZ1003" s="91"/>
      <c r="BA1003" s="91"/>
      <c r="BB1003" s="91"/>
      <c r="BC1003" s="91"/>
      <c r="BD1003" s="91"/>
      <c r="BE1003" s="91"/>
      <c r="BF1003" s="92"/>
    </row>
    <row r="1004" spans="1:58" s="82" customFormat="1" ht="14.25" customHeight="1">
      <c r="A1004" s="942"/>
      <c r="B1004" s="961"/>
      <c r="C1004" s="1219"/>
      <c r="D1004" s="84">
        <v>2030</v>
      </c>
      <c r="E1004" s="85">
        <f t="shared" si="356"/>
        <v>1.2200000000000001E-2</v>
      </c>
      <c r="F1004" s="85">
        <v>1.2200000000000001E-2</v>
      </c>
      <c r="G1004" s="85">
        <v>0</v>
      </c>
      <c r="H1004" s="85">
        <v>0</v>
      </c>
      <c r="I1004" s="85">
        <v>0</v>
      </c>
      <c r="J1004" s="85">
        <v>0</v>
      </c>
      <c r="K1004" s="148">
        <v>0</v>
      </c>
      <c r="L1004" s="497">
        <f t="shared" si="354"/>
        <v>1.2200000000000001E-2</v>
      </c>
      <c r="M1004" s="407"/>
      <c r="N1004" s="88"/>
      <c r="O1004" s="408"/>
      <c r="P1004" s="1299"/>
      <c r="Q1004" s="91"/>
      <c r="R1004" s="91"/>
      <c r="S1004" s="91"/>
      <c r="T1004" s="91"/>
      <c r="U1004" s="91"/>
      <c r="V1004" s="91"/>
      <c r="W1004" s="91"/>
      <c r="X1004" s="91"/>
      <c r="Y1004" s="91"/>
      <c r="Z1004" s="91"/>
      <c r="AA1004" s="91"/>
      <c r="AB1004" s="91"/>
      <c r="AC1004" s="91"/>
      <c r="AD1004" s="91"/>
      <c r="AE1004" s="91"/>
      <c r="AF1004" s="91"/>
      <c r="AG1004" s="91"/>
      <c r="AH1004" s="91"/>
      <c r="AI1004" s="91"/>
      <c r="AJ1004" s="91"/>
      <c r="AK1004" s="91"/>
      <c r="AL1004" s="91"/>
      <c r="AM1004" s="91"/>
      <c r="AN1004" s="91"/>
      <c r="AO1004" s="91"/>
      <c r="AP1004" s="91"/>
      <c r="AQ1004" s="91"/>
      <c r="AR1004" s="91"/>
      <c r="AS1004" s="91"/>
      <c r="AT1004" s="91"/>
      <c r="AU1004" s="91"/>
      <c r="AV1004" s="91"/>
      <c r="AW1004" s="91"/>
      <c r="AX1004" s="91"/>
      <c r="AY1004" s="91"/>
      <c r="AZ1004" s="91"/>
      <c r="BA1004" s="91"/>
      <c r="BB1004" s="91"/>
      <c r="BC1004" s="91"/>
      <c r="BD1004" s="91"/>
      <c r="BE1004" s="91"/>
      <c r="BF1004" s="92"/>
    </row>
    <row r="1005" spans="1:58" s="82" customFormat="1" ht="14.25" customHeight="1">
      <c r="A1005" s="1069" t="s">
        <v>1339</v>
      </c>
      <c r="B1005" s="929" t="s">
        <v>969</v>
      </c>
      <c r="C1005" s="611"/>
      <c r="D1005" s="84" t="s">
        <v>16</v>
      </c>
      <c r="E1005" s="85">
        <f t="shared" ref="E1005:J1017" si="357">E1018</f>
        <v>0.92052</v>
      </c>
      <c r="F1005" s="85">
        <f t="shared" si="357"/>
        <v>0.92052</v>
      </c>
      <c r="G1005" s="85">
        <f t="shared" si="357"/>
        <v>0</v>
      </c>
      <c r="H1005" s="85">
        <f t="shared" si="357"/>
        <v>0</v>
      </c>
      <c r="I1005" s="85">
        <f t="shared" si="357"/>
        <v>0</v>
      </c>
      <c r="J1005" s="85">
        <f t="shared" si="357"/>
        <v>0</v>
      </c>
      <c r="K1005" s="148">
        <v>0</v>
      </c>
      <c r="L1005" s="497">
        <f t="shared" si="354"/>
        <v>0.92052</v>
      </c>
      <c r="M1005" s="407"/>
      <c r="N1005" s="88"/>
      <c r="O1005" s="408"/>
      <c r="P1005" s="685"/>
      <c r="Q1005" s="91"/>
      <c r="R1005" s="91"/>
      <c r="S1005" s="91"/>
      <c r="T1005" s="91"/>
      <c r="U1005" s="91"/>
      <c r="V1005" s="91"/>
      <c r="W1005" s="91"/>
      <c r="X1005" s="91"/>
      <c r="Y1005" s="91"/>
      <c r="Z1005" s="91"/>
      <c r="AA1005" s="91"/>
      <c r="AB1005" s="91"/>
      <c r="AC1005" s="91"/>
      <c r="AD1005" s="91"/>
      <c r="AE1005" s="91"/>
      <c r="AF1005" s="91"/>
      <c r="AG1005" s="91"/>
      <c r="AH1005" s="91"/>
      <c r="AI1005" s="91"/>
      <c r="AJ1005" s="91"/>
      <c r="AK1005" s="91"/>
      <c r="AL1005" s="91"/>
      <c r="AM1005" s="91"/>
      <c r="AN1005" s="91"/>
      <c r="AO1005" s="91"/>
      <c r="AP1005" s="91"/>
      <c r="AQ1005" s="91"/>
      <c r="AR1005" s="91"/>
      <c r="AS1005" s="91"/>
      <c r="AT1005" s="91"/>
      <c r="AU1005" s="91"/>
      <c r="AV1005" s="91"/>
      <c r="AW1005" s="91"/>
      <c r="AX1005" s="91"/>
      <c r="AY1005" s="91"/>
      <c r="AZ1005" s="91"/>
      <c r="BA1005" s="91"/>
      <c r="BB1005" s="91"/>
      <c r="BC1005" s="91"/>
      <c r="BD1005" s="91"/>
      <c r="BE1005" s="91"/>
      <c r="BF1005" s="92"/>
    </row>
    <row r="1006" spans="1:58" s="82" customFormat="1" ht="14.25" customHeight="1">
      <c r="A1006" s="941"/>
      <c r="B1006" s="960"/>
      <c r="C1006" s="571"/>
      <c r="D1006" s="84">
        <v>2019</v>
      </c>
      <c r="E1006" s="85">
        <f t="shared" si="357"/>
        <v>5.4999999999999997E-3</v>
      </c>
      <c r="F1006" s="85">
        <f t="shared" si="357"/>
        <v>5.4999999999999997E-3</v>
      </c>
      <c r="G1006" s="85">
        <f t="shared" si="357"/>
        <v>0</v>
      </c>
      <c r="H1006" s="85">
        <f t="shared" si="357"/>
        <v>0</v>
      </c>
      <c r="I1006" s="85">
        <f t="shared" si="357"/>
        <v>0</v>
      </c>
      <c r="J1006" s="85">
        <f t="shared" si="357"/>
        <v>0</v>
      </c>
      <c r="K1006" s="148">
        <v>0</v>
      </c>
      <c r="L1006" s="497">
        <f t="shared" si="354"/>
        <v>5.4999999999999997E-3</v>
      </c>
      <c r="M1006" s="407"/>
      <c r="N1006" s="88"/>
      <c r="O1006" s="408"/>
      <c r="P1006" s="685"/>
      <c r="Q1006" s="91"/>
      <c r="R1006" s="91"/>
      <c r="S1006" s="91"/>
      <c r="T1006" s="91"/>
      <c r="U1006" s="91"/>
      <c r="V1006" s="91"/>
      <c r="W1006" s="91"/>
      <c r="X1006" s="91"/>
      <c r="Y1006" s="91"/>
      <c r="Z1006" s="91"/>
      <c r="AA1006" s="91"/>
      <c r="AB1006" s="91"/>
      <c r="AC1006" s="91"/>
      <c r="AD1006" s="91"/>
      <c r="AE1006" s="91"/>
      <c r="AF1006" s="91"/>
      <c r="AG1006" s="91"/>
      <c r="AH1006" s="91"/>
      <c r="AI1006" s="91"/>
      <c r="AJ1006" s="91"/>
      <c r="AK1006" s="91"/>
      <c r="AL1006" s="91"/>
      <c r="AM1006" s="91"/>
      <c r="AN1006" s="91"/>
      <c r="AO1006" s="91"/>
      <c r="AP1006" s="91"/>
      <c r="AQ1006" s="91"/>
      <c r="AR1006" s="91"/>
      <c r="AS1006" s="91"/>
      <c r="AT1006" s="91"/>
      <c r="AU1006" s="91"/>
      <c r="AV1006" s="91"/>
      <c r="AW1006" s="91"/>
      <c r="AX1006" s="91"/>
      <c r="AY1006" s="91"/>
      <c r="AZ1006" s="91"/>
      <c r="BA1006" s="91"/>
      <c r="BB1006" s="91"/>
      <c r="BC1006" s="91"/>
      <c r="BD1006" s="91"/>
      <c r="BE1006" s="91"/>
      <c r="BF1006" s="92"/>
    </row>
    <row r="1007" spans="1:58" s="82" customFormat="1" ht="14.25" customHeight="1">
      <c r="A1007" s="941"/>
      <c r="B1007" s="960"/>
      <c r="C1007" s="1245" t="s">
        <v>956</v>
      </c>
      <c r="D1007" s="84">
        <v>2020</v>
      </c>
      <c r="E1007" s="85">
        <f t="shared" si="357"/>
        <v>7.3419999999999999E-2</v>
      </c>
      <c r="F1007" s="85">
        <f t="shared" si="357"/>
        <v>7.3419999999999999E-2</v>
      </c>
      <c r="G1007" s="85">
        <f t="shared" si="357"/>
        <v>0</v>
      </c>
      <c r="H1007" s="85">
        <f t="shared" si="357"/>
        <v>0</v>
      </c>
      <c r="I1007" s="85">
        <f t="shared" si="357"/>
        <v>0</v>
      </c>
      <c r="J1007" s="85">
        <f t="shared" si="357"/>
        <v>0</v>
      </c>
      <c r="K1007" s="148">
        <v>0</v>
      </c>
      <c r="L1007" s="497">
        <f t="shared" si="354"/>
        <v>7.3419999999999999E-2</v>
      </c>
      <c r="M1007" s="407"/>
      <c r="N1007" s="88"/>
      <c r="O1007" s="408"/>
      <c r="P1007" s="685"/>
      <c r="Q1007" s="91"/>
      <c r="R1007" s="91"/>
      <c r="S1007" s="91"/>
      <c r="T1007" s="91"/>
      <c r="U1007" s="91"/>
      <c r="V1007" s="91"/>
      <c r="W1007" s="91"/>
      <c r="X1007" s="91"/>
      <c r="Y1007" s="91"/>
      <c r="Z1007" s="91"/>
      <c r="AA1007" s="91"/>
      <c r="AB1007" s="91"/>
      <c r="AC1007" s="91"/>
      <c r="AD1007" s="91"/>
      <c r="AE1007" s="91"/>
      <c r="AF1007" s="91"/>
      <c r="AG1007" s="91"/>
      <c r="AH1007" s="91"/>
      <c r="AI1007" s="91"/>
      <c r="AJ1007" s="91"/>
      <c r="AK1007" s="91"/>
      <c r="AL1007" s="91"/>
      <c r="AM1007" s="91"/>
      <c r="AN1007" s="91"/>
      <c r="AO1007" s="91"/>
      <c r="AP1007" s="91"/>
      <c r="AQ1007" s="91"/>
      <c r="AR1007" s="91"/>
      <c r="AS1007" s="91"/>
      <c r="AT1007" s="91"/>
      <c r="AU1007" s="91"/>
      <c r="AV1007" s="91"/>
      <c r="AW1007" s="91"/>
      <c r="AX1007" s="91"/>
      <c r="AY1007" s="91"/>
      <c r="AZ1007" s="91"/>
      <c r="BA1007" s="91"/>
      <c r="BB1007" s="91"/>
      <c r="BC1007" s="91"/>
      <c r="BD1007" s="91"/>
      <c r="BE1007" s="91"/>
      <c r="BF1007" s="92"/>
    </row>
    <row r="1008" spans="1:58" s="82" customFormat="1" ht="14.25" customHeight="1">
      <c r="A1008" s="941"/>
      <c r="B1008" s="960"/>
      <c r="C1008" s="1245"/>
      <c r="D1008" s="84">
        <v>2021</v>
      </c>
      <c r="E1008" s="85">
        <f t="shared" si="357"/>
        <v>7.7000000000000002E-3</v>
      </c>
      <c r="F1008" s="85">
        <f t="shared" si="357"/>
        <v>7.7000000000000002E-3</v>
      </c>
      <c r="G1008" s="85">
        <f t="shared" si="357"/>
        <v>0</v>
      </c>
      <c r="H1008" s="85">
        <f t="shared" si="357"/>
        <v>0</v>
      </c>
      <c r="I1008" s="85">
        <f t="shared" si="357"/>
        <v>0</v>
      </c>
      <c r="J1008" s="85">
        <f t="shared" si="357"/>
        <v>0</v>
      </c>
      <c r="K1008" s="148">
        <v>0</v>
      </c>
      <c r="L1008" s="497">
        <f t="shared" si="354"/>
        <v>7.7000000000000002E-3</v>
      </c>
      <c r="M1008" s="407"/>
      <c r="N1008" s="88"/>
      <c r="O1008" s="408"/>
      <c r="P1008" s="685"/>
      <c r="Q1008" s="91"/>
      <c r="R1008" s="91"/>
      <c r="S1008" s="91"/>
      <c r="T1008" s="91"/>
      <c r="U1008" s="91"/>
      <c r="V1008" s="91"/>
      <c r="W1008" s="91"/>
      <c r="X1008" s="91"/>
      <c r="Y1008" s="91"/>
      <c r="Z1008" s="91"/>
      <c r="AA1008" s="91"/>
      <c r="AB1008" s="91"/>
      <c r="AC1008" s="91"/>
      <c r="AD1008" s="91"/>
      <c r="AE1008" s="91"/>
      <c r="AF1008" s="91"/>
      <c r="AG1008" s="91"/>
      <c r="AH1008" s="91"/>
      <c r="AI1008" s="91"/>
      <c r="AJ1008" s="91"/>
      <c r="AK1008" s="91"/>
      <c r="AL1008" s="91"/>
      <c r="AM1008" s="91"/>
      <c r="AN1008" s="91"/>
      <c r="AO1008" s="91"/>
      <c r="AP1008" s="91"/>
      <c r="AQ1008" s="91"/>
      <c r="AR1008" s="91"/>
      <c r="AS1008" s="91"/>
      <c r="AT1008" s="91"/>
      <c r="AU1008" s="91"/>
      <c r="AV1008" s="91"/>
      <c r="AW1008" s="91"/>
      <c r="AX1008" s="91"/>
      <c r="AY1008" s="91"/>
      <c r="AZ1008" s="91"/>
      <c r="BA1008" s="91"/>
      <c r="BB1008" s="91"/>
      <c r="BC1008" s="91"/>
      <c r="BD1008" s="91"/>
      <c r="BE1008" s="91"/>
      <c r="BF1008" s="92"/>
    </row>
    <row r="1009" spans="1:58" s="82" customFormat="1" ht="14.25" customHeight="1">
      <c r="A1009" s="941"/>
      <c r="B1009" s="960"/>
      <c r="C1009" s="1245"/>
      <c r="D1009" s="84">
        <v>2022</v>
      </c>
      <c r="E1009" s="85">
        <f t="shared" si="357"/>
        <v>7.9000000000000008E-3</v>
      </c>
      <c r="F1009" s="85">
        <f t="shared" si="357"/>
        <v>7.9000000000000008E-3</v>
      </c>
      <c r="G1009" s="85">
        <f t="shared" si="357"/>
        <v>0</v>
      </c>
      <c r="H1009" s="85">
        <f t="shared" si="357"/>
        <v>0</v>
      </c>
      <c r="I1009" s="85">
        <f t="shared" si="357"/>
        <v>0</v>
      </c>
      <c r="J1009" s="85">
        <f t="shared" si="357"/>
        <v>0</v>
      </c>
      <c r="K1009" s="148">
        <v>0</v>
      </c>
      <c r="L1009" s="497">
        <f t="shared" si="354"/>
        <v>7.9000000000000008E-3</v>
      </c>
      <c r="M1009" s="407"/>
      <c r="N1009" s="88"/>
      <c r="O1009" s="408"/>
      <c r="P1009" s="685"/>
      <c r="Q1009" s="91"/>
      <c r="R1009" s="91"/>
      <c r="S1009" s="91"/>
      <c r="T1009" s="91"/>
      <c r="U1009" s="91"/>
      <c r="V1009" s="91"/>
      <c r="W1009" s="91"/>
      <c r="X1009" s="91"/>
      <c r="Y1009" s="91"/>
      <c r="Z1009" s="91"/>
      <c r="AA1009" s="91"/>
      <c r="AB1009" s="91"/>
      <c r="AC1009" s="91"/>
      <c r="AD1009" s="91"/>
      <c r="AE1009" s="91"/>
      <c r="AF1009" s="91"/>
      <c r="AG1009" s="91"/>
      <c r="AH1009" s="91"/>
      <c r="AI1009" s="91"/>
      <c r="AJ1009" s="91"/>
      <c r="AK1009" s="91"/>
      <c r="AL1009" s="91"/>
      <c r="AM1009" s="91"/>
      <c r="AN1009" s="91"/>
      <c r="AO1009" s="91"/>
      <c r="AP1009" s="91"/>
      <c r="AQ1009" s="91"/>
      <c r="AR1009" s="91"/>
      <c r="AS1009" s="91"/>
      <c r="AT1009" s="91"/>
      <c r="AU1009" s="91"/>
      <c r="AV1009" s="91"/>
      <c r="AW1009" s="91"/>
      <c r="AX1009" s="91"/>
      <c r="AY1009" s="91"/>
      <c r="AZ1009" s="91"/>
      <c r="BA1009" s="91"/>
      <c r="BB1009" s="91"/>
      <c r="BC1009" s="91"/>
      <c r="BD1009" s="91"/>
      <c r="BE1009" s="91"/>
      <c r="BF1009" s="92"/>
    </row>
    <row r="1010" spans="1:58" s="82" customFormat="1" ht="14.25" customHeight="1">
      <c r="A1010" s="941"/>
      <c r="B1010" s="960"/>
      <c r="C1010" s="1245"/>
      <c r="D1010" s="84">
        <v>2023</v>
      </c>
      <c r="E1010" s="85">
        <f t="shared" si="357"/>
        <v>8.0000000000000002E-3</v>
      </c>
      <c r="F1010" s="85">
        <f t="shared" si="357"/>
        <v>8.0000000000000002E-3</v>
      </c>
      <c r="G1010" s="85">
        <f t="shared" si="357"/>
        <v>0</v>
      </c>
      <c r="H1010" s="85">
        <f t="shared" si="357"/>
        <v>0</v>
      </c>
      <c r="I1010" s="85">
        <f t="shared" si="357"/>
        <v>0</v>
      </c>
      <c r="J1010" s="85">
        <f t="shared" si="357"/>
        <v>0</v>
      </c>
      <c r="K1010" s="148">
        <v>0</v>
      </c>
      <c r="L1010" s="497">
        <f t="shared" si="354"/>
        <v>8.0000000000000002E-3</v>
      </c>
      <c r="M1010" s="407"/>
      <c r="N1010" s="88"/>
      <c r="O1010" s="408"/>
      <c r="P1010" s="685"/>
      <c r="Q1010" s="91"/>
      <c r="R1010" s="91"/>
      <c r="S1010" s="91"/>
      <c r="T1010" s="91"/>
      <c r="U1010" s="91"/>
      <c r="V1010" s="91"/>
      <c r="W1010" s="91"/>
      <c r="X1010" s="91"/>
      <c r="Y1010" s="91"/>
      <c r="Z1010" s="91"/>
      <c r="AA1010" s="91"/>
      <c r="AB1010" s="91"/>
      <c r="AC1010" s="91"/>
      <c r="AD1010" s="91"/>
      <c r="AE1010" s="91"/>
      <c r="AF1010" s="91"/>
      <c r="AG1010" s="91"/>
      <c r="AH1010" s="91"/>
      <c r="AI1010" s="91"/>
      <c r="AJ1010" s="91"/>
      <c r="AK1010" s="91"/>
      <c r="AL1010" s="91"/>
      <c r="AM1010" s="91"/>
      <c r="AN1010" s="91"/>
      <c r="AO1010" s="91"/>
      <c r="AP1010" s="91"/>
      <c r="AQ1010" s="91"/>
      <c r="AR1010" s="91"/>
      <c r="AS1010" s="91"/>
      <c r="AT1010" s="91"/>
      <c r="AU1010" s="91"/>
      <c r="AV1010" s="91"/>
      <c r="AW1010" s="91"/>
      <c r="AX1010" s="91"/>
      <c r="AY1010" s="91"/>
      <c r="AZ1010" s="91"/>
      <c r="BA1010" s="91"/>
      <c r="BB1010" s="91"/>
      <c r="BC1010" s="91"/>
      <c r="BD1010" s="91"/>
      <c r="BE1010" s="91"/>
      <c r="BF1010" s="92"/>
    </row>
    <row r="1011" spans="1:58" s="82" customFormat="1" ht="14.25" customHeight="1">
      <c r="A1011" s="941"/>
      <c r="B1011" s="960"/>
      <c r="C1011" s="1245"/>
      <c r="D1011" s="84">
        <v>2024</v>
      </c>
      <c r="E1011" s="85">
        <f t="shared" si="357"/>
        <v>0.1036</v>
      </c>
      <c r="F1011" s="85">
        <f t="shared" si="357"/>
        <v>0.1036</v>
      </c>
      <c r="G1011" s="85">
        <f t="shared" si="357"/>
        <v>0</v>
      </c>
      <c r="H1011" s="85">
        <f t="shared" si="357"/>
        <v>0</v>
      </c>
      <c r="I1011" s="85">
        <f t="shared" si="357"/>
        <v>0</v>
      </c>
      <c r="J1011" s="85">
        <f t="shared" si="357"/>
        <v>0</v>
      </c>
      <c r="K1011" s="148">
        <v>0</v>
      </c>
      <c r="L1011" s="497">
        <f t="shared" si="354"/>
        <v>0.1036</v>
      </c>
      <c r="M1011" s="407"/>
      <c r="N1011" s="88"/>
      <c r="O1011" s="408"/>
      <c r="P1011" s="685"/>
      <c r="Q1011" s="91"/>
      <c r="R1011" s="91"/>
      <c r="S1011" s="91"/>
      <c r="T1011" s="91"/>
      <c r="U1011" s="91"/>
      <c r="V1011" s="91"/>
      <c r="W1011" s="91"/>
      <c r="X1011" s="91"/>
      <c r="Y1011" s="91"/>
      <c r="Z1011" s="91"/>
      <c r="AA1011" s="91"/>
      <c r="AB1011" s="91"/>
      <c r="AC1011" s="91"/>
      <c r="AD1011" s="91"/>
      <c r="AE1011" s="91"/>
      <c r="AF1011" s="91"/>
      <c r="AG1011" s="91"/>
      <c r="AH1011" s="91"/>
      <c r="AI1011" s="91"/>
      <c r="AJ1011" s="91"/>
      <c r="AK1011" s="91"/>
      <c r="AL1011" s="91"/>
      <c r="AM1011" s="91"/>
      <c r="AN1011" s="91"/>
      <c r="AO1011" s="91"/>
      <c r="AP1011" s="91"/>
      <c r="AQ1011" s="91"/>
      <c r="AR1011" s="91"/>
      <c r="AS1011" s="91"/>
      <c r="AT1011" s="91"/>
      <c r="AU1011" s="91"/>
      <c r="AV1011" s="91"/>
      <c r="AW1011" s="91"/>
      <c r="AX1011" s="91"/>
      <c r="AY1011" s="91"/>
      <c r="AZ1011" s="91"/>
      <c r="BA1011" s="91"/>
      <c r="BB1011" s="91"/>
      <c r="BC1011" s="91"/>
      <c r="BD1011" s="91"/>
      <c r="BE1011" s="91"/>
      <c r="BF1011" s="92"/>
    </row>
    <row r="1012" spans="1:58" s="82" customFormat="1" ht="14.25" customHeight="1">
      <c r="A1012" s="941"/>
      <c r="B1012" s="960"/>
      <c r="C1012" s="1245"/>
      <c r="D1012" s="84">
        <v>2025</v>
      </c>
      <c r="E1012" s="85">
        <f t="shared" si="357"/>
        <v>0.1077</v>
      </c>
      <c r="F1012" s="85">
        <f t="shared" si="357"/>
        <v>0.1077</v>
      </c>
      <c r="G1012" s="85">
        <f t="shared" si="357"/>
        <v>0</v>
      </c>
      <c r="H1012" s="85">
        <f t="shared" si="357"/>
        <v>0</v>
      </c>
      <c r="I1012" s="85">
        <f t="shared" si="357"/>
        <v>0</v>
      </c>
      <c r="J1012" s="85">
        <f t="shared" si="357"/>
        <v>0</v>
      </c>
      <c r="K1012" s="148">
        <v>0</v>
      </c>
      <c r="L1012" s="497">
        <f t="shared" si="354"/>
        <v>0.1077</v>
      </c>
      <c r="M1012" s="407"/>
      <c r="N1012" s="88"/>
      <c r="O1012" s="408"/>
      <c r="P1012" s="685"/>
      <c r="Q1012" s="91"/>
      <c r="R1012" s="91"/>
      <c r="S1012" s="91"/>
      <c r="T1012" s="91"/>
      <c r="U1012" s="91"/>
      <c r="V1012" s="91"/>
      <c r="W1012" s="91"/>
      <c r="X1012" s="91"/>
      <c r="Y1012" s="91"/>
      <c r="Z1012" s="91"/>
      <c r="AA1012" s="91"/>
      <c r="AB1012" s="91"/>
      <c r="AC1012" s="91"/>
      <c r="AD1012" s="91"/>
      <c r="AE1012" s="91"/>
      <c r="AF1012" s="91"/>
      <c r="AG1012" s="91"/>
      <c r="AH1012" s="91"/>
      <c r="AI1012" s="91"/>
      <c r="AJ1012" s="91"/>
      <c r="AK1012" s="91"/>
      <c r="AL1012" s="91"/>
      <c r="AM1012" s="91"/>
      <c r="AN1012" s="91"/>
      <c r="AO1012" s="91"/>
      <c r="AP1012" s="91"/>
      <c r="AQ1012" s="91"/>
      <c r="AR1012" s="91"/>
      <c r="AS1012" s="91"/>
      <c r="AT1012" s="91"/>
      <c r="AU1012" s="91"/>
      <c r="AV1012" s="91"/>
      <c r="AW1012" s="91"/>
      <c r="AX1012" s="91"/>
      <c r="AY1012" s="91"/>
      <c r="AZ1012" s="91"/>
      <c r="BA1012" s="91"/>
      <c r="BB1012" s="91"/>
      <c r="BC1012" s="91"/>
      <c r="BD1012" s="91"/>
      <c r="BE1012" s="91"/>
      <c r="BF1012" s="92"/>
    </row>
    <row r="1013" spans="1:58" s="82" customFormat="1" ht="14.25" customHeight="1">
      <c r="A1013" s="941"/>
      <c r="B1013" s="960"/>
      <c r="C1013" s="571"/>
      <c r="D1013" s="84">
        <v>2026</v>
      </c>
      <c r="E1013" s="85">
        <f t="shared" si="357"/>
        <v>0.112</v>
      </c>
      <c r="F1013" s="85">
        <f t="shared" si="357"/>
        <v>0.112</v>
      </c>
      <c r="G1013" s="85">
        <f t="shared" si="357"/>
        <v>0</v>
      </c>
      <c r="H1013" s="85">
        <f t="shared" si="357"/>
        <v>0</v>
      </c>
      <c r="I1013" s="85">
        <f t="shared" si="357"/>
        <v>0</v>
      </c>
      <c r="J1013" s="85">
        <f t="shared" si="357"/>
        <v>0</v>
      </c>
      <c r="K1013" s="148">
        <v>0</v>
      </c>
      <c r="L1013" s="497">
        <f t="shared" si="354"/>
        <v>0.112</v>
      </c>
      <c r="M1013" s="407"/>
      <c r="N1013" s="88"/>
      <c r="O1013" s="408"/>
      <c r="P1013" s="685"/>
      <c r="Q1013" s="91"/>
      <c r="R1013" s="91"/>
      <c r="S1013" s="91"/>
      <c r="T1013" s="91"/>
      <c r="U1013" s="91"/>
      <c r="V1013" s="91"/>
      <c r="W1013" s="91"/>
      <c r="X1013" s="91"/>
      <c r="Y1013" s="91"/>
      <c r="Z1013" s="91"/>
      <c r="AA1013" s="91"/>
      <c r="AB1013" s="91"/>
      <c r="AC1013" s="91"/>
      <c r="AD1013" s="91"/>
      <c r="AE1013" s="91"/>
      <c r="AF1013" s="91"/>
      <c r="AG1013" s="91"/>
      <c r="AH1013" s="91"/>
      <c r="AI1013" s="91"/>
      <c r="AJ1013" s="91"/>
      <c r="AK1013" s="91"/>
      <c r="AL1013" s="91"/>
      <c r="AM1013" s="91"/>
      <c r="AN1013" s="91"/>
      <c r="AO1013" s="91"/>
      <c r="AP1013" s="91"/>
      <c r="AQ1013" s="91"/>
      <c r="AR1013" s="91"/>
      <c r="AS1013" s="91"/>
      <c r="AT1013" s="91"/>
      <c r="AU1013" s="91"/>
      <c r="AV1013" s="91"/>
      <c r="AW1013" s="91"/>
      <c r="AX1013" s="91"/>
      <c r="AY1013" s="91"/>
      <c r="AZ1013" s="91"/>
      <c r="BA1013" s="91"/>
      <c r="BB1013" s="91"/>
      <c r="BC1013" s="91"/>
      <c r="BD1013" s="91"/>
      <c r="BE1013" s="91"/>
      <c r="BF1013" s="92"/>
    </row>
    <row r="1014" spans="1:58" s="82" customFormat="1" ht="14.25" customHeight="1">
      <c r="A1014" s="941"/>
      <c r="B1014" s="960"/>
      <c r="C1014" s="1245" t="s">
        <v>970</v>
      </c>
      <c r="D1014" s="84">
        <v>2027</v>
      </c>
      <c r="E1014" s="85">
        <f t="shared" si="357"/>
        <v>0.11650000000000001</v>
      </c>
      <c r="F1014" s="85">
        <f t="shared" si="357"/>
        <v>0.11650000000000001</v>
      </c>
      <c r="G1014" s="85">
        <f t="shared" si="357"/>
        <v>0</v>
      </c>
      <c r="H1014" s="85">
        <f t="shared" si="357"/>
        <v>0</v>
      </c>
      <c r="I1014" s="85">
        <f t="shared" si="357"/>
        <v>0</v>
      </c>
      <c r="J1014" s="85">
        <f t="shared" si="357"/>
        <v>0</v>
      </c>
      <c r="K1014" s="148">
        <v>0</v>
      </c>
      <c r="L1014" s="497">
        <f t="shared" si="354"/>
        <v>0.11650000000000001</v>
      </c>
      <c r="M1014" s="407"/>
      <c r="N1014" s="88"/>
      <c r="O1014" s="408"/>
      <c r="P1014" s="685"/>
      <c r="Q1014" s="91"/>
      <c r="R1014" s="91"/>
      <c r="S1014" s="91"/>
      <c r="T1014" s="91"/>
      <c r="U1014" s="91"/>
      <c r="V1014" s="91"/>
      <c r="W1014" s="91"/>
      <c r="X1014" s="91"/>
      <c r="Y1014" s="91"/>
      <c r="Z1014" s="91"/>
      <c r="AA1014" s="91"/>
      <c r="AB1014" s="91"/>
      <c r="AC1014" s="91"/>
      <c r="AD1014" s="91"/>
      <c r="AE1014" s="91"/>
      <c r="AF1014" s="91"/>
      <c r="AG1014" s="91"/>
      <c r="AH1014" s="91"/>
      <c r="AI1014" s="91"/>
      <c r="AJ1014" s="91"/>
      <c r="AK1014" s="91"/>
      <c r="AL1014" s="91"/>
      <c r="AM1014" s="91"/>
      <c r="AN1014" s="91"/>
      <c r="AO1014" s="91"/>
      <c r="AP1014" s="91"/>
      <c r="AQ1014" s="91"/>
      <c r="AR1014" s="91"/>
      <c r="AS1014" s="91"/>
      <c r="AT1014" s="91"/>
      <c r="AU1014" s="91"/>
      <c r="AV1014" s="91"/>
      <c r="AW1014" s="91"/>
      <c r="AX1014" s="91"/>
      <c r="AY1014" s="91"/>
      <c r="AZ1014" s="91"/>
      <c r="BA1014" s="91"/>
      <c r="BB1014" s="91"/>
      <c r="BC1014" s="91"/>
      <c r="BD1014" s="91"/>
      <c r="BE1014" s="91"/>
      <c r="BF1014" s="92"/>
    </row>
    <row r="1015" spans="1:58" s="82" customFormat="1" ht="14.25" customHeight="1">
      <c r="A1015" s="941"/>
      <c r="B1015" s="960"/>
      <c r="C1015" s="1245"/>
      <c r="D1015" s="84">
        <v>2028</v>
      </c>
      <c r="E1015" s="85">
        <f t="shared" si="357"/>
        <v>0.1212</v>
      </c>
      <c r="F1015" s="85">
        <f t="shared" si="357"/>
        <v>0.1212</v>
      </c>
      <c r="G1015" s="85">
        <f t="shared" si="357"/>
        <v>0</v>
      </c>
      <c r="H1015" s="85">
        <f t="shared" si="357"/>
        <v>0</v>
      </c>
      <c r="I1015" s="85">
        <f t="shared" si="357"/>
        <v>0</v>
      </c>
      <c r="J1015" s="85">
        <f t="shared" si="357"/>
        <v>0</v>
      </c>
      <c r="K1015" s="148">
        <v>0</v>
      </c>
      <c r="L1015" s="497">
        <f t="shared" si="354"/>
        <v>0.1212</v>
      </c>
      <c r="M1015" s="407"/>
      <c r="N1015" s="88"/>
      <c r="O1015" s="408"/>
      <c r="P1015" s="685"/>
      <c r="Q1015" s="91"/>
      <c r="R1015" s="91"/>
      <c r="S1015" s="91"/>
      <c r="T1015" s="91"/>
      <c r="U1015" s="91"/>
      <c r="V1015" s="91"/>
      <c r="W1015" s="91"/>
      <c r="X1015" s="91"/>
      <c r="Y1015" s="91"/>
      <c r="Z1015" s="91"/>
      <c r="AA1015" s="91"/>
      <c r="AB1015" s="91"/>
      <c r="AC1015" s="91"/>
      <c r="AD1015" s="91"/>
      <c r="AE1015" s="91"/>
      <c r="AF1015" s="91"/>
      <c r="AG1015" s="91"/>
      <c r="AH1015" s="91"/>
      <c r="AI1015" s="91"/>
      <c r="AJ1015" s="91"/>
      <c r="AK1015" s="91"/>
      <c r="AL1015" s="91"/>
      <c r="AM1015" s="91"/>
      <c r="AN1015" s="91"/>
      <c r="AO1015" s="91"/>
      <c r="AP1015" s="91"/>
      <c r="AQ1015" s="91"/>
      <c r="AR1015" s="91"/>
      <c r="AS1015" s="91"/>
      <c r="AT1015" s="91"/>
      <c r="AU1015" s="91"/>
      <c r="AV1015" s="91"/>
      <c r="AW1015" s="91"/>
      <c r="AX1015" s="91"/>
      <c r="AY1015" s="91"/>
      <c r="AZ1015" s="91"/>
      <c r="BA1015" s="91"/>
      <c r="BB1015" s="91"/>
      <c r="BC1015" s="91"/>
      <c r="BD1015" s="91"/>
      <c r="BE1015" s="91"/>
      <c r="BF1015" s="92"/>
    </row>
    <row r="1016" spans="1:58" s="82" customFormat="1" ht="14.25" customHeight="1">
      <c r="A1016" s="941"/>
      <c r="B1016" s="960"/>
      <c r="C1016" s="1245"/>
      <c r="D1016" s="84">
        <v>2029</v>
      </c>
      <c r="E1016" s="85">
        <f t="shared" si="357"/>
        <v>0.126</v>
      </c>
      <c r="F1016" s="85">
        <f t="shared" si="357"/>
        <v>0.126</v>
      </c>
      <c r="G1016" s="85">
        <f t="shared" si="357"/>
        <v>0</v>
      </c>
      <c r="H1016" s="85">
        <f t="shared" si="357"/>
        <v>0</v>
      </c>
      <c r="I1016" s="85">
        <f t="shared" si="357"/>
        <v>0</v>
      </c>
      <c r="J1016" s="85">
        <f t="shared" si="357"/>
        <v>0</v>
      </c>
      <c r="K1016" s="148">
        <v>0</v>
      </c>
      <c r="L1016" s="497">
        <f t="shared" ref="L1016:L1047" si="358">F1016+G1016+H1016+I1016+J1016</f>
        <v>0.126</v>
      </c>
      <c r="M1016" s="407"/>
      <c r="N1016" s="88"/>
      <c r="O1016" s="408"/>
      <c r="P1016" s="685"/>
      <c r="Q1016" s="91"/>
      <c r="R1016" s="91"/>
      <c r="S1016" s="91"/>
      <c r="T1016" s="91"/>
      <c r="U1016" s="91"/>
      <c r="V1016" s="91"/>
      <c r="W1016" s="91"/>
      <c r="X1016" s="91"/>
      <c r="Y1016" s="91"/>
      <c r="Z1016" s="91"/>
      <c r="AA1016" s="91"/>
      <c r="AB1016" s="91"/>
      <c r="AC1016" s="91"/>
      <c r="AD1016" s="91"/>
      <c r="AE1016" s="91"/>
      <c r="AF1016" s="91"/>
      <c r="AG1016" s="91"/>
      <c r="AH1016" s="91"/>
      <c r="AI1016" s="91"/>
      <c r="AJ1016" s="91"/>
      <c r="AK1016" s="91"/>
      <c r="AL1016" s="91"/>
      <c r="AM1016" s="91"/>
      <c r="AN1016" s="91"/>
      <c r="AO1016" s="91"/>
      <c r="AP1016" s="91"/>
      <c r="AQ1016" s="91"/>
      <c r="AR1016" s="91"/>
      <c r="AS1016" s="91"/>
      <c r="AT1016" s="91"/>
      <c r="AU1016" s="91"/>
      <c r="AV1016" s="91"/>
      <c r="AW1016" s="91"/>
      <c r="AX1016" s="91"/>
      <c r="AY1016" s="91"/>
      <c r="AZ1016" s="91"/>
      <c r="BA1016" s="91"/>
      <c r="BB1016" s="91"/>
      <c r="BC1016" s="91"/>
      <c r="BD1016" s="91"/>
      <c r="BE1016" s="91"/>
      <c r="BF1016" s="92"/>
    </row>
    <row r="1017" spans="1:58" s="82" customFormat="1" ht="14.25" customHeight="1">
      <c r="A1017" s="942"/>
      <c r="B1017" s="961"/>
      <c r="C1017" s="1245"/>
      <c r="D1017" s="84">
        <v>2030</v>
      </c>
      <c r="E1017" s="85">
        <f t="shared" si="357"/>
        <v>0.13100000000000001</v>
      </c>
      <c r="F1017" s="85">
        <f t="shared" si="357"/>
        <v>0.13100000000000001</v>
      </c>
      <c r="G1017" s="85">
        <f t="shared" si="357"/>
        <v>0</v>
      </c>
      <c r="H1017" s="85">
        <f t="shared" si="357"/>
        <v>0</v>
      </c>
      <c r="I1017" s="85">
        <f t="shared" si="357"/>
        <v>0</v>
      </c>
      <c r="J1017" s="85">
        <f t="shared" si="357"/>
        <v>0</v>
      </c>
      <c r="K1017" s="148">
        <v>0</v>
      </c>
      <c r="L1017" s="497">
        <f t="shared" si="358"/>
        <v>0.13100000000000001</v>
      </c>
      <c r="M1017" s="407"/>
      <c r="N1017" s="88"/>
      <c r="O1017" s="408"/>
      <c r="P1017" s="685"/>
      <c r="Q1017" s="91"/>
      <c r="R1017" s="91"/>
      <c r="S1017" s="91"/>
      <c r="T1017" s="91"/>
      <c r="U1017" s="91"/>
      <c r="V1017" s="91"/>
      <c r="W1017" s="91"/>
      <c r="X1017" s="91"/>
      <c r="Y1017" s="91"/>
      <c r="Z1017" s="91"/>
      <c r="AA1017" s="91"/>
      <c r="AB1017" s="91"/>
      <c r="AC1017" s="91"/>
      <c r="AD1017" s="91"/>
      <c r="AE1017" s="91"/>
      <c r="AF1017" s="91"/>
      <c r="AG1017" s="91"/>
      <c r="AH1017" s="91"/>
      <c r="AI1017" s="91"/>
      <c r="AJ1017" s="91"/>
      <c r="AK1017" s="91"/>
      <c r="AL1017" s="91"/>
      <c r="AM1017" s="91"/>
      <c r="AN1017" s="91"/>
      <c r="AO1017" s="91"/>
      <c r="AP1017" s="91"/>
      <c r="AQ1017" s="91"/>
      <c r="AR1017" s="91"/>
      <c r="AS1017" s="91"/>
      <c r="AT1017" s="91"/>
      <c r="AU1017" s="91"/>
      <c r="AV1017" s="91"/>
      <c r="AW1017" s="91"/>
      <c r="AX1017" s="91"/>
      <c r="AY1017" s="91"/>
      <c r="AZ1017" s="91"/>
      <c r="BA1017" s="91"/>
      <c r="BB1017" s="91"/>
      <c r="BC1017" s="91"/>
      <c r="BD1017" s="91"/>
      <c r="BE1017" s="91"/>
      <c r="BF1017" s="92"/>
    </row>
    <row r="1018" spans="1:58" s="82" customFormat="1" ht="21.75" customHeight="1">
      <c r="A1018" s="1069" t="s">
        <v>1340</v>
      </c>
      <c r="B1018" s="1080" t="s">
        <v>972</v>
      </c>
      <c r="C1018" s="611"/>
      <c r="D1018" s="84" t="s">
        <v>16</v>
      </c>
      <c r="E1018" s="85">
        <f t="shared" ref="E1018:J1018" si="359">E1019+E1020+E1021+E1022+E1023+E1024+E1025+E1026+E1027+E1028+E1029+E1030</f>
        <v>0.92052</v>
      </c>
      <c r="F1018" s="85">
        <f t="shared" si="359"/>
        <v>0.92052</v>
      </c>
      <c r="G1018" s="85">
        <f t="shared" si="359"/>
        <v>0</v>
      </c>
      <c r="H1018" s="85">
        <f t="shared" si="359"/>
        <v>0</v>
      </c>
      <c r="I1018" s="85">
        <f t="shared" si="359"/>
        <v>0</v>
      </c>
      <c r="J1018" s="85">
        <f t="shared" si="359"/>
        <v>0</v>
      </c>
      <c r="K1018" s="148">
        <v>0</v>
      </c>
      <c r="L1018" s="497">
        <f t="shared" si="358"/>
        <v>0.92052</v>
      </c>
      <c r="M1018" s="407"/>
      <c r="N1018" s="88"/>
      <c r="O1018" s="408"/>
      <c r="P1018" s="1286" t="s">
        <v>527</v>
      </c>
      <c r="Q1018" s="91"/>
      <c r="R1018" s="91"/>
      <c r="S1018" s="91"/>
      <c r="T1018" s="91"/>
      <c r="U1018" s="91"/>
      <c r="V1018" s="91"/>
      <c r="W1018" s="91"/>
      <c r="X1018" s="91"/>
      <c r="Y1018" s="91"/>
      <c r="Z1018" s="91"/>
      <c r="AA1018" s="91"/>
      <c r="AB1018" s="91"/>
      <c r="AC1018" s="91"/>
      <c r="AD1018" s="91"/>
      <c r="AE1018" s="91"/>
      <c r="AF1018" s="91"/>
      <c r="AG1018" s="91"/>
      <c r="AH1018" s="91"/>
      <c r="AI1018" s="91"/>
      <c r="AJ1018" s="91"/>
      <c r="AK1018" s="91"/>
      <c r="AL1018" s="91"/>
      <c r="AM1018" s="91"/>
      <c r="AN1018" s="91"/>
      <c r="AO1018" s="91"/>
      <c r="AP1018" s="91"/>
      <c r="AQ1018" s="91"/>
      <c r="AR1018" s="91"/>
      <c r="AS1018" s="91"/>
      <c r="AT1018" s="91"/>
      <c r="AU1018" s="91"/>
      <c r="AV1018" s="91"/>
      <c r="AW1018" s="91"/>
      <c r="AX1018" s="91"/>
      <c r="AY1018" s="91"/>
      <c r="AZ1018" s="91"/>
      <c r="BA1018" s="91"/>
      <c r="BB1018" s="91"/>
      <c r="BC1018" s="91"/>
      <c r="BD1018" s="91"/>
      <c r="BE1018" s="91"/>
      <c r="BF1018" s="92"/>
    </row>
    <row r="1019" spans="1:58" s="82" customFormat="1" ht="14.25" customHeight="1">
      <c r="A1019" s="941"/>
      <c r="B1019" s="960"/>
      <c r="C1019" s="634" t="s">
        <v>955</v>
      </c>
      <c r="D1019" s="84">
        <v>2019</v>
      </c>
      <c r="E1019" s="85">
        <f t="shared" ref="E1019:E1030" si="360">F1019+G1019+H1019+I1019+J1019</f>
        <v>5.4999999999999997E-3</v>
      </c>
      <c r="F1019" s="85">
        <v>5.4999999999999997E-3</v>
      </c>
      <c r="G1019" s="85">
        <v>0</v>
      </c>
      <c r="H1019" s="85">
        <v>0</v>
      </c>
      <c r="I1019" s="85">
        <v>0</v>
      </c>
      <c r="J1019" s="85">
        <v>0</v>
      </c>
      <c r="K1019" s="148">
        <v>0</v>
      </c>
      <c r="L1019" s="497">
        <f t="shared" si="358"/>
        <v>5.4999999999999997E-3</v>
      </c>
      <c r="M1019" s="407"/>
      <c r="N1019" s="88"/>
      <c r="O1019" s="408"/>
      <c r="P1019" s="1300"/>
      <c r="Q1019" s="91"/>
      <c r="R1019" s="91"/>
      <c r="S1019" s="91"/>
      <c r="T1019" s="91"/>
      <c r="U1019" s="91"/>
      <c r="V1019" s="91"/>
      <c r="W1019" s="91"/>
      <c r="X1019" s="91"/>
      <c r="Y1019" s="91"/>
      <c r="Z1019" s="91"/>
      <c r="AA1019" s="91"/>
      <c r="AB1019" s="91"/>
      <c r="AC1019" s="91"/>
      <c r="AD1019" s="91"/>
      <c r="AE1019" s="91"/>
      <c r="AF1019" s="91"/>
      <c r="AG1019" s="91"/>
      <c r="AH1019" s="91"/>
      <c r="AI1019" s="91"/>
      <c r="AJ1019" s="91"/>
      <c r="AK1019" s="91"/>
      <c r="AL1019" s="91"/>
      <c r="AM1019" s="91"/>
      <c r="AN1019" s="91"/>
      <c r="AO1019" s="91"/>
      <c r="AP1019" s="91"/>
      <c r="AQ1019" s="91"/>
      <c r="AR1019" s="91"/>
      <c r="AS1019" s="91"/>
      <c r="AT1019" s="91"/>
      <c r="AU1019" s="91"/>
      <c r="AV1019" s="91"/>
      <c r="AW1019" s="91"/>
      <c r="AX1019" s="91"/>
      <c r="AY1019" s="91"/>
      <c r="AZ1019" s="91"/>
      <c r="BA1019" s="91"/>
      <c r="BB1019" s="91"/>
      <c r="BC1019" s="91"/>
      <c r="BD1019" s="91"/>
      <c r="BE1019" s="91"/>
      <c r="BF1019" s="92"/>
    </row>
    <row r="1020" spans="1:58" s="82" customFormat="1" ht="14.25" customHeight="1">
      <c r="A1020" s="941"/>
      <c r="B1020" s="960"/>
      <c r="C1020" s="1224" t="s">
        <v>956</v>
      </c>
      <c r="D1020" s="84">
        <v>2020</v>
      </c>
      <c r="E1020" s="85">
        <f t="shared" si="360"/>
        <v>7.3419999999999999E-2</v>
      </c>
      <c r="F1020" s="85">
        <v>7.3419999999999999E-2</v>
      </c>
      <c r="G1020" s="85">
        <v>0</v>
      </c>
      <c r="H1020" s="85">
        <v>0</v>
      </c>
      <c r="I1020" s="85">
        <v>0</v>
      </c>
      <c r="J1020" s="85">
        <v>0</v>
      </c>
      <c r="K1020" s="148">
        <v>0</v>
      </c>
      <c r="L1020" s="497">
        <f t="shared" si="358"/>
        <v>7.3419999999999999E-2</v>
      </c>
      <c r="M1020" s="407"/>
      <c r="N1020" s="88"/>
      <c r="O1020" s="408"/>
      <c r="P1020" s="1300"/>
      <c r="Q1020" s="91"/>
      <c r="R1020" s="91"/>
      <c r="S1020" s="91"/>
      <c r="T1020" s="91"/>
      <c r="U1020" s="91"/>
      <c r="V1020" s="91"/>
      <c r="W1020" s="91"/>
      <c r="X1020" s="91"/>
      <c r="Y1020" s="91"/>
      <c r="Z1020" s="91"/>
      <c r="AA1020" s="91"/>
      <c r="AB1020" s="91"/>
      <c r="AC1020" s="91"/>
      <c r="AD1020" s="91"/>
      <c r="AE1020" s="91"/>
      <c r="AF1020" s="91"/>
      <c r="AG1020" s="91"/>
      <c r="AH1020" s="91"/>
      <c r="AI1020" s="91"/>
      <c r="AJ1020" s="91"/>
      <c r="AK1020" s="91"/>
      <c r="AL1020" s="91"/>
      <c r="AM1020" s="91"/>
      <c r="AN1020" s="91"/>
      <c r="AO1020" s="91"/>
      <c r="AP1020" s="91"/>
      <c r="AQ1020" s="91"/>
      <c r="AR1020" s="91"/>
      <c r="AS1020" s="91"/>
      <c r="AT1020" s="91"/>
      <c r="AU1020" s="91"/>
      <c r="AV1020" s="91"/>
      <c r="AW1020" s="91"/>
      <c r="AX1020" s="91"/>
      <c r="AY1020" s="91"/>
      <c r="AZ1020" s="91"/>
      <c r="BA1020" s="91"/>
      <c r="BB1020" s="91"/>
      <c r="BC1020" s="91"/>
      <c r="BD1020" s="91"/>
      <c r="BE1020" s="91"/>
      <c r="BF1020" s="92"/>
    </row>
    <row r="1021" spans="1:58" s="82" customFormat="1" ht="14.25" customHeight="1">
      <c r="A1021" s="941"/>
      <c r="B1021" s="960"/>
      <c r="C1021" s="1225"/>
      <c r="D1021" s="84">
        <v>2021</v>
      </c>
      <c r="E1021" s="85">
        <f t="shared" si="360"/>
        <v>7.7000000000000002E-3</v>
      </c>
      <c r="F1021" s="85">
        <v>7.7000000000000002E-3</v>
      </c>
      <c r="G1021" s="85">
        <v>0</v>
      </c>
      <c r="H1021" s="85">
        <v>0</v>
      </c>
      <c r="I1021" s="85">
        <v>0</v>
      </c>
      <c r="J1021" s="85">
        <v>0</v>
      </c>
      <c r="K1021" s="148">
        <v>0</v>
      </c>
      <c r="L1021" s="497">
        <f t="shared" si="358"/>
        <v>7.7000000000000002E-3</v>
      </c>
      <c r="M1021" s="407"/>
      <c r="N1021" s="88"/>
      <c r="O1021" s="408"/>
      <c r="P1021" s="1300"/>
      <c r="Q1021" s="91"/>
      <c r="R1021" s="91"/>
      <c r="S1021" s="91"/>
      <c r="T1021" s="91"/>
      <c r="U1021" s="91"/>
      <c r="V1021" s="91"/>
      <c r="W1021" s="91"/>
      <c r="X1021" s="91"/>
      <c r="Y1021" s="91"/>
      <c r="Z1021" s="91"/>
      <c r="AA1021" s="91"/>
      <c r="AB1021" s="91"/>
      <c r="AC1021" s="91"/>
      <c r="AD1021" s="91"/>
      <c r="AE1021" s="91"/>
      <c r="AF1021" s="91"/>
      <c r="AG1021" s="91"/>
      <c r="AH1021" s="91"/>
      <c r="AI1021" s="91"/>
      <c r="AJ1021" s="91"/>
      <c r="AK1021" s="91"/>
      <c r="AL1021" s="91"/>
      <c r="AM1021" s="91"/>
      <c r="AN1021" s="91"/>
      <c r="AO1021" s="91"/>
      <c r="AP1021" s="91"/>
      <c r="AQ1021" s="91"/>
      <c r="AR1021" s="91"/>
      <c r="AS1021" s="91"/>
      <c r="AT1021" s="91"/>
      <c r="AU1021" s="91"/>
      <c r="AV1021" s="91"/>
      <c r="AW1021" s="91"/>
      <c r="AX1021" s="91"/>
      <c r="AY1021" s="91"/>
      <c r="AZ1021" s="91"/>
      <c r="BA1021" s="91"/>
      <c r="BB1021" s="91"/>
      <c r="BC1021" s="91"/>
      <c r="BD1021" s="91"/>
      <c r="BE1021" s="91"/>
      <c r="BF1021" s="92"/>
    </row>
    <row r="1022" spans="1:58" s="82" customFormat="1" ht="14.25" customHeight="1">
      <c r="A1022" s="941"/>
      <c r="B1022" s="960"/>
      <c r="C1022" s="1225"/>
      <c r="D1022" s="84">
        <v>2022</v>
      </c>
      <c r="E1022" s="85">
        <f t="shared" si="360"/>
        <v>7.9000000000000008E-3</v>
      </c>
      <c r="F1022" s="85">
        <v>7.9000000000000008E-3</v>
      </c>
      <c r="G1022" s="85">
        <v>0</v>
      </c>
      <c r="H1022" s="85">
        <v>0</v>
      </c>
      <c r="I1022" s="85">
        <v>0</v>
      </c>
      <c r="J1022" s="85">
        <v>0</v>
      </c>
      <c r="K1022" s="148">
        <v>0</v>
      </c>
      <c r="L1022" s="497">
        <f t="shared" si="358"/>
        <v>7.9000000000000008E-3</v>
      </c>
      <c r="M1022" s="407"/>
      <c r="N1022" s="88"/>
      <c r="O1022" s="408"/>
      <c r="P1022" s="1300"/>
      <c r="Q1022" s="91"/>
      <c r="R1022" s="91"/>
      <c r="S1022" s="91"/>
      <c r="T1022" s="91"/>
      <c r="U1022" s="91"/>
      <c r="V1022" s="91"/>
      <c r="W1022" s="91"/>
      <c r="X1022" s="91"/>
      <c r="Y1022" s="91"/>
      <c r="Z1022" s="91"/>
      <c r="AA1022" s="91"/>
      <c r="AB1022" s="91"/>
      <c r="AC1022" s="91"/>
      <c r="AD1022" s="91"/>
      <c r="AE1022" s="91"/>
      <c r="AF1022" s="91"/>
      <c r="AG1022" s="91"/>
      <c r="AH1022" s="91"/>
      <c r="AI1022" s="91"/>
      <c r="AJ1022" s="91"/>
      <c r="AK1022" s="91"/>
      <c r="AL1022" s="91"/>
      <c r="AM1022" s="91"/>
      <c r="AN1022" s="91"/>
      <c r="AO1022" s="91"/>
      <c r="AP1022" s="91"/>
      <c r="AQ1022" s="91"/>
      <c r="AR1022" s="91"/>
      <c r="AS1022" s="91"/>
      <c r="AT1022" s="91"/>
      <c r="AU1022" s="91"/>
      <c r="AV1022" s="91"/>
      <c r="AW1022" s="91"/>
      <c r="AX1022" s="91"/>
      <c r="AY1022" s="91"/>
      <c r="AZ1022" s="91"/>
      <c r="BA1022" s="91"/>
      <c r="BB1022" s="91"/>
      <c r="BC1022" s="91"/>
      <c r="BD1022" s="91"/>
      <c r="BE1022" s="91"/>
      <c r="BF1022" s="92"/>
    </row>
    <row r="1023" spans="1:58" s="82" customFormat="1" ht="14.25" customHeight="1">
      <c r="A1023" s="941"/>
      <c r="B1023" s="960"/>
      <c r="C1023" s="1225"/>
      <c r="D1023" s="84">
        <v>2023</v>
      </c>
      <c r="E1023" s="85">
        <f t="shared" si="360"/>
        <v>8.0000000000000002E-3</v>
      </c>
      <c r="F1023" s="85">
        <v>8.0000000000000002E-3</v>
      </c>
      <c r="G1023" s="85">
        <v>0</v>
      </c>
      <c r="H1023" s="85">
        <v>0</v>
      </c>
      <c r="I1023" s="85">
        <v>0</v>
      </c>
      <c r="J1023" s="85">
        <v>0</v>
      </c>
      <c r="K1023" s="148">
        <v>0</v>
      </c>
      <c r="L1023" s="497">
        <f t="shared" si="358"/>
        <v>8.0000000000000002E-3</v>
      </c>
      <c r="M1023" s="407"/>
      <c r="N1023" s="88"/>
      <c r="O1023" s="408"/>
      <c r="P1023" s="1300"/>
      <c r="Q1023" s="91"/>
      <c r="R1023" s="91"/>
      <c r="S1023" s="91"/>
      <c r="T1023" s="91"/>
      <c r="U1023" s="91"/>
      <c r="V1023" s="91"/>
      <c r="W1023" s="91"/>
      <c r="X1023" s="91"/>
      <c r="Y1023" s="91"/>
      <c r="Z1023" s="91"/>
      <c r="AA1023" s="91"/>
      <c r="AB1023" s="91"/>
      <c r="AC1023" s="91"/>
      <c r="AD1023" s="91"/>
      <c r="AE1023" s="91"/>
      <c r="AF1023" s="91"/>
      <c r="AG1023" s="91"/>
      <c r="AH1023" s="91"/>
      <c r="AI1023" s="91"/>
      <c r="AJ1023" s="91"/>
      <c r="AK1023" s="91"/>
      <c r="AL1023" s="91"/>
      <c r="AM1023" s="91"/>
      <c r="AN1023" s="91"/>
      <c r="AO1023" s="91"/>
      <c r="AP1023" s="91"/>
      <c r="AQ1023" s="91"/>
      <c r="AR1023" s="91"/>
      <c r="AS1023" s="91"/>
      <c r="AT1023" s="91"/>
      <c r="AU1023" s="91"/>
      <c r="AV1023" s="91"/>
      <c r="AW1023" s="91"/>
      <c r="AX1023" s="91"/>
      <c r="AY1023" s="91"/>
      <c r="AZ1023" s="91"/>
      <c r="BA1023" s="91"/>
      <c r="BB1023" s="91"/>
      <c r="BC1023" s="91"/>
      <c r="BD1023" s="91"/>
      <c r="BE1023" s="91"/>
      <c r="BF1023" s="92"/>
    </row>
    <row r="1024" spans="1:58" s="82" customFormat="1" ht="14.25" customHeight="1">
      <c r="A1024" s="941"/>
      <c r="B1024" s="960"/>
      <c r="C1024" s="1225"/>
      <c r="D1024" s="84">
        <v>2024</v>
      </c>
      <c r="E1024" s="85">
        <f t="shared" si="360"/>
        <v>0.1036</v>
      </c>
      <c r="F1024" s="85">
        <v>0.1036</v>
      </c>
      <c r="G1024" s="85">
        <v>0</v>
      </c>
      <c r="H1024" s="85">
        <v>0</v>
      </c>
      <c r="I1024" s="85">
        <v>0</v>
      </c>
      <c r="J1024" s="85">
        <v>0</v>
      </c>
      <c r="K1024" s="148">
        <v>0</v>
      </c>
      <c r="L1024" s="497">
        <f t="shared" si="358"/>
        <v>0.1036</v>
      </c>
      <c r="M1024" s="407"/>
      <c r="N1024" s="88"/>
      <c r="O1024" s="408"/>
      <c r="P1024" s="1300"/>
      <c r="Q1024" s="91"/>
      <c r="R1024" s="91"/>
      <c r="S1024" s="91"/>
      <c r="T1024" s="91"/>
      <c r="U1024" s="91"/>
      <c r="V1024" s="91"/>
      <c r="W1024" s="91"/>
      <c r="X1024" s="91"/>
      <c r="Y1024" s="91"/>
      <c r="Z1024" s="91"/>
      <c r="AA1024" s="91"/>
      <c r="AB1024" s="91"/>
      <c r="AC1024" s="91"/>
      <c r="AD1024" s="91"/>
      <c r="AE1024" s="91"/>
      <c r="AF1024" s="91"/>
      <c r="AG1024" s="91"/>
      <c r="AH1024" s="91"/>
      <c r="AI1024" s="91"/>
      <c r="AJ1024" s="91"/>
      <c r="AK1024" s="91"/>
      <c r="AL1024" s="91"/>
      <c r="AM1024" s="91"/>
      <c r="AN1024" s="91"/>
      <c r="AO1024" s="91"/>
      <c r="AP1024" s="91"/>
      <c r="AQ1024" s="91"/>
      <c r="AR1024" s="91"/>
      <c r="AS1024" s="91"/>
      <c r="AT1024" s="91"/>
      <c r="AU1024" s="91"/>
      <c r="AV1024" s="91"/>
      <c r="AW1024" s="91"/>
      <c r="AX1024" s="91"/>
      <c r="AY1024" s="91"/>
      <c r="AZ1024" s="91"/>
      <c r="BA1024" s="91"/>
      <c r="BB1024" s="91"/>
      <c r="BC1024" s="91"/>
      <c r="BD1024" s="91"/>
      <c r="BE1024" s="91"/>
      <c r="BF1024" s="92"/>
    </row>
    <row r="1025" spans="1:58" s="82" customFormat="1" ht="14.25" customHeight="1">
      <c r="A1025" s="941"/>
      <c r="B1025" s="960"/>
      <c r="C1025" s="1226"/>
      <c r="D1025" s="84">
        <v>2025</v>
      </c>
      <c r="E1025" s="85">
        <f t="shared" si="360"/>
        <v>0.1077</v>
      </c>
      <c r="F1025" s="85">
        <v>0.1077</v>
      </c>
      <c r="G1025" s="85">
        <v>0</v>
      </c>
      <c r="H1025" s="85">
        <v>0</v>
      </c>
      <c r="I1025" s="85">
        <v>0</v>
      </c>
      <c r="J1025" s="85">
        <v>0</v>
      </c>
      <c r="K1025" s="148">
        <v>0</v>
      </c>
      <c r="L1025" s="497">
        <f t="shared" si="358"/>
        <v>0.1077</v>
      </c>
      <c r="M1025" s="407"/>
      <c r="N1025" s="88"/>
      <c r="O1025" s="408"/>
      <c r="P1025" s="1300"/>
      <c r="Q1025" s="91"/>
      <c r="R1025" s="91"/>
      <c r="S1025" s="91"/>
      <c r="T1025" s="91"/>
      <c r="U1025" s="91"/>
      <c r="V1025" s="91"/>
      <c r="W1025" s="91"/>
      <c r="X1025" s="91"/>
      <c r="Y1025" s="91"/>
      <c r="Z1025" s="91"/>
      <c r="AA1025" s="91"/>
      <c r="AB1025" s="91"/>
      <c r="AC1025" s="91"/>
      <c r="AD1025" s="91"/>
      <c r="AE1025" s="91"/>
      <c r="AF1025" s="91"/>
      <c r="AG1025" s="91"/>
      <c r="AH1025" s="91"/>
      <c r="AI1025" s="91"/>
      <c r="AJ1025" s="91"/>
      <c r="AK1025" s="91"/>
      <c r="AL1025" s="91"/>
      <c r="AM1025" s="91"/>
      <c r="AN1025" s="91"/>
      <c r="AO1025" s="91"/>
      <c r="AP1025" s="91"/>
      <c r="AQ1025" s="91"/>
      <c r="AR1025" s="91"/>
      <c r="AS1025" s="91"/>
      <c r="AT1025" s="91"/>
      <c r="AU1025" s="91"/>
      <c r="AV1025" s="91"/>
      <c r="AW1025" s="91"/>
      <c r="AX1025" s="91"/>
      <c r="AY1025" s="91"/>
      <c r="AZ1025" s="91"/>
      <c r="BA1025" s="91"/>
      <c r="BB1025" s="91"/>
      <c r="BC1025" s="91"/>
      <c r="BD1025" s="91"/>
      <c r="BE1025" s="91"/>
      <c r="BF1025" s="92"/>
    </row>
    <row r="1026" spans="1:58" s="82" customFormat="1" ht="14.25" customHeight="1">
      <c r="A1026" s="941"/>
      <c r="B1026" s="960"/>
      <c r="C1026" s="1224" t="s">
        <v>957</v>
      </c>
      <c r="D1026" s="84">
        <v>2026</v>
      </c>
      <c r="E1026" s="85">
        <f t="shared" si="360"/>
        <v>0.112</v>
      </c>
      <c r="F1026" s="85">
        <v>0.112</v>
      </c>
      <c r="G1026" s="85">
        <v>0</v>
      </c>
      <c r="H1026" s="85">
        <v>0</v>
      </c>
      <c r="I1026" s="85">
        <v>0</v>
      </c>
      <c r="J1026" s="85">
        <v>0</v>
      </c>
      <c r="K1026" s="148">
        <v>0</v>
      </c>
      <c r="L1026" s="497">
        <f t="shared" si="358"/>
        <v>0.112</v>
      </c>
      <c r="M1026" s="407"/>
      <c r="N1026" s="88"/>
      <c r="O1026" s="408"/>
      <c r="P1026" s="1300"/>
      <c r="Q1026" s="91"/>
      <c r="R1026" s="91"/>
      <c r="S1026" s="91"/>
      <c r="T1026" s="91"/>
      <c r="U1026" s="91"/>
      <c r="V1026" s="91"/>
      <c r="W1026" s="91"/>
      <c r="X1026" s="91"/>
      <c r="Y1026" s="91"/>
      <c r="Z1026" s="91"/>
      <c r="AA1026" s="91"/>
      <c r="AB1026" s="91"/>
      <c r="AC1026" s="91"/>
      <c r="AD1026" s="91"/>
      <c r="AE1026" s="91"/>
      <c r="AF1026" s="91"/>
      <c r="AG1026" s="91"/>
      <c r="AH1026" s="91"/>
      <c r="AI1026" s="91"/>
      <c r="AJ1026" s="91"/>
      <c r="AK1026" s="91"/>
      <c r="AL1026" s="91"/>
      <c r="AM1026" s="91"/>
      <c r="AN1026" s="91"/>
      <c r="AO1026" s="91"/>
      <c r="AP1026" s="91"/>
      <c r="AQ1026" s="91"/>
      <c r="AR1026" s="91"/>
      <c r="AS1026" s="91"/>
      <c r="AT1026" s="91"/>
      <c r="AU1026" s="91"/>
      <c r="AV1026" s="91"/>
      <c r="AW1026" s="91"/>
      <c r="AX1026" s="91"/>
      <c r="AY1026" s="91"/>
      <c r="AZ1026" s="91"/>
      <c r="BA1026" s="91"/>
      <c r="BB1026" s="91"/>
      <c r="BC1026" s="91"/>
      <c r="BD1026" s="91"/>
      <c r="BE1026" s="91"/>
      <c r="BF1026" s="92"/>
    </row>
    <row r="1027" spans="1:58" s="82" customFormat="1" ht="14.25" customHeight="1">
      <c r="A1027" s="941"/>
      <c r="B1027" s="960"/>
      <c r="C1027" s="1225"/>
      <c r="D1027" s="84">
        <v>2027</v>
      </c>
      <c r="E1027" s="85">
        <f t="shared" si="360"/>
        <v>0.11650000000000001</v>
      </c>
      <c r="F1027" s="85">
        <v>0.11650000000000001</v>
      </c>
      <c r="G1027" s="85">
        <v>0</v>
      </c>
      <c r="H1027" s="85">
        <v>0</v>
      </c>
      <c r="I1027" s="85">
        <v>0</v>
      </c>
      <c r="J1027" s="85">
        <v>0</v>
      </c>
      <c r="K1027" s="148">
        <v>0</v>
      </c>
      <c r="L1027" s="497">
        <f t="shared" si="358"/>
        <v>0.11650000000000001</v>
      </c>
      <c r="M1027" s="407"/>
      <c r="N1027" s="88"/>
      <c r="O1027" s="408"/>
      <c r="P1027" s="1300"/>
      <c r="Q1027" s="91"/>
      <c r="R1027" s="91"/>
      <c r="S1027" s="91"/>
      <c r="T1027" s="91"/>
      <c r="U1027" s="91"/>
      <c r="V1027" s="91"/>
      <c r="W1027" s="91"/>
      <c r="X1027" s="91"/>
      <c r="Y1027" s="91"/>
      <c r="Z1027" s="91"/>
      <c r="AA1027" s="91"/>
      <c r="AB1027" s="91"/>
      <c r="AC1027" s="91"/>
      <c r="AD1027" s="91"/>
      <c r="AE1027" s="91"/>
      <c r="AF1027" s="91"/>
      <c r="AG1027" s="91"/>
      <c r="AH1027" s="91"/>
      <c r="AI1027" s="91"/>
      <c r="AJ1027" s="91"/>
      <c r="AK1027" s="91"/>
      <c r="AL1027" s="91"/>
      <c r="AM1027" s="91"/>
      <c r="AN1027" s="91"/>
      <c r="AO1027" s="91"/>
      <c r="AP1027" s="91"/>
      <c r="AQ1027" s="91"/>
      <c r="AR1027" s="91"/>
      <c r="AS1027" s="91"/>
      <c r="AT1027" s="91"/>
      <c r="AU1027" s="91"/>
      <c r="AV1027" s="91"/>
      <c r="AW1027" s="91"/>
      <c r="AX1027" s="91"/>
      <c r="AY1027" s="91"/>
      <c r="AZ1027" s="91"/>
      <c r="BA1027" s="91"/>
      <c r="BB1027" s="91"/>
      <c r="BC1027" s="91"/>
      <c r="BD1027" s="91"/>
      <c r="BE1027" s="91"/>
      <c r="BF1027" s="92"/>
    </row>
    <row r="1028" spans="1:58" s="82" customFormat="1" ht="14.25" customHeight="1">
      <c r="A1028" s="941"/>
      <c r="B1028" s="960"/>
      <c r="C1028" s="1225"/>
      <c r="D1028" s="84">
        <v>2028</v>
      </c>
      <c r="E1028" s="85">
        <f t="shared" si="360"/>
        <v>0.1212</v>
      </c>
      <c r="F1028" s="85">
        <v>0.1212</v>
      </c>
      <c r="G1028" s="85">
        <v>0</v>
      </c>
      <c r="H1028" s="85">
        <v>0</v>
      </c>
      <c r="I1028" s="85">
        <v>0</v>
      </c>
      <c r="J1028" s="85">
        <v>0</v>
      </c>
      <c r="K1028" s="148">
        <v>0</v>
      </c>
      <c r="L1028" s="497">
        <f t="shared" si="358"/>
        <v>0.1212</v>
      </c>
      <c r="M1028" s="407"/>
      <c r="N1028" s="88"/>
      <c r="O1028" s="408"/>
      <c r="P1028" s="1300"/>
      <c r="Q1028" s="91"/>
      <c r="R1028" s="91"/>
      <c r="S1028" s="91"/>
      <c r="T1028" s="91"/>
      <c r="U1028" s="91"/>
      <c r="V1028" s="91"/>
      <c r="W1028" s="91"/>
      <c r="X1028" s="91"/>
      <c r="Y1028" s="91"/>
      <c r="Z1028" s="91"/>
      <c r="AA1028" s="91"/>
      <c r="AB1028" s="91"/>
      <c r="AC1028" s="91"/>
      <c r="AD1028" s="91"/>
      <c r="AE1028" s="91"/>
      <c r="AF1028" s="91"/>
      <c r="AG1028" s="91"/>
      <c r="AH1028" s="91"/>
      <c r="AI1028" s="91"/>
      <c r="AJ1028" s="91"/>
      <c r="AK1028" s="91"/>
      <c r="AL1028" s="91"/>
      <c r="AM1028" s="91"/>
      <c r="AN1028" s="91"/>
      <c r="AO1028" s="91"/>
      <c r="AP1028" s="91"/>
      <c r="AQ1028" s="91"/>
      <c r="AR1028" s="91"/>
      <c r="AS1028" s="91"/>
      <c r="AT1028" s="91"/>
      <c r="AU1028" s="91"/>
      <c r="AV1028" s="91"/>
      <c r="AW1028" s="91"/>
      <c r="AX1028" s="91"/>
      <c r="AY1028" s="91"/>
      <c r="AZ1028" s="91"/>
      <c r="BA1028" s="91"/>
      <c r="BB1028" s="91"/>
      <c r="BC1028" s="91"/>
      <c r="BD1028" s="91"/>
      <c r="BE1028" s="91"/>
      <c r="BF1028" s="92"/>
    </row>
    <row r="1029" spans="1:58" s="82" customFormat="1" ht="14.25" customHeight="1">
      <c r="A1029" s="941"/>
      <c r="B1029" s="960"/>
      <c r="C1029" s="1225"/>
      <c r="D1029" s="84">
        <v>2029</v>
      </c>
      <c r="E1029" s="85">
        <f t="shared" si="360"/>
        <v>0.126</v>
      </c>
      <c r="F1029" s="85">
        <v>0.126</v>
      </c>
      <c r="G1029" s="85">
        <v>0</v>
      </c>
      <c r="H1029" s="85">
        <v>0</v>
      </c>
      <c r="I1029" s="85">
        <v>0</v>
      </c>
      <c r="J1029" s="85">
        <v>0</v>
      </c>
      <c r="K1029" s="148">
        <v>0</v>
      </c>
      <c r="L1029" s="497">
        <f t="shared" si="358"/>
        <v>0.126</v>
      </c>
      <c r="M1029" s="407"/>
      <c r="N1029" s="88"/>
      <c r="O1029" s="408"/>
      <c r="P1029" s="1300"/>
      <c r="Q1029" s="91"/>
      <c r="R1029" s="91"/>
      <c r="S1029" s="91"/>
      <c r="T1029" s="91"/>
      <c r="U1029" s="91"/>
      <c r="V1029" s="91"/>
      <c r="W1029" s="91"/>
      <c r="X1029" s="91"/>
      <c r="Y1029" s="91"/>
      <c r="Z1029" s="91"/>
      <c r="AA1029" s="91"/>
      <c r="AB1029" s="91"/>
      <c r="AC1029" s="91"/>
      <c r="AD1029" s="91"/>
      <c r="AE1029" s="91"/>
      <c r="AF1029" s="91"/>
      <c r="AG1029" s="91"/>
      <c r="AH1029" s="91"/>
      <c r="AI1029" s="91"/>
      <c r="AJ1029" s="91"/>
      <c r="AK1029" s="91"/>
      <c r="AL1029" s="91"/>
      <c r="AM1029" s="91"/>
      <c r="AN1029" s="91"/>
      <c r="AO1029" s="91"/>
      <c r="AP1029" s="91"/>
      <c r="AQ1029" s="91"/>
      <c r="AR1029" s="91"/>
      <c r="AS1029" s="91"/>
      <c r="AT1029" s="91"/>
      <c r="AU1029" s="91"/>
      <c r="AV1029" s="91"/>
      <c r="AW1029" s="91"/>
      <c r="AX1029" s="91"/>
      <c r="AY1029" s="91"/>
      <c r="AZ1029" s="91"/>
      <c r="BA1029" s="91"/>
      <c r="BB1029" s="91"/>
      <c r="BC1029" s="91"/>
      <c r="BD1029" s="91"/>
      <c r="BE1029" s="91"/>
      <c r="BF1029" s="92"/>
    </row>
    <row r="1030" spans="1:58" s="82" customFormat="1" ht="14.25" customHeight="1">
      <c r="A1030" s="942"/>
      <c r="B1030" s="961"/>
      <c r="C1030" s="1226"/>
      <c r="D1030" s="84">
        <v>2030</v>
      </c>
      <c r="E1030" s="85">
        <f t="shared" si="360"/>
        <v>0.13100000000000001</v>
      </c>
      <c r="F1030" s="85">
        <v>0.13100000000000001</v>
      </c>
      <c r="G1030" s="85">
        <v>0</v>
      </c>
      <c r="H1030" s="85">
        <v>0</v>
      </c>
      <c r="I1030" s="85">
        <v>0</v>
      </c>
      <c r="J1030" s="85">
        <v>0</v>
      </c>
      <c r="K1030" s="148">
        <v>0</v>
      </c>
      <c r="L1030" s="497">
        <f t="shared" si="358"/>
        <v>0.13100000000000001</v>
      </c>
      <c r="M1030" s="407"/>
      <c r="N1030" s="88"/>
      <c r="O1030" s="408"/>
      <c r="P1030" s="1299"/>
      <c r="Q1030" s="91"/>
      <c r="R1030" s="91"/>
      <c r="S1030" s="91"/>
      <c r="T1030" s="91"/>
      <c r="U1030" s="91"/>
      <c r="V1030" s="91"/>
      <c r="W1030" s="91"/>
      <c r="X1030" s="91"/>
      <c r="Y1030" s="91"/>
      <c r="Z1030" s="91"/>
      <c r="AA1030" s="91"/>
      <c r="AB1030" s="91"/>
      <c r="AC1030" s="91"/>
      <c r="AD1030" s="91"/>
      <c r="AE1030" s="91"/>
      <c r="AF1030" s="91"/>
      <c r="AG1030" s="91"/>
      <c r="AH1030" s="91"/>
      <c r="AI1030" s="91"/>
      <c r="AJ1030" s="91"/>
      <c r="AK1030" s="91"/>
      <c r="AL1030" s="91"/>
      <c r="AM1030" s="91"/>
      <c r="AN1030" s="91"/>
      <c r="AO1030" s="91"/>
      <c r="AP1030" s="91"/>
      <c r="AQ1030" s="91"/>
      <c r="AR1030" s="91"/>
      <c r="AS1030" s="91"/>
      <c r="AT1030" s="91"/>
      <c r="AU1030" s="91"/>
      <c r="AV1030" s="91"/>
      <c r="AW1030" s="91"/>
      <c r="AX1030" s="91"/>
      <c r="AY1030" s="91"/>
      <c r="AZ1030" s="91"/>
      <c r="BA1030" s="91"/>
      <c r="BB1030" s="91"/>
      <c r="BC1030" s="91"/>
      <c r="BD1030" s="91"/>
      <c r="BE1030" s="91"/>
      <c r="BF1030" s="92"/>
    </row>
    <row r="1031" spans="1:58" s="82" customFormat="1" ht="14.25" customHeight="1">
      <c r="A1031" s="1003" t="s">
        <v>977</v>
      </c>
      <c r="B1031" s="929" t="s">
        <v>974</v>
      </c>
      <c r="C1031" s="621"/>
      <c r="D1031" s="84" t="s">
        <v>16</v>
      </c>
      <c r="E1031" s="85">
        <f t="shared" ref="E1031:J1043" si="361">E1044</f>
        <v>0</v>
      </c>
      <c r="F1031" s="85">
        <f t="shared" si="361"/>
        <v>0</v>
      </c>
      <c r="G1031" s="85">
        <f t="shared" si="361"/>
        <v>0</v>
      </c>
      <c r="H1031" s="85">
        <f t="shared" si="361"/>
        <v>0</v>
      </c>
      <c r="I1031" s="85">
        <f t="shared" si="361"/>
        <v>0</v>
      </c>
      <c r="J1031" s="85">
        <f t="shared" si="361"/>
        <v>0</v>
      </c>
      <c r="K1031" s="148">
        <v>0</v>
      </c>
      <c r="L1031" s="497">
        <f t="shared" si="358"/>
        <v>0</v>
      </c>
      <c r="M1031" s="407"/>
      <c r="N1031" s="88"/>
      <c r="O1031" s="408"/>
      <c r="P1031" s="685"/>
      <c r="Q1031" s="91"/>
      <c r="R1031" s="91"/>
      <c r="S1031" s="91"/>
      <c r="T1031" s="91"/>
      <c r="U1031" s="91"/>
      <c r="V1031" s="91"/>
      <c r="W1031" s="91"/>
      <c r="X1031" s="91"/>
      <c r="Y1031" s="91"/>
      <c r="Z1031" s="91"/>
      <c r="AA1031" s="91"/>
      <c r="AB1031" s="91"/>
      <c r="AC1031" s="91"/>
      <c r="AD1031" s="91"/>
      <c r="AE1031" s="91"/>
      <c r="AF1031" s="91"/>
      <c r="AG1031" s="91"/>
      <c r="AH1031" s="91"/>
      <c r="AI1031" s="91"/>
      <c r="AJ1031" s="91"/>
      <c r="AK1031" s="91"/>
      <c r="AL1031" s="91"/>
      <c r="AM1031" s="91"/>
      <c r="AN1031" s="91"/>
      <c r="AO1031" s="91"/>
      <c r="AP1031" s="91"/>
      <c r="AQ1031" s="91"/>
      <c r="AR1031" s="91"/>
      <c r="AS1031" s="91"/>
      <c r="AT1031" s="91"/>
      <c r="AU1031" s="91"/>
      <c r="AV1031" s="91"/>
      <c r="AW1031" s="91"/>
      <c r="AX1031" s="91"/>
      <c r="AY1031" s="91"/>
      <c r="AZ1031" s="91"/>
      <c r="BA1031" s="91"/>
      <c r="BB1031" s="91"/>
      <c r="BC1031" s="91"/>
      <c r="BD1031" s="91"/>
      <c r="BE1031" s="91"/>
      <c r="BF1031" s="92"/>
    </row>
    <row r="1032" spans="1:58" s="82" customFormat="1" ht="14.25" customHeight="1">
      <c r="A1032" s="941"/>
      <c r="B1032" s="960"/>
      <c r="C1032" s="621"/>
      <c r="D1032" s="84">
        <v>2019</v>
      </c>
      <c r="E1032" s="85">
        <f t="shared" si="361"/>
        <v>0</v>
      </c>
      <c r="F1032" s="85">
        <f t="shared" si="361"/>
        <v>0</v>
      </c>
      <c r="G1032" s="85">
        <f t="shared" si="361"/>
        <v>0</v>
      </c>
      <c r="H1032" s="85">
        <f t="shared" si="361"/>
        <v>0</v>
      </c>
      <c r="I1032" s="85">
        <f t="shared" si="361"/>
        <v>0</v>
      </c>
      <c r="J1032" s="85">
        <f t="shared" si="361"/>
        <v>0</v>
      </c>
      <c r="K1032" s="148">
        <v>0</v>
      </c>
      <c r="L1032" s="497">
        <f t="shared" si="358"/>
        <v>0</v>
      </c>
      <c r="M1032" s="407"/>
      <c r="N1032" s="88"/>
      <c r="O1032" s="408"/>
      <c r="P1032" s="685"/>
      <c r="Q1032" s="91"/>
      <c r="R1032" s="91"/>
      <c r="S1032" s="91"/>
      <c r="T1032" s="91"/>
      <c r="U1032" s="91"/>
      <c r="V1032" s="91"/>
      <c r="W1032" s="91"/>
      <c r="X1032" s="91"/>
      <c r="Y1032" s="91"/>
      <c r="Z1032" s="91"/>
      <c r="AA1032" s="91"/>
      <c r="AB1032" s="91"/>
      <c r="AC1032" s="91"/>
      <c r="AD1032" s="91"/>
      <c r="AE1032" s="91"/>
      <c r="AF1032" s="91"/>
      <c r="AG1032" s="91"/>
      <c r="AH1032" s="91"/>
      <c r="AI1032" s="91"/>
      <c r="AJ1032" s="91"/>
      <c r="AK1032" s="91"/>
      <c r="AL1032" s="91"/>
      <c r="AM1032" s="91"/>
      <c r="AN1032" s="91"/>
      <c r="AO1032" s="91"/>
      <c r="AP1032" s="91"/>
      <c r="AQ1032" s="91"/>
      <c r="AR1032" s="91"/>
      <c r="AS1032" s="91"/>
      <c r="AT1032" s="91"/>
      <c r="AU1032" s="91"/>
      <c r="AV1032" s="91"/>
      <c r="AW1032" s="91"/>
      <c r="AX1032" s="91"/>
      <c r="AY1032" s="91"/>
      <c r="AZ1032" s="91"/>
      <c r="BA1032" s="91"/>
      <c r="BB1032" s="91"/>
      <c r="BC1032" s="91"/>
      <c r="BD1032" s="91"/>
      <c r="BE1032" s="91"/>
      <c r="BF1032" s="92"/>
    </row>
    <row r="1033" spans="1:58" s="82" customFormat="1" ht="14.25" customHeight="1">
      <c r="A1033" s="941"/>
      <c r="B1033" s="960"/>
      <c r="C1033" s="621"/>
      <c r="D1033" s="84">
        <v>2020</v>
      </c>
      <c r="E1033" s="85">
        <f t="shared" si="361"/>
        <v>0</v>
      </c>
      <c r="F1033" s="85">
        <f t="shared" si="361"/>
        <v>0</v>
      </c>
      <c r="G1033" s="85">
        <f t="shared" si="361"/>
        <v>0</v>
      </c>
      <c r="H1033" s="85">
        <f t="shared" si="361"/>
        <v>0</v>
      </c>
      <c r="I1033" s="85">
        <f t="shared" si="361"/>
        <v>0</v>
      </c>
      <c r="J1033" s="85">
        <f t="shared" si="361"/>
        <v>0</v>
      </c>
      <c r="K1033" s="148">
        <v>0</v>
      </c>
      <c r="L1033" s="497">
        <f t="shared" si="358"/>
        <v>0</v>
      </c>
      <c r="M1033" s="407"/>
      <c r="N1033" s="88"/>
      <c r="O1033" s="408"/>
      <c r="P1033" s="685"/>
      <c r="Q1033" s="91"/>
      <c r="R1033" s="91"/>
      <c r="S1033" s="91"/>
      <c r="T1033" s="91"/>
      <c r="U1033" s="91"/>
      <c r="V1033" s="91"/>
      <c r="W1033" s="91"/>
      <c r="X1033" s="91"/>
      <c r="Y1033" s="91"/>
      <c r="Z1033" s="91"/>
      <c r="AA1033" s="91"/>
      <c r="AB1033" s="91"/>
      <c r="AC1033" s="91"/>
      <c r="AD1033" s="91"/>
      <c r="AE1033" s="91"/>
      <c r="AF1033" s="91"/>
      <c r="AG1033" s="91"/>
      <c r="AH1033" s="91"/>
      <c r="AI1033" s="91"/>
      <c r="AJ1033" s="91"/>
      <c r="AK1033" s="91"/>
      <c r="AL1033" s="91"/>
      <c r="AM1033" s="91"/>
      <c r="AN1033" s="91"/>
      <c r="AO1033" s="91"/>
      <c r="AP1033" s="91"/>
      <c r="AQ1033" s="91"/>
      <c r="AR1033" s="91"/>
      <c r="AS1033" s="91"/>
      <c r="AT1033" s="91"/>
      <c r="AU1033" s="91"/>
      <c r="AV1033" s="91"/>
      <c r="AW1033" s="91"/>
      <c r="AX1033" s="91"/>
      <c r="AY1033" s="91"/>
      <c r="AZ1033" s="91"/>
      <c r="BA1033" s="91"/>
      <c r="BB1033" s="91"/>
      <c r="BC1033" s="91"/>
      <c r="BD1033" s="91"/>
      <c r="BE1033" s="91"/>
      <c r="BF1033" s="92"/>
    </row>
    <row r="1034" spans="1:58" s="82" customFormat="1" ht="14.25" customHeight="1">
      <c r="A1034" s="941"/>
      <c r="B1034" s="960"/>
      <c r="C1034" s="621"/>
      <c r="D1034" s="84">
        <v>2021</v>
      </c>
      <c r="E1034" s="85">
        <f t="shared" si="361"/>
        <v>0</v>
      </c>
      <c r="F1034" s="85">
        <f t="shared" si="361"/>
        <v>0</v>
      </c>
      <c r="G1034" s="85">
        <f t="shared" si="361"/>
        <v>0</v>
      </c>
      <c r="H1034" s="85">
        <f t="shared" si="361"/>
        <v>0</v>
      </c>
      <c r="I1034" s="85">
        <f t="shared" si="361"/>
        <v>0</v>
      </c>
      <c r="J1034" s="85">
        <f t="shared" si="361"/>
        <v>0</v>
      </c>
      <c r="K1034" s="148">
        <v>0</v>
      </c>
      <c r="L1034" s="497">
        <f t="shared" si="358"/>
        <v>0</v>
      </c>
      <c r="M1034" s="407"/>
      <c r="N1034" s="88"/>
      <c r="O1034" s="408"/>
      <c r="P1034" s="685"/>
      <c r="Q1034" s="91"/>
      <c r="R1034" s="91"/>
      <c r="S1034" s="91"/>
      <c r="T1034" s="91"/>
      <c r="U1034" s="91"/>
      <c r="V1034" s="91"/>
      <c r="W1034" s="91"/>
      <c r="X1034" s="91"/>
      <c r="Y1034" s="91"/>
      <c r="Z1034" s="91"/>
      <c r="AA1034" s="91"/>
      <c r="AB1034" s="91"/>
      <c r="AC1034" s="91"/>
      <c r="AD1034" s="91"/>
      <c r="AE1034" s="91"/>
      <c r="AF1034" s="91"/>
      <c r="AG1034" s="91"/>
      <c r="AH1034" s="91"/>
      <c r="AI1034" s="91"/>
      <c r="AJ1034" s="91"/>
      <c r="AK1034" s="91"/>
      <c r="AL1034" s="91"/>
      <c r="AM1034" s="91"/>
      <c r="AN1034" s="91"/>
      <c r="AO1034" s="91"/>
      <c r="AP1034" s="91"/>
      <c r="AQ1034" s="91"/>
      <c r="AR1034" s="91"/>
      <c r="AS1034" s="91"/>
      <c r="AT1034" s="91"/>
      <c r="AU1034" s="91"/>
      <c r="AV1034" s="91"/>
      <c r="AW1034" s="91"/>
      <c r="AX1034" s="91"/>
      <c r="AY1034" s="91"/>
      <c r="AZ1034" s="91"/>
      <c r="BA1034" s="91"/>
      <c r="BB1034" s="91"/>
      <c r="BC1034" s="91"/>
      <c r="BD1034" s="91"/>
      <c r="BE1034" s="91"/>
      <c r="BF1034" s="92"/>
    </row>
    <row r="1035" spans="1:58" s="82" customFormat="1" ht="14.25" customHeight="1">
      <c r="A1035" s="941"/>
      <c r="B1035" s="960"/>
      <c r="C1035" s="621"/>
      <c r="D1035" s="84">
        <v>2022</v>
      </c>
      <c r="E1035" s="85">
        <f t="shared" si="361"/>
        <v>0</v>
      </c>
      <c r="F1035" s="85">
        <f t="shared" si="361"/>
        <v>0</v>
      </c>
      <c r="G1035" s="85">
        <f t="shared" si="361"/>
        <v>0</v>
      </c>
      <c r="H1035" s="85">
        <f t="shared" si="361"/>
        <v>0</v>
      </c>
      <c r="I1035" s="85">
        <f t="shared" si="361"/>
        <v>0</v>
      </c>
      <c r="J1035" s="85">
        <f t="shared" si="361"/>
        <v>0</v>
      </c>
      <c r="K1035" s="148">
        <v>0</v>
      </c>
      <c r="L1035" s="497">
        <f t="shared" si="358"/>
        <v>0</v>
      </c>
      <c r="M1035" s="407"/>
      <c r="N1035" s="88"/>
      <c r="O1035" s="408"/>
      <c r="P1035" s="685"/>
      <c r="Q1035" s="91"/>
      <c r="R1035" s="91"/>
      <c r="S1035" s="91"/>
      <c r="T1035" s="91"/>
      <c r="U1035" s="91"/>
      <c r="V1035" s="91"/>
      <c r="W1035" s="91"/>
      <c r="X1035" s="91"/>
      <c r="Y1035" s="91"/>
      <c r="Z1035" s="91"/>
      <c r="AA1035" s="91"/>
      <c r="AB1035" s="91"/>
      <c r="AC1035" s="91"/>
      <c r="AD1035" s="91"/>
      <c r="AE1035" s="91"/>
      <c r="AF1035" s="91"/>
      <c r="AG1035" s="91"/>
      <c r="AH1035" s="91"/>
      <c r="AI1035" s="91"/>
      <c r="AJ1035" s="91"/>
      <c r="AK1035" s="91"/>
      <c r="AL1035" s="91"/>
      <c r="AM1035" s="91"/>
      <c r="AN1035" s="91"/>
      <c r="AO1035" s="91"/>
      <c r="AP1035" s="91"/>
      <c r="AQ1035" s="91"/>
      <c r="AR1035" s="91"/>
      <c r="AS1035" s="91"/>
      <c r="AT1035" s="91"/>
      <c r="AU1035" s="91"/>
      <c r="AV1035" s="91"/>
      <c r="AW1035" s="91"/>
      <c r="AX1035" s="91"/>
      <c r="AY1035" s="91"/>
      <c r="AZ1035" s="91"/>
      <c r="BA1035" s="91"/>
      <c r="BB1035" s="91"/>
      <c r="BC1035" s="91"/>
      <c r="BD1035" s="91"/>
      <c r="BE1035" s="91"/>
      <c r="BF1035" s="92"/>
    </row>
    <row r="1036" spans="1:58" s="82" customFormat="1" ht="14.25" customHeight="1">
      <c r="A1036" s="941"/>
      <c r="B1036" s="960"/>
      <c r="C1036" s="621"/>
      <c r="D1036" s="84">
        <v>2023</v>
      </c>
      <c r="E1036" s="85">
        <f t="shared" si="361"/>
        <v>0</v>
      </c>
      <c r="F1036" s="85">
        <f t="shared" si="361"/>
        <v>0</v>
      </c>
      <c r="G1036" s="85">
        <f t="shared" si="361"/>
        <v>0</v>
      </c>
      <c r="H1036" s="85">
        <f t="shared" si="361"/>
        <v>0</v>
      </c>
      <c r="I1036" s="85">
        <f t="shared" si="361"/>
        <v>0</v>
      </c>
      <c r="J1036" s="85">
        <f t="shared" si="361"/>
        <v>0</v>
      </c>
      <c r="K1036" s="148">
        <v>0</v>
      </c>
      <c r="L1036" s="497">
        <f t="shared" si="358"/>
        <v>0</v>
      </c>
      <c r="M1036" s="407"/>
      <c r="N1036" s="88"/>
      <c r="O1036" s="408"/>
      <c r="P1036" s="685"/>
      <c r="Q1036" s="91"/>
      <c r="R1036" s="91"/>
      <c r="S1036" s="91"/>
      <c r="T1036" s="91"/>
      <c r="U1036" s="91"/>
      <c r="V1036" s="91"/>
      <c r="W1036" s="91"/>
      <c r="X1036" s="91"/>
      <c r="Y1036" s="91"/>
      <c r="Z1036" s="91"/>
      <c r="AA1036" s="91"/>
      <c r="AB1036" s="91"/>
      <c r="AC1036" s="91"/>
      <c r="AD1036" s="91"/>
      <c r="AE1036" s="91"/>
      <c r="AF1036" s="91"/>
      <c r="AG1036" s="91"/>
      <c r="AH1036" s="91"/>
      <c r="AI1036" s="91"/>
      <c r="AJ1036" s="91"/>
      <c r="AK1036" s="91"/>
      <c r="AL1036" s="91"/>
      <c r="AM1036" s="91"/>
      <c r="AN1036" s="91"/>
      <c r="AO1036" s="91"/>
      <c r="AP1036" s="91"/>
      <c r="AQ1036" s="91"/>
      <c r="AR1036" s="91"/>
      <c r="AS1036" s="91"/>
      <c r="AT1036" s="91"/>
      <c r="AU1036" s="91"/>
      <c r="AV1036" s="91"/>
      <c r="AW1036" s="91"/>
      <c r="AX1036" s="91"/>
      <c r="AY1036" s="91"/>
      <c r="AZ1036" s="91"/>
      <c r="BA1036" s="91"/>
      <c r="BB1036" s="91"/>
      <c r="BC1036" s="91"/>
      <c r="BD1036" s="91"/>
      <c r="BE1036" s="91"/>
      <c r="BF1036" s="92"/>
    </row>
    <row r="1037" spans="1:58" s="82" customFormat="1" ht="14.25" customHeight="1">
      <c r="A1037" s="941"/>
      <c r="B1037" s="960"/>
      <c r="C1037" s="621"/>
      <c r="D1037" s="84">
        <v>2024</v>
      </c>
      <c r="E1037" s="85">
        <f t="shared" si="361"/>
        <v>0</v>
      </c>
      <c r="F1037" s="85">
        <f t="shared" si="361"/>
        <v>0</v>
      </c>
      <c r="G1037" s="85">
        <f t="shared" si="361"/>
        <v>0</v>
      </c>
      <c r="H1037" s="85">
        <f t="shared" si="361"/>
        <v>0</v>
      </c>
      <c r="I1037" s="85">
        <f t="shared" si="361"/>
        <v>0</v>
      </c>
      <c r="J1037" s="85">
        <f t="shared" si="361"/>
        <v>0</v>
      </c>
      <c r="K1037" s="148">
        <v>0</v>
      </c>
      <c r="L1037" s="497">
        <f t="shared" si="358"/>
        <v>0</v>
      </c>
      <c r="M1037" s="407"/>
      <c r="N1037" s="88"/>
      <c r="O1037" s="408"/>
      <c r="P1037" s="685"/>
      <c r="Q1037" s="91"/>
      <c r="R1037" s="91"/>
      <c r="S1037" s="91"/>
      <c r="T1037" s="91"/>
      <c r="U1037" s="91"/>
      <c r="V1037" s="91"/>
      <c r="W1037" s="91"/>
      <c r="X1037" s="91"/>
      <c r="Y1037" s="91"/>
      <c r="Z1037" s="91"/>
      <c r="AA1037" s="91"/>
      <c r="AB1037" s="91"/>
      <c r="AC1037" s="91"/>
      <c r="AD1037" s="91"/>
      <c r="AE1037" s="91"/>
      <c r="AF1037" s="91"/>
      <c r="AG1037" s="91"/>
      <c r="AH1037" s="91"/>
      <c r="AI1037" s="91"/>
      <c r="AJ1037" s="91"/>
      <c r="AK1037" s="91"/>
      <c r="AL1037" s="91"/>
      <c r="AM1037" s="91"/>
      <c r="AN1037" s="91"/>
      <c r="AO1037" s="91"/>
      <c r="AP1037" s="91"/>
      <c r="AQ1037" s="91"/>
      <c r="AR1037" s="91"/>
      <c r="AS1037" s="91"/>
      <c r="AT1037" s="91"/>
      <c r="AU1037" s="91"/>
      <c r="AV1037" s="91"/>
      <c r="AW1037" s="91"/>
      <c r="AX1037" s="91"/>
      <c r="AY1037" s="91"/>
      <c r="AZ1037" s="91"/>
      <c r="BA1037" s="91"/>
      <c r="BB1037" s="91"/>
      <c r="BC1037" s="91"/>
      <c r="BD1037" s="91"/>
      <c r="BE1037" s="91"/>
      <c r="BF1037" s="92"/>
    </row>
    <row r="1038" spans="1:58" s="82" customFormat="1" ht="14.25" customHeight="1">
      <c r="A1038" s="941"/>
      <c r="B1038" s="960"/>
      <c r="C1038" s="621"/>
      <c r="D1038" s="84">
        <v>2025</v>
      </c>
      <c r="E1038" s="85">
        <f t="shared" si="361"/>
        <v>0</v>
      </c>
      <c r="F1038" s="85">
        <f t="shared" si="361"/>
        <v>0</v>
      </c>
      <c r="G1038" s="85">
        <f t="shared" si="361"/>
        <v>0</v>
      </c>
      <c r="H1038" s="85">
        <f t="shared" si="361"/>
        <v>0</v>
      </c>
      <c r="I1038" s="85">
        <f t="shared" si="361"/>
        <v>0</v>
      </c>
      <c r="J1038" s="85">
        <f t="shared" si="361"/>
        <v>0</v>
      </c>
      <c r="K1038" s="148">
        <v>0</v>
      </c>
      <c r="L1038" s="497">
        <f t="shared" si="358"/>
        <v>0</v>
      </c>
      <c r="M1038" s="407"/>
      <c r="N1038" s="88"/>
      <c r="O1038" s="408"/>
      <c r="P1038" s="685"/>
      <c r="Q1038" s="91"/>
      <c r="R1038" s="91"/>
      <c r="S1038" s="91"/>
      <c r="T1038" s="91"/>
      <c r="U1038" s="91"/>
      <c r="V1038" s="91"/>
      <c r="W1038" s="91"/>
      <c r="X1038" s="91"/>
      <c r="Y1038" s="91"/>
      <c r="Z1038" s="91"/>
      <c r="AA1038" s="91"/>
      <c r="AB1038" s="91"/>
      <c r="AC1038" s="91"/>
      <c r="AD1038" s="91"/>
      <c r="AE1038" s="91"/>
      <c r="AF1038" s="91"/>
      <c r="AG1038" s="91"/>
      <c r="AH1038" s="91"/>
      <c r="AI1038" s="91"/>
      <c r="AJ1038" s="91"/>
      <c r="AK1038" s="91"/>
      <c r="AL1038" s="91"/>
      <c r="AM1038" s="91"/>
      <c r="AN1038" s="91"/>
      <c r="AO1038" s="91"/>
      <c r="AP1038" s="91"/>
      <c r="AQ1038" s="91"/>
      <c r="AR1038" s="91"/>
      <c r="AS1038" s="91"/>
      <c r="AT1038" s="91"/>
      <c r="AU1038" s="91"/>
      <c r="AV1038" s="91"/>
      <c r="AW1038" s="91"/>
      <c r="AX1038" s="91"/>
      <c r="AY1038" s="91"/>
      <c r="AZ1038" s="91"/>
      <c r="BA1038" s="91"/>
      <c r="BB1038" s="91"/>
      <c r="BC1038" s="91"/>
      <c r="BD1038" s="91"/>
      <c r="BE1038" s="91"/>
      <c r="BF1038" s="92"/>
    </row>
    <row r="1039" spans="1:58" s="82" customFormat="1" ht="14.25" customHeight="1">
      <c r="A1039" s="941"/>
      <c r="B1039" s="960"/>
      <c r="C1039" s="621"/>
      <c r="D1039" s="84">
        <v>2026</v>
      </c>
      <c r="E1039" s="85">
        <f t="shared" si="361"/>
        <v>0</v>
      </c>
      <c r="F1039" s="85">
        <f t="shared" si="361"/>
        <v>0</v>
      </c>
      <c r="G1039" s="85">
        <f t="shared" si="361"/>
        <v>0</v>
      </c>
      <c r="H1039" s="85">
        <f t="shared" si="361"/>
        <v>0</v>
      </c>
      <c r="I1039" s="85">
        <f t="shared" si="361"/>
        <v>0</v>
      </c>
      <c r="J1039" s="85">
        <f t="shared" si="361"/>
        <v>0</v>
      </c>
      <c r="K1039" s="148">
        <v>0</v>
      </c>
      <c r="L1039" s="497">
        <f t="shared" si="358"/>
        <v>0</v>
      </c>
      <c r="M1039" s="407"/>
      <c r="N1039" s="88"/>
      <c r="O1039" s="408"/>
      <c r="P1039" s="685"/>
      <c r="Q1039" s="91"/>
      <c r="R1039" s="91"/>
      <c r="S1039" s="91"/>
      <c r="T1039" s="91"/>
      <c r="U1039" s="91"/>
      <c r="V1039" s="91"/>
      <c r="W1039" s="91"/>
      <c r="X1039" s="91"/>
      <c r="Y1039" s="91"/>
      <c r="Z1039" s="91"/>
      <c r="AA1039" s="91"/>
      <c r="AB1039" s="91"/>
      <c r="AC1039" s="91"/>
      <c r="AD1039" s="91"/>
      <c r="AE1039" s="91"/>
      <c r="AF1039" s="91"/>
      <c r="AG1039" s="91"/>
      <c r="AH1039" s="91"/>
      <c r="AI1039" s="91"/>
      <c r="AJ1039" s="91"/>
      <c r="AK1039" s="91"/>
      <c r="AL1039" s="91"/>
      <c r="AM1039" s="91"/>
      <c r="AN1039" s="91"/>
      <c r="AO1039" s="91"/>
      <c r="AP1039" s="91"/>
      <c r="AQ1039" s="91"/>
      <c r="AR1039" s="91"/>
      <c r="AS1039" s="91"/>
      <c r="AT1039" s="91"/>
      <c r="AU1039" s="91"/>
      <c r="AV1039" s="91"/>
      <c r="AW1039" s="91"/>
      <c r="AX1039" s="91"/>
      <c r="AY1039" s="91"/>
      <c r="AZ1039" s="91"/>
      <c r="BA1039" s="91"/>
      <c r="BB1039" s="91"/>
      <c r="BC1039" s="91"/>
      <c r="BD1039" s="91"/>
      <c r="BE1039" s="91"/>
      <c r="BF1039" s="92"/>
    </row>
    <row r="1040" spans="1:58" s="82" customFormat="1" ht="14.25" customHeight="1">
      <c r="A1040" s="941"/>
      <c r="B1040" s="960"/>
      <c r="C1040" s="621"/>
      <c r="D1040" s="84">
        <v>2027</v>
      </c>
      <c r="E1040" s="85">
        <f t="shared" si="361"/>
        <v>0</v>
      </c>
      <c r="F1040" s="85">
        <f t="shared" si="361"/>
        <v>0</v>
      </c>
      <c r="G1040" s="85">
        <f t="shared" si="361"/>
        <v>0</v>
      </c>
      <c r="H1040" s="85">
        <f t="shared" si="361"/>
        <v>0</v>
      </c>
      <c r="I1040" s="85">
        <f t="shared" si="361"/>
        <v>0</v>
      </c>
      <c r="J1040" s="85">
        <f t="shared" si="361"/>
        <v>0</v>
      </c>
      <c r="K1040" s="148">
        <v>0</v>
      </c>
      <c r="L1040" s="497">
        <f t="shared" si="358"/>
        <v>0</v>
      </c>
      <c r="M1040" s="407"/>
      <c r="N1040" s="88"/>
      <c r="O1040" s="408"/>
      <c r="P1040" s="685"/>
      <c r="Q1040" s="91"/>
      <c r="R1040" s="91"/>
      <c r="S1040" s="91"/>
      <c r="T1040" s="91"/>
      <c r="U1040" s="91"/>
      <c r="V1040" s="91"/>
      <c r="W1040" s="91"/>
      <c r="X1040" s="91"/>
      <c r="Y1040" s="91"/>
      <c r="Z1040" s="91"/>
      <c r="AA1040" s="91"/>
      <c r="AB1040" s="91"/>
      <c r="AC1040" s="91"/>
      <c r="AD1040" s="91"/>
      <c r="AE1040" s="91"/>
      <c r="AF1040" s="91"/>
      <c r="AG1040" s="91"/>
      <c r="AH1040" s="91"/>
      <c r="AI1040" s="91"/>
      <c r="AJ1040" s="91"/>
      <c r="AK1040" s="91"/>
      <c r="AL1040" s="91"/>
      <c r="AM1040" s="91"/>
      <c r="AN1040" s="91"/>
      <c r="AO1040" s="91"/>
      <c r="AP1040" s="91"/>
      <c r="AQ1040" s="91"/>
      <c r="AR1040" s="91"/>
      <c r="AS1040" s="91"/>
      <c r="AT1040" s="91"/>
      <c r="AU1040" s="91"/>
      <c r="AV1040" s="91"/>
      <c r="AW1040" s="91"/>
      <c r="AX1040" s="91"/>
      <c r="AY1040" s="91"/>
      <c r="AZ1040" s="91"/>
      <c r="BA1040" s="91"/>
      <c r="BB1040" s="91"/>
      <c r="BC1040" s="91"/>
      <c r="BD1040" s="91"/>
      <c r="BE1040" s="91"/>
      <c r="BF1040" s="92"/>
    </row>
    <row r="1041" spans="1:58" s="82" customFormat="1" ht="14.25" customHeight="1">
      <c r="A1041" s="941"/>
      <c r="B1041" s="960"/>
      <c r="C1041" s="621"/>
      <c r="D1041" s="84">
        <v>2028</v>
      </c>
      <c r="E1041" s="85">
        <f t="shared" si="361"/>
        <v>0</v>
      </c>
      <c r="F1041" s="85">
        <f t="shared" si="361"/>
        <v>0</v>
      </c>
      <c r="G1041" s="85">
        <f t="shared" si="361"/>
        <v>0</v>
      </c>
      <c r="H1041" s="85">
        <f t="shared" si="361"/>
        <v>0</v>
      </c>
      <c r="I1041" s="85">
        <f t="shared" si="361"/>
        <v>0</v>
      </c>
      <c r="J1041" s="85">
        <f t="shared" si="361"/>
        <v>0</v>
      </c>
      <c r="K1041" s="148">
        <v>0</v>
      </c>
      <c r="L1041" s="497">
        <f t="shared" si="358"/>
        <v>0</v>
      </c>
      <c r="M1041" s="407"/>
      <c r="N1041" s="88"/>
      <c r="O1041" s="408"/>
      <c r="P1041" s="685"/>
      <c r="Q1041" s="91"/>
      <c r="R1041" s="91"/>
      <c r="S1041" s="91"/>
      <c r="T1041" s="91"/>
      <c r="U1041" s="91"/>
      <c r="V1041" s="91"/>
      <c r="W1041" s="91"/>
      <c r="X1041" s="91"/>
      <c r="Y1041" s="91"/>
      <c r="Z1041" s="91"/>
      <c r="AA1041" s="91"/>
      <c r="AB1041" s="91"/>
      <c r="AC1041" s="91"/>
      <c r="AD1041" s="91"/>
      <c r="AE1041" s="91"/>
      <c r="AF1041" s="91"/>
      <c r="AG1041" s="91"/>
      <c r="AH1041" s="91"/>
      <c r="AI1041" s="91"/>
      <c r="AJ1041" s="91"/>
      <c r="AK1041" s="91"/>
      <c r="AL1041" s="91"/>
      <c r="AM1041" s="91"/>
      <c r="AN1041" s="91"/>
      <c r="AO1041" s="91"/>
      <c r="AP1041" s="91"/>
      <c r="AQ1041" s="91"/>
      <c r="AR1041" s="91"/>
      <c r="AS1041" s="91"/>
      <c r="AT1041" s="91"/>
      <c r="AU1041" s="91"/>
      <c r="AV1041" s="91"/>
      <c r="AW1041" s="91"/>
      <c r="AX1041" s="91"/>
      <c r="AY1041" s="91"/>
      <c r="AZ1041" s="91"/>
      <c r="BA1041" s="91"/>
      <c r="BB1041" s="91"/>
      <c r="BC1041" s="91"/>
      <c r="BD1041" s="91"/>
      <c r="BE1041" s="91"/>
      <c r="BF1041" s="92"/>
    </row>
    <row r="1042" spans="1:58" s="82" customFormat="1" ht="14.25" customHeight="1">
      <c r="A1042" s="941"/>
      <c r="B1042" s="960"/>
      <c r="C1042" s="621"/>
      <c r="D1042" s="84">
        <v>2029</v>
      </c>
      <c r="E1042" s="85">
        <f t="shared" si="361"/>
        <v>0</v>
      </c>
      <c r="F1042" s="85">
        <f t="shared" si="361"/>
        <v>0</v>
      </c>
      <c r="G1042" s="85">
        <f t="shared" si="361"/>
        <v>0</v>
      </c>
      <c r="H1042" s="85">
        <f t="shared" si="361"/>
        <v>0</v>
      </c>
      <c r="I1042" s="85">
        <f t="shared" si="361"/>
        <v>0</v>
      </c>
      <c r="J1042" s="85">
        <f t="shared" si="361"/>
        <v>0</v>
      </c>
      <c r="K1042" s="148">
        <v>0</v>
      </c>
      <c r="L1042" s="497">
        <f t="shared" si="358"/>
        <v>0</v>
      </c>
      <c r="M1042" s="407"/>
      <c r="N1042" s="88"/>
      <c r="O1042" s="408"/>
      <c r="P1042" s="685"/>
      <c r="Q1042" s="91"/>
      <c r="R1042" s="91"/>
      <c r="S1042" s="91"/>
      <c r="T1042" s="91"/>
      <c r="U1042" s="91"/>
      <c r="V1042" s="91"/>
      <c r="W1042" s="91"/>
      <c r="X1042" s="91"/>
      <c r="Y1042" s="91"/>
      <c r="Z1042" s="91"/>
      <c r="AA1042" s="91"/>
      <c r="AB1042" s="91"/>
      <c r="AC1042" s="91"/>
      <c r="AD1042" s="91"/>
      <c r="AE1042" s="91"/>
      <c r="AF1042" s="91"/>
      <c r="AG1042" s="91"/>
      <c r="AH1042" s="91"/>
      <c r="AI1042" s="91"/>
      <c r="AJ1042" s="91"/>
      <c r="AK1042" s="91"/>
      <c r="AL1042" s="91"/>
      <c r="AM1042" s="91"/>
      <c r="AN1042" s="91"/>
      <c r="AO1042" s="91"/>
      <c r="AP1042" s="91"/>
      <c r="AQ1042" s="91"/>
      <c r="AR1042" s="91"/>
      <c r="AS1042" s="91"/>
      <c r="AT1042" s="91"/>
      <c r="AU1042" s="91"/>
      <c r="AV1042" s="91"/>
      <c r="AW1042" s="91"/>
      <c r="AX1042" s="91"/>
      <c r="AY1042" s="91"/>
      <c r="AZ1042" s="91"/>
      <c r="BA1042" s="91"/>
      <c r="BB1042" s="91"/>
      <c r="BC1042" s="91"/>
      <c r="BD1042" s="91"/>
      <c r="BE1042" s="91"/>
      <c r="BF1042" s="92"/>
    </row>
    <row r="1043" spans="1:58" s="82" customFormat="1" ht="14.25" customHeight="1">
      <c r="A1043" s="942"/>
      <c r="B1043" s="961"/>
      <c r="C1043" s="623"/>
      <c r="D1043" s="84">
        <v>2030</v>
      </c>
      <c r="E1043" s="85">
        <f t="shared" si="361"/>
        <v>0</v>
      </c>
      <c r="F1043" s="85">
        <f t="shared" si="361"/>
        <v>0</v>
      </c>
      <c r="G1043" s="85">
        <f t="shared" si="361"/>
        <v>0</v>
      </c>
      <c r="H1043" s="85">
        <f t="shared" si="361"/>
        <v>0</v>
      </c>
      <c r="I1043" s="85">
        <f t="shared" si="361"/>
        <v>0</v>
      </c>
      <c r="J1043" s="85">
        <f t="shared" si="361"/>
        <v>0</v>
      </c>
      <c r="K1043" s="148">
        <v>0</v>
      </c>
      <c r="L1043" s="497">
        <f t="shared" si="358"/>
        <v>0</v>
      </c>
      <c r="M1043" s="407"/>
      <c r="N1043" s="88"/>
      <c r="O1043" s="408"/>
      <c r="P1043" s="685"/>
      <c r="Q1043" s="91"/>
      <c r="R1043" s="91"/>
      <c r="S1043" s="91"/>
      <c r="T1043" s="91"/>
      <c r="U1043" s="91"/>
      <c r="V1043" s="91"/>
      <c r="W1043" s="91"/>
      <c r="X1043" s="91"/>
      <c r="Y1043" s="91"/>
      <c r="Z1043" s="91"/>
      <c r="AA1043" s="91"/>
      <c r="AB1043" s="91"/>
      <c r="AC1043" s="91"/>
      <c r="AD1043" s="91"/>
      <c r="AE1043" s="91"/>
      <c r="AF1043" s="91"/>
      <c r="AG1043" s="91"/>
      <c r="AH1043" s="91"/>
      <c r="AI1043" s="91"/>
      <c r="AJ1043" s="91"/>
      <c r="AK1043" s="91"/>
      <c r="AL1043" s="91"/>
      <c r="AM1043" s="91"/>
      <c r="AN1043" s="91"/>
      <c r="AO1043" s="91"/>
      <c r="AP1043" s="91"/>
      <c r="AQ1043" s="91"/>
      <c r="AR1043" s="91"/>
      <c r="AS1043" s="91"/>
      <c r="AT1043" s="91"/>
      <c r="AU1043" s="91"/>
      <c r="AV1043" s="91"/>
      <c r="AW1043" s="91"/>
      <c r="AX1043" s="91"/>
      <c r="AY1043" s="91"/>
      <c r="AZ1043" s="91"/>
      <c r="BA1043" s="91"/>
      <c r="BB1043" s="91"/>
      <c r="BC1043" s="91"/>
      <c r="BD1043" s="91"/>
      <c r="BE1043" s="91"/>
      <c r="BF1043" s="92"/>
    </row>
    <row r="1044" spans="1:58" s="82" customFormat="1" ht="14.25" customHeight="1">
      <c r="A1044" s="1069" t="s">
        <v>978</v>
      </c>
      <c r="B1044" s="1080" t="s">
        <v>976</v>
      </c>
      <c r="C1044" s="1224"/>
      <c r="D1044" s="84" t="s">
        <v>16</v>
      </c>
      <c r="E1044" s="85">
        <f t="shared" ref="E1044:J1044" si="362">E1045+E1046+E1047+E1048+E1049+E1050+E1051+E1052+E1053+E1054+E1055+E1056</f>
        <v>0</v>
      </c>
      <c r="F1044" s="85">
        <f t="shared" si="362"/>
        <v>0</v>
      </c>
      <c r="G1044" s="85">
        <f t="shared" si="362"/>
        <v>0</v>
      </c>
      <c r="H1044" s="85">
        <f t="shared" si="362"/>
        <v>0</v>
      </c>
      <c r="I1044" s="85">
        <f t="shared" si="362"/>
        <v>0</v>
      </c>
      <c r="J1044" s="85">
        <f t="shared" si="362"/>
        <v>0</v>
      </c>
      <c r="K1044" s="148">
        <v>0</v>
      </c>
      <c r="L1044" s="497">
        <f t="shared" si="358"/>
        <v>0</v>
      </c>
      <c r="M1044" s="407"/>
      <c r="N1044" s="88"/>
      <c r="O1044" s="408"/>
      <c r="P1044" s="1286" t="s">
        <v>527</v>
      </c>
      <c r="Q1044" s="91"/>
      <c r="R1044" s="91"/>
      <c r="S1044" s="91"/>
      <c r="T1044" s="91"/>
      <c r="U1044" s="91"/>
      <c r="V1044" s="91"/>
      <c r="W1044" s="91"/>
      <c r="X1044" s="91"/>
      <c r="Y1044" s="91"/>
      <c r="Z1044" s="91"/>
      <c r="AA1044" s="91"/>
      <c r="AB1044" s="91"/>
      <c r="AC1044" s="91"/>
      <c r="AD1044" s="91"/>
      <c r="AE1044" s="91"/>
      <c r="AF1044" s="91"/>
      <c r="AG1044" s="91"/>
      <c r="AH1044" s="91"/>
      <c r="AI1044" s="91"/>
      <c r="AJ1044" s="91"/>
      <c r="AK1044" s="91"/>
      <c r="AL1044" s="91"/>
      <c r="AM1044" s="91"/>
      <c r="AN1044" s="91"/>
      <c r="AO1044" s="91"/>
      <c r="AP1044" s="91"/>
      <c r="AQ1044" s="91"/>
      <c r="AR1044" s="91"/>
      <c r="AS1044" s="91"/>
      <c r="AT1044" s="91"/>
      <c r="AU1044" s="91"/>
      <c r="AV1044" s="91"/>
      <c r="AW1044" s="91"/>
      <c r="AX1044" s="91"/>
      <c r="AY1044" s="91"/>
      <c r="AZ1044" s="91"/>
      <c r="BA1044" s="91"/>
      <c r="BB1044" s="91"/>
      <c r="BC1044" s="91"/>
      <c r="BD1044" s="91"/>
      <c r="BE1044" s="91"/>
      <c r="BF1044" s="92"/>
    </row>
    <row r="1045" spans="1:58" s="82" customFormat="1" ht="14.25" customHeight="1">
      <c r="A1045" s="941"/>
      <c r="B1045" s="1261"/>
      <c r="C1045" s="1218"/>
      <c r="D1045" s="84">
        <v>2019</v>
      </c>
      <c r="E1045" s="85">
        <v>0</v>
      </c>
      <c r="F1045" s="85">
        <v>0</v>
      </c>
      <c r="G1045" s="85">
        <v>0</v>
      </c>
      <c r="H1045" s="85">
        <v>0</v>
      </c>
      <c r="I1045" s="85">
        <v>0</v>
      </c>
      <c r="J1045" s="85">
        <v>0</v>
      </c>
      <c r="K1045" s="148">
        <v>0</v>
      </c>
      <c r="L1045" s="497">
        <f t="shared" si="358"/>
        <v>0</v>
      </c>
      <c r="M1045" s="407"/>
      <c r="N1045" s="88"/>
      <c r="O1045" s="408"/>
      <c r="P1045" s="1218"/>
      <c r="Q1045" s="91"/>
      <c r="R1045" s="91"/>
      <c r="S1045" s="91"/>
      <c r="T1045" s="91"/>
      <c r="U1045" s="91"/>
      <c r="V1045" s="91"/>
      <c r="W1045" s="91"/>
      <c r="X1045" s="91"/>
      <c r="Y1045" s="91"/>
      <c r="Z1045" s="91"/>
      <c r="AA1045" s="91"/>
      <c r="AB1045" s="91"/>
      <c r="AC1045" s="91"/>
      <c r="AD1045" s="91"/>
      <c r="AE1045" s="91"/>
      <c r="AF1045" s="91"/>
      <c r="AG1045" s="91"/>
      <c r="AH1045" s="91"/>
      <c r="AI1045" s="91"/>
      <c r="AJ1045" s="91"/>
      <c r="AK1045" s="91"/>
      <c r="AL1045" s="91"/>
      <c r="AM1045" s="91"/>
      <c r="AN1045" s="91"/>
      <c r="AO1045" s="91"/>
      <c r="AP1045" s="91"/>
      <c r="AQ1045" s="91"/>
      <c r="AR1045" s="91"/>
      <c r="AS1045" s="91"/>
      <c r="AT1045" s="91"/>
      <c r="AU1045" s="91"/>
      <c r="AV1045" s="91"/>
      <c r="AW1045" s="91"/>
      <c r="AX1045" s="91"/>
      <c r="AY1045" s="91"/>
      <c r="AZ1045" s="91"/>
      <c r="BA1045" s="91"/>
      <c r="BB1045" s="91"/>
      <c r="BC1045" s="91"/>
      <c r="BD1045" s="91"/>
      <c r="BE1045" s="91"/>
      <c r="BF1045" s="92"/>
    </row>
    <row r="1046" spans="1:58" s="82" customFormat="1" ht="14.25" customHeight="1">
      <c r="A1046" s="941"/>
      <c r="B1046" s="1261"/>
      <c r="C1046" s="1218"/>
      <c r="D1046" s="84">
        <v>2020</v>
      </c>
      <c r="E1046" s="85">
        <v>0</v>
      </c>
      <c r="F1046" s="85">
        <v>0</v>
      </c>
      <c r="G1046" s="85">
        <v>0</v>
      </c>
      <c r="H1046" s="85">
        <v>0</v>
      </c>
      <c r="I1046" s="85">
        <v>0</v>
      </c>
      <c r="J1046" s="85">
        <v>0</v>
      </c>
      <c r="K1046" s="148">
        <v>0</v>
      </c>
      <c r="L1046" s="497">
        <f t="shared" si="358"/>
        <v>0</v>
      </c>
      <c r="M1046" s="407"/>
      <c r="N1046" s="88"/>
      <c r="O1046" s="408"/>
      <c r="P1046" s="1218"/>
      <c r="Q1046" s="91"/>
      <c r="R1046" s="91"/>
      <c r="S1046" s="91"/>
      <c r="T1046" s="91"/>
      <c r="U1046" s="91"/>
      <c r="V1046" s="91"/>
      <c r="W1046" s="91"/>
      <c r="X1046" s="91"/>
      <c r="Y1046" s="91"/>
      <c r="Z1046" s="91"/>
      <c r="AA1046" s="91"/>
      <c r="AB1046" s="91"/>
      <c r="AC1046" s="91"/>
      <c r="AD1046" s="91"/>
      <c r="AE1046" s="91"/>
      <c r="AF1046" s="91"/>
      <c r="AG1046" s="91"/>
      <c r="AH1046" s="91"/>
      <c r="AI1046" s="91"/>
      <c r="AJ1046" s="91"/>
      <c r="AK1046" s="91"/>
      <c r="AL1046" s="91"/>
      <c r="AM1046" s="91"/>
      <c r="AN1046" s="91"/>
      <c r="AO1046" s="91"/>
      <c r="AP1046" s="91"/>
      <c r="AQ1046" s="91"/>
      <c r="AR1046" s="91"/>
      <c r="AS1046" s="91"/>
      <c r="AT1046" s="91"/>
      <c r="AU1046" s="91"/>
      <c r="AV1046" s="91"/>
      <c r="AW1046" s="91"/>
      <c r="AX1046" s="91"/>
      <c r="AY1046" s="91"/>
      <c r="AZ1046" s="91"/>
      <c r="BA1046" s="91"/>
      <c r="BB1046" s="91"/>
      <c r="BC1046" s="91"/>
      <c r="BD1046" s="91"/>
      <c r="BE1046" s="91"/>
      <c r="BF1046" s="92"/>
    </row>
    <row r="1047" spans="1:58" s="82" customFormat="1" ht="14.25" customHeight="1">
      <c r="A1047" s="941"/>
      <c r="B1047" s="1261"/>
      <c r="C1047" s="1218"/>
      <c r="D1047" s="84">
        <v>2021</v>
      </c>
      <c r="E1047" s="85">
        <v>0</v>
      </c>
      <c r="F1047" s="85">
        <v>0</v>
      </c>
      <c r="G1047" s="85">
        <v>0</v>
      </c>
      <c r="H1047" s="85">
        <v>0</v>
      </c>
      <c r="I1047" s="85">
        <v>0</v>
      </c>
      <c r="J1047" s="85">
        <v>0</v>
      </c>
      <c r="K1047" s="148">
        <v>0</v>
      </c>
      <c r="L1047" s="497">
        <f t="shared" si="358"/>
        <v>0</v>
      </c>
      <c r="M1047" s="407"/>
      <c r="N1047" s="88"/>
      <c r="O1047" s="408"/>
      <c r="P1047" s="1218"/>
      <c r="Q1047" s="91"/>
      <c r="R1047" s="91"/>
      <c r="S1047" s="91"/>
      <c r="T1047" s="91"/>
      <c r="U1047" s="91"/>
      <c r="V1047" s="91"/>
      <c r="W1047" s="91"/>
      <c r="X1047" s="91"/>
      <c r="Y1047" s="91"/>
      <c r="Z1047" s="91"/>
      <c r="AA1047" s="91"/>
      <c r="AB1047" s="91"/>
      <c r="AC1047" s="91"/>
      <c r="AD1047" s="91"/>
      <c r="AE1047" s="91"/>
      <c r="AF1047" s="91"/>
      <c r="AG1047" s="91"/>
      <c r="AH1047" s="91"/>
      <c r="AI1047" s="91"/>
      <c r="AJ1047" s="91"/>
      <c r="AK1047" s="91"/>
      <c r="AL1047" s="91"/>
      <c r="AM1047" s="91"/>
      <c r="AN1047" s="91"/>
      <c r="AO1047" s="91"/>
      <c r="AP1047" s="91"/>
      <c r="AQ1047" s="91"/>
      <c r="AR1047" s="91"/>
      <c r="AS1047" s="91"/>
      <c r="AT1047" s="91"/>
      <c r="AU1047" s="91"/>
      <c r="AV1047" s="91"/>
      <c r="AW1047" s="91"/>
      <c r="AX1047" s="91"/>
      <c r="AY1047" s="91"/>
      <c r="AZ1047" s="91"/>
      <c r="BA1047" s="91"/>
      <c r="BB1047" s="91"/>
      <c r="BC1047" s="91"/>
      <c r="BD1047" s="91"/>
      <c r="BE1047" s="91"/>
      <c r="BF1047" s="92"/>
    </row>
    <row r="1048" spans="1:58" s="82" customFormat="1" ht="14.25" customHeight="1">
      <c r="A1048" s="941"/>
      <c r="B1048" s="1261"/>
      <c r="C1048" s="1218"/>
      <c r="D1048" s="84">
        <v>2022</v>
      </c>
      <c r="E1048" s="85">
        <v>0</v>
      </c>
      <c r="F1048" s="85">
        <v>0</v>
      </c>
      <c r="G1048" s="85">
        <v>0</v>
      </c>
      <c r="H1048" s="85">
        <v>0</v>
      </c>
      <c r="I1048" s="85">
        <v>0</v>
      </c>
      <c r="J1048" s="85">
        <v>0</v>
      </c>
      <c r="K1048" s="148">
        <v>0</v>
      </c>
      <c r="L1048" s="497">
        <f t="shared" ref="L1048:L1079" si="363">F1048+G1048+H1048+I1048+J1048</f>
        <v>0</v>
      </c>
      <c r="M1048" s="407"/>
      <c r="N1048" s="88"/>
      <c r="O1048" s="408"/>
      <c r="P1048" s="1218"/>
      <c r="Q1048" s="91"/>
      <c r="R1048" s="91"/>
      <c r="S1048" s="91"/>
      <c r="T1048" s="91"/>
      <c r="U1048" s="91"/>
      <c r="V1048" s="91"/>
      <c r="W1048" s="91"/>
      <c r="X1048" s="91"/>
      <c r="Y1048" s="91"/>
      <c r="Z1048" s="91"/>
      <c r="AA1048" s="91"/>
      <c r="AB1048" s="91"/>
      <c r="AC1048" s="91"/>
      <c r="AD1048" s="91"/>
      <c r="AE1048" s="91"/>
      <c r="AF1048" s="91"/>
      <c r="AG1048" s="91"/>
      <c r="AH1048" s="91"/>
      <c r="AI1048" s="91"/>
      <c r="AJ1048" s="91"/>
      <c r="AK1048" s="91"/>
      <c r="AL1048" s="91"/>
      <c r="AM1048" s="91"/>
      <c r="AN1048" s="91"/>
      <c r="AO1048" s="91"/>
      <c r="AP1048" s="91"/>
      <c r="AQ1048" s="91"/>
      <c r="AR1048" s="91"/>
      <c r="AS1048" s="91"/>
      <c r="AT1048" s="91"/>
      <c r="AU1048" s="91"/>
      <c r="AV1048" s="91"/>
      <c r="AW1048" s="91"/>
      <c r="AX1048" s="91"/>
      <c r="AY1048" s="91"/>
      <c r="AZ1048" s="91"/>
      <c r="BA1048" s="91"/>
      <c r="BB1048" s="91"/>
      <c r="BC1048" s="91"/>
      <c r="BD1048" s="91"/>
      <c r="BE1048" s="91"/>
      <c r="BF1048" s="92"/>
    </row>
    <row r="1049" spans="1:58" s="82" customFormat="1" ht="14.25" customHeight="1">
      <c r="A1049" s="941"/>
      <c r="B1049" s="1261"/>
      <c r="C1049" s="1218"/>
      <c r="D1049" s="84">
        <v>2023</v>
      </c>
      <c r="E1049" s="85">
        <v>0</v>
      </c>
      <c r="F1049" s="85">
        <v>0</v>
      </c>
      <c r="G1049" s="85">
        <v>0</v>
      </c>
      <c r="H1049" s="85">
        <v>0</v>
      </c>
      <c r="I1049" s="85">
        <v>0</v>
      </c>
      <c r="J1049" s="85">
        <v>0</v>
      </c>
      <c r="K1049" s="148">
        <v>0</v>
      </c>
      <c r="L1049" s="497">
        <f t="shared" si="363"/>
        <v>0</v>
      </c>
      <c r="M1049" s="407"/>
      <c r="N1049" s="88"/>
      <c r="O1049" s="408"/>
      <c r="P1049" s="1218"/>
      <c r="Q1049" s="91"/>
      <c r="R1049" s="91"/>
      <c r="S1049" s="91"/>
      <c r="T1049" s="91"/>
      <c r="U1049" s="91"/>
      <c r="V1049" s="91"/>
      <c r="W1049" s="91"/>
      <c r="X1049" s="91"/>
      <c r="Y1049" s="91"/>
      <c r="Z1049" s="91"/>
      <c r="AA1049" s="91"/>
      <c r="AB1049" s="91"/>
      <c r="AC1049" s="91"/>
      <c r="AD1049" s="91"/>
      <c r="AE1049" s="91"/>
      <c r="AF1049" s="91"/>
      <c r="AG1049" s="91"/>
      <c r="AH1049" s="91"/>
      <c r="AI1049" s="91"/>
      <c r="AJ1049" s="91"/>
      <c r="AK1049" s="91"/>
      <c r="AL1049" s="91"/>
      <c r="AM1049" s="91"/>
      <c r="AN1049" s="91"/>
      <c r="AO1049" s="91"/>
      <c r="AP1049" s="91"/>
      <c r="AQ1049" s="91"/>
      <c r="AR1049" s="91"/>
      <c r="AS1049" s="91"/>
      <c r="AT1049" s="91"/>
      <c r="AU1049" s="91"/>
      <c r="AV1049" s="91"/>
      <c r="AW1049" s="91"/>
      <c r="AX1049" s="91"/>
      <c r="AY1049" s="91"/>
      <c r="AZ1049" s="91"/>
      <c r="BA1049" s="91"/>
      <c r="BB1049" s="91"/>
      <c r="BC1049" s="91"/>
      <c r="BD1049" s="91"/>
      <c r="BE1049" s="91"/>
      <c r="BF1049" s="92"/>
    </row>
    <row r="1050" spans="1:58" s="82" customFormat="1" ht="14.25" customHeight="1">
      <c r="A1050" s="941"/>
      <c r="B1050" s="1261"/>
      <c r="C1050" s="1218"/>
      <c r="D1050" s="84">
        <v>2024</v>
      </c>
      <c r="E1050" s="85">
        <v>0</v>
      </c>
      <c r="F1050" s="85">
        <v>0</v>
      </c>
      <c r="G1050" s="85">
        <v>0</v>
      </c>
      <c r="H1050" s="85">
        <v>0</v>
      </c>
      <c r="I1050" s="85">
        <v>0</v>
      </c>
      <c r="J1050" s="85">
        <v>0</v>
      </c>
      <c r="K1050" s="148">
        <v>0</v>
      </c>
      <c r="L1050" s="497">
        <f t="shared" si="363"/>
        <v>0</v>
      </c>
      <c r="M1050" s="407"/>
      <c r="N1050" s="88"/>
      <c r="O1050" s="408"/>
      <c r="P1050" s="1218"/>
      <c r="Q1050" s="91"/>
      <c r="R1050" s="91"/>
      <c r="S1050" s="91"/>
      <c r="T1050" s="91"/>
      <c r="U1050" s="91"/>
      <c r="V1050" s="91"/>
      <c r="W1050" s="91"/>
      <c r="X1050" s="91"/>
      <c r="Y1050" s="91"/>
      <c r="Z1050" s="91"/>
      <c r="AA1050" s="91"/>
      <c r="AB1050" s="91"/>
      <c r="AC1050" s="91"/>
      <c r="AD1050" s="91"/>
      <c r="AE1050" s="91"/>
      <c r="AF1050" s="91"/>
      <c r="AG1050" s="91"/>
      <c r="AH1050" s="91"/>
      <c r="AI1050" s="91"/>
      <c r="AJ1050" s="91"/>
      <c r="AK1050" s="91"/>
      <c r="AL1050" s="91"/>
      <c r="AM1050" s="91"/>
      <c r="AN1050" s="91"/>
      <c r="AO1050" s="91"/>
      <c r="AP1050" s="91"/>
      <c r="AQ1050" s="91"/>
      <c r="AR1050" s="91"/>
      <c r="AS1050" s="91"/>
      <c r="AT1050" s="91"/>
      <c r="AU1050" s="91"/>
      <c r="AV1050" s="91"/>
      <c r="AW1050" s="91"/>
      <c r="AX1050" s="91"/>
      <c r="AY1050" s="91"/>
      <c r="AZ1050" s="91"/>
      <c r="BA1050" s="91"/>
      <c r="BB1050" s="91"/>
      <c r="BC1050" s="91"/>
      <c r="BD1050" s="91"/>
      <c r="BE1050" s="91"/>
      <c r="BF1050" s="92"/>
    </row>
    <row r="1051" spans="1:58" s="82" customFormat="1" ht="14.25" customHeight="1">
      <c r="A1051" s="941"/>
      <c r="B1051" s="1261"/>
      <c r="C1051" s="1218"/>
      <c r="D1051" s="84">
        <v>2025</v>
      </c>
      <c r="E1051" s="85">
        <v>0</v>
      </c>
      <c r="F1051" s="85">
        <v>0</v>
      </c>
      <c r="G1051" s="85">
        <v>0</v>
      </c>
      <c r="H1051" s="85">
        <v>0</v>
      </c>
      <c r="I1051" s="85">
        <v>0</v>
      </c>
      <c r="J1051" s="85">
        <v>0</v>
      </c>
      <c r="K1051" s="148">
        <v>0</v>
      </c>
      <c r="L1051" s="497">
        <f t="shared" si="363"/>
        <v>0</v>
      </c>
      <c r="M1051" s="407"/>
      <c r="N1051" s="88"/>
      <c r="O1051" s="408"/>
      <c r="P1051" s="1218"/>
      <c r="Q1051" s="91"/>
      <c r="R1051" s="91"/>
      <c r="S1051" s="91"/>
      <c r="T1051" s="91"/>
      <c r="U1051" s="91"/>
      <c r="V1051" s="91"/>
      <c r="W1051" s="91"/>
      <c r="X1051" s="91"/>
      <c r="Y1051" s="91"/>
      <c r="Z1051" s="91"/>
      <c r="AA1051" s="91"/>
      <c r="AB1051" s="91"/>
      <c r="AC1051" s="91"/>
      <c r="AD1051" s="91"/>
      <c r="AE1051" s="91"/>
      <c r="AF1051" s="91"/>
      <c r="AG1051" s="91"/>
      <c r="AH1051" s="91"/>
      <c r="AI1051" s="91"/>
      <c r="AJ1051" s="91"/>
      <c r="AK1051" s="91"/>
      <c r="AL1051" s="91"/>
      <c r="AM1051" s="91"/>
      <c r="AN1051" s="91"/>
      <c r="AO1051" s="91"/>
      <c r="AP1051" s="91"/>
      <c r="AQ1051" s="91"/>
      <c r="AR1051" s="91"/>
      <c r="AS1051" s="91"/>
      <c r="AT1051" s="91"/>
      <c r="AU1051" s="91"/>
      <c r="AV1051" s="91"/>
      <c r="AW1051" s="91"/>
      <c r="AX1051" s="91"/>
      <c r="AY1051" s="91"/>
      <c r="AZ1051" s="91"/>
      <c r="BA1051" s="91"/>
      <c r="BB1051" s="91"/>
      <c r="BC1051" s="91"/>
      <c r="BD1051" s="91"/>
      <c r="BE1051" s="91"/>
      <c r="BF1051" s="92"/>
    </row>
    <row r="1052" spans="1:58" s="82" customFormat="1" ht="14.25" customHeight="1">
      <c r="A1052" s="941"/>
      <c r="B1052" s="1261"/>
      <c r="C1052" s="1218"/>
      <c r="D1052" s="84">
        <v>2026</v>
      </c>
      <c r="E1052" s="85">
        <v>0</v>
      </c>
      <c r="F1052" s="85">
        <v>0</v>
      </c>
      <c r="G1052" s="85">
        <v>0</v>
      </c>
      <c r="H1052" s="85">
        <v>0</v>
      </c>
      <c r="I1052" s="85">
        <v>0</v>
      </c>
      <c r="J1052" s="85">
        <v>0</v>
      </c>
      <c r="K1052" s="148">
        <v>0</v>
      </c>
      <c r="L1052" s="497">
        <f t="shared" si="363"/>
        <v>0</v>
      </c>
      <c r="M1052" s="407"/>
      <c r="N1052" s="88"/>
      <c r="O1052" s="408"/>
      <c r="P1052" s="1218"/>
      <c r="Q1052" s="91"/>
      <c r="R1052" s="91"/>
      <c r="S1052" s="91"/>
      <c r="T1052" s="91"/>
      <c r="U1052" s="91"/>
      <c r="V1052" s="91"/>
      <c r="W1052" s="91"/>
      <c r="X1052" s="91"/>
      <c r="Y1052" s="91"/>
      <c r="Z1052" s="91"/>
      <c r="AA1052" s="91"/>
      <c r="AB1052" s="91"/>
      <c r="AC1052" s="91"/>
      <c r="AD1052" s="91"/>
      <c r="AE1052" s="91"/>
      <c r="AF1052" s="91"/>
      <c r="AG1052" s="91"/>
      <c r="AH1052" s="91"/>
      <c r="AI1052" s="91"/>
      <c r="AJ1052" s="91"/>
      <c r="AK1052" s="91"/>
      <c r="AL1052" s="91"/>
      <c r="AM1052" s="91"/>
      <c r="AN1052" s="91"/>
      <c r="AO1052" s="91"/>
      <c r="AP1052" s="91"/>
      <c r="AQ1052" s="91"/>
      <c r="AR1052" s="91"/>
      <c r="AS1052" s="91"/>
      <c r="AT1052" s="91"/>
      <c r="AU1052" s="91"/>
      <c r="AV1052" s="91"/>
      <c r="AW1052" s="91"/>
      <c r="AX1052" s="91"/>
      <c r="AY1052" s="91"/>
      <c r="AZ1052" s="91"/>
      <c r="BA1052" s="91"/>
      <c r="BB1052" s="91"/>
      <c r="BC1052" s="91"/>
      <c r="BD1052" s="91"/>
      <c r="BE1052" s="91"/>
      <c r="BF1052" s="92"/>
    </row>
    <row r="1053" spans="1:58" s="82" customFormat="1" ht="14.25" customHeight="1">
      <c r="A1053" s="941"/>
      <c r="B1053" s="1261"/>
      <c r="C1053" s="1218"/>
      <c r="D1053" s="84">
        <v>2027</v>
      </c>
      <c r="E1053" s="85">
        <v>0</v>
      </c>
      <c r="F1053" s="85">
        <v>0</v>
      </c>
      <c r="G1053" s="85">
        <v>0</v>
      </c>
      <c r="H1053" s="85">
        <v>0</v>
      </c>
      <c r="I1053" s="85">
        <v>0</v>
      </c>
      <c r="J1053" s="85">
        <v>0</v>
      </c>
      <c r="K1053" s="148">
        <v>0</v>
      </c>
      <c r="L1053" s="497">
        <f t="shared" si="363"/>
        <v>0</v>
      </c>
      <c r="M1053" s="407"/>
      <c r="N1053" s="88"/>
      <c r="O1053" s="408"/>
      <c r="P1053" s="1218"/>
      <c r="Q1053" s="91"/>
      <c r="R1053" s="91"/>
      <c r="S1053" s="91"/>
      <c r="T1053" s="91"/>
      <c r="U1053" s="91"/>
      <c r="V1053" s="91"/>
      <c r="W1053" s="91"/>
      <c r="X1053" s="91"/>
      <c r="Y1053" s="91"/>
      <c r="Z1053" s="91"/>
      <c r="AA1053" s="91"/>
      <c r="AB1053" s="91"/>
      <c r="AC1053" s="91"/>
      <c r="AD1053" s="91"/>
      <c r="AE1053" s="91"/>
      <c r="AF1053" s="91"/>
      <c r="AG1053" s="91"/>
      <c r="AH1053" s="91"/>
      <c r="AI1053" s="91"/>
      <c r="AJ1053" s="91"/>
      <c r="AK1053" s="91"/>
      <c r="AL1053" s="91"/>
      <c r="AM1053" s="91"/>
      <c r="AN1053" s="91"/>
      <c r="AO1053" s="91"/>
      <c r="AP1053" s="91"/>
      <c r="AQ1053" s="91"/>
      <c r="AR1053" s="91"/>
      <c r="AS1053" s="91"/>
      <c r="AT1053" s="91"/>
      <c r="AU1053" s="91"/>
      <c r="AV1053" s="91"/>
      <c r="AW1053" s="91"/>
      <c r="AX1053" s="91"/>
      <c r="AY1053" s="91"/>
      <c r="AZ1053" s="91"/>
      <c r="BA1053" s="91"/>
      <c r="BB1053" s="91"/>
      <c r="BC1053" s="91"/>
      <c r="BD1053" s="91"/>
      <c r="BE1053" s="91"/>
      <c r="BF1053" s="92"/>
    </row>
    <row r="1054" spans="1:58" s="82" customFormat="1" ht="14.25" customHeight="1">
      <c r="A1054" s="941"/>
      <c r="B1054" s="1261"/>
      <c r="C1054" s="1218"/>
      <c r="D1054" s="84">
        <v>2028</v>
      </c>
      <c r="E1054" s="85">
        <v>0</v>
      </c>
      <c r="F1054" s="85">
        <v>0</v>
      </c>
      <c r="G1054" s="85">
        <v>0</v>
      </c>
      <c r="H1054" s="85">
        <v>0</v>
      </c>
      <c r="I1054" s="85">
        <v>0</v>
      </c>
      <c r="J1054" s="85">
        <v>0</v>
      </c>
      <c r="K1054" s="148">
        <v>0</v>
      </c>
      <c r="L1054" s="497">
        <f t="shared" si="363"/>
        <v>0</v>
      </c>
      <c r="M1054" s="407"/>
      <c r="N1054" s="88"/>
      <c r="O1054" s="408"/>
      <c r="P1054" s="1218"/>
      <c r="Q1054" s="91"/>
      <c r="R1054" s="91"/>
      <c r="S1054" s="91"/>
      <c r="T1054" s="91"/>
      <c r="U1054" s="91"/>
      <c r="V1054" s="91"/>
      <c r="W1054" s="91"/>
      <c r="X1054" s="91"/>
      <c r="Y1054" s="91"/>
      <c r="Z1054" s="91"/>
      <c r="AA1054" s="91"/>
      <c r="AB1054" s="91"/>
      <c r="AC1054" s="91"/>
      <c r="AD1054" s="91"/>
      <c r="AE1054" s="91"/>
      <c r="AF1054" s="91"/>
      <c r="AG1054" s="91"/>
      <c r="AH1054" s="91"/>
      <c r="AI1054" s="91"/>
      <c r="AJ1054" s="91"/>
      <c r="AK1054" s="91"/>
      <c r="AL1054" s="91"/>
      <c r="AM1054" s="91"/>
      <c r="AN1054" s="91"/>
      <c r="AO1054" s="91"/>
      <c r="AP1054" s="91"/>
      <c r="AQ1054" s="91"/>
      <c r="AR1054" s="91"/>
      <c r="AS1054" s="91"/>
      <c r="AT1054" s="91"/>
      <c r="AU1054" s="91"/>
      <c r="AV1054" s="91"/>
      <c r="AW1054" s="91"/>
      <c r="AX1054" s="91"/>
      <c r="AY1054" s="91"/>
      <c r="AZ1054" s="91"/>
      <c r="BA1054" s="91"/>
      <c r="BB1054" s="91"/>
      <c r="BC1054" s="91"/>
      <c r="BD1054" s="91"/>
      <c r="BE1054" s="91"/>
      <c r="BF1054" s="92"/>
    </row>
    <row r="1055" spans="1:58" s="82" customFormat="1" ht="14.25" customHeight="1">
      <c r="A1055" s="941"/>
      <c r="B1055" s="1261"/>
      <c r="C1055" s="1218"/>
      <c r="D1055" s="84">
        <v>2029</v>
      </c>
      <c r="E1055" s="85">
        <v>0</v>
      </c>
      <c r="F1055" s="85">
        <v>0</v>
      </c>
      <c r="G1055" s="85">
        <v>0</v>
      </c>
      <c r="H1055" s="85">
        <v>0</v>
      </c>
      <c r="I1055" s="85">
        <v>0</v>
      </c>
      <c r="J1055" s="85">
        <v>0</v>
      </c>
      <c r="K1055" s="148">
        <v>0</v>
      </c>
      <c r="L1055" s="497">
        <f t="shared" si="363"/>
        <v>0</v>
      </c>
      <c r="M1055" s="407"/>
      <c r="N1055" s="88"/>
      <c r="O1055" s="408"/>
      <c r="P1055" s="1218"/>
      <c r="Q1055" s="91"/>
      <c r="R1055" s="91"/>
      <c r="S1055" s="91"/>
      <c r="T1055" s="91"/>
      <c r="U1055" s="91"/>
      <c r="V1055" s="91"/>
      <c r="W1055" s="91"/>
      <c r="X1055" s="91"/>
      <c r="Y1055" s="91"/>
      <c r="Z1055" s="91"/>
      <c r="AA1055" s="91"/>
      <c r="AB1055" s="91"/>
      <c r="AC1055" s="91"/>
      <c r="AD1055" s="91"/>
      <c r="AE1055" s="91"/>
      <c r="AF1055" s="91"/>
      <c r="AG1055" s="91"/>
      <c r="AH1055" s="91"/>
      <c r="AI1055" s="91"/>
      <c r="AJ1055" s="91"/>
      <c r="AK1055" s="91"/>
      <c r="AL1055" s="91"/>
      <c r="AM1055" s="91"/>
      <c r="AN1055" s="91"/>
      <c r="AO1055" s="91"/>
      <c r="AP1055" s="91"/>
      <c r="AQ1055" s="91"/>
      <c r="AR1055" s="91"/>
      <c r="AS1055" s="91"/>
      <c r="AT1055" s="91"/>
      <c r="AU1055" s="91"/>
      <c r="AV1055" s="91"/>
      <c r="AW1055" s="91"/>
      <c r="AX1055" s="91"/>
      <c r="AY1055" s="91"/>
      <c r="AZ1055" s="91"/>
      <c r="BA1055" s="91"/>
      <c r="BB1055" s="91"/>
      <c r="BC1055" s="91"/>
      <c r="BD1055" s="91"/>
      <c r="BE1055" s="91"/>
      <c r="BF1055" s="92"/>
    </row>
    <row r="1056" spans="1:58" s="82" customFormat="1" ht="14.25" customHeight="1">
      <c r="A1056" s="942"/>
      <c r="B1056" s="1288"/>
      <c r="C1056" s="1219"/>
      <c r="D1056" s="84">
        <v>2030</v>
      </c>
      <c r="E1056" s="85">
        <v>0</v>
      </c>
      <c r="F1056" s="85">
        <v>0</v>
      </c>
      <c r="G1056" s="85">
        <v>0</v>
      </c>
      <c r="H1056" s="85">
        <v>0</v>
      </c>
      <c r="I1056" s="85">
        <v>0</v>
      </c>
      <c r="J1056" s="85">
        <v>0</v>
      </c>
      <c r="K1056" s="148">
        <v>0</v>
      </c>
      <c r="L1056" s="497">
        <f t="shared" si="363"/>
        <v>0</v>
      </c>
      <c r="M1056" s="407"/>
      <c r="N1056" s="88"/>
      <c r="O1056" s="408"/>
      <c r="P1056" s="1219"/>
      <c r="Q1056" s="91"/>
      <c r="R1056" s="91"/>
      <c r="S1056" s="91"/>
      <c r="T1056" s="91"/>
      <c r="U1056" s="91"/>
      <c r="V1056" s="91"/>
      <c r="W1056" s="91"/>
      <c r="X1056" s="91"/>
      <c r="Y1056" s="91"/>
      <c r="Z1056" s="91"/>
      <c r="AA1056" s="91"/>
      <c r="AB1056" s="91"/>
      <c r="AC1056" s="91"/>
      <c r="AD1056" s="91"/>
      <c r="AE1056" s="91"/>
      <c r="AF1056" s="91"/>
      <c r="AG1056" s="91"/>
      <c r="AH1056" s="91"/>
      <c r="AI1056" s="91"/>
      <c r="AJ1056" s="91"/>
      <c r="AK1056" s="91"/>
      <c r="AL1056" s="91"/>
      <c r="AM1056" s="91"/>
      <c r="AN1056" s="91"/>
      <c r="AO1056" s="91"/>
      <c r="AP1056" s="91"/>
      <c r="AQ1056" s="91"/>
      <c r="AR1056" s="91"/>
      <c r="AS1056" s="91"/>
      <c r="AT1056" s="91"/>
      <c r="AU1056" s="91"/>
      <c r="AV1056" s="91"/>
      <c r="AW1056" s="91"/>
      <c r="AX1056" s="91"/>
      <c r="AY1056" s="91"/>
      <c r="AZ1056" s="91"/>
      <c r="BA1056" s="91"/>
      <c r="BB1056" s="91"/>
      <c r="BC1056" s="91"/>
      <c r="BD1056" s="91"/>
      <c r="BE1056" s="91"/>
      <c r="BF1056" s="92"/>
    </row>
    <row r="1057" spans="1:58" s="82" customFormat="1" ht="14.25" customHeight="1">
      <c r="A1057" s="926" t="s">
        <v>989</v>
      </c>
      <c r="B1057" s="929" t="s">
        <v>265</v>
      </c>
      <c r="C1057" s="621"/>
      <c r="D1057" s="84" t="s">
        <v>16</v>
      </c>
      <c r="E1057" s="85">
        <f t="shared" ref="E1057:J1057" si="364">E1058+E1059+E1060+E1061+E1062+E1063+E1064+E1065+E1066+E1067+E1068+E1069</f>
        <v>2077.2622000000001</v>
      </c>
      <c r="F1057" s="85">
        <f t="shared" si="364"/>
        <v>1943.2827999999997</v>
      </c>
      <c r="G1057" s="85">
        <f t="shared" si="364"/>
        <v>0</v>
      </c>
      <c r="H1057" s="85">
        <f t="shared" si="364"/>
        <v>0</v>
      </c>
      <c r="I1057" s="85">
        <f t="shared" si="364"/>
        <v>0</v>
      </c>
      <c r="J1057" s="85">
        <f t="shared" si="364"/>
        <v>133.97940000000003</v>
      </c>
      <c r="K1057" s="148">
        <v>0</v>
      </c>
      <c r="L1057" s="497">
        <f t="shared" si="363"/>
        <v>2077.2621999999997</v>
      </c>
      <c r="M1057" s="407"/>
      <c r="N1057" s="88"/>
      <c r="O1057" s="408"/>
      <c r="P1057" s="685"/>
      <c r="Q1057" s="91"/>
      <c r="R1057" s="91"/>
      <c r="S1057" s="91"/>
      <c r="T1057" s="91"/>
      <c r="U1057" s="91"/>
      <c r="V1057" s="91"/>
      <c r="W1057" s="91"/>
      <c r="X1057" s="91"/>
      <c r="Y1057" s="91"/>
      <c r="Z1057" s="91"/>
      <c r="AA1057" s="91"/>
      <c r="AB1057" s="91"/>
      <c r="AC1057" s="91"/>
      <c r="AD1057" s="91"/>
      <c r="AE1057" s="91"/>
      <c r="AF1057" s="91"/>
      <c r="AG1057" s="91"/>
      <c r="AH1057" s="91"/>
      <c r="AI1057" s="91"/>
      <c r="AJ1057" s="91"/>
      <c r="AK1057" s="91"/>
      <c r="AL1057" s="91"/>
      <c r="AM1057" s="91"/>
      <c r="AN1057" s="91"/>
      <c r="AO1057" s="91"/>
      <c r="AP1057" s="91"/>
      <c r="AQ1057" s="91"/>
      <c r="AR1057" s="91"/>
      <c r="AS1057" s="91"/>
      <c r="AT1057" s="91"/>
      <c r="AU1057" s="91"/>
      <c r="AV1057" s="91"/>
      <c r="AW1057" s="91"/>
      <c r="AX1057" s="91"/>
      <c r="AY1057" s="91"/>
      <c r="AZ1057" s="91"/>
      <c r="BA1057" s="91"/>
      <c r="BB1057" s="91"/>
      <c r="BC1057" s="91"/>
      <c r="BD1057" s="91"/>
      <c r="BE1057" s="91"/>
      <c r="BF1057" s="92"/>
    </row>
    <row r="1058" spans="1:58" s="82" customFormat="1" ht="14.25" customHeight="1">
      <c r="A1058" s="1003"/>
      <c r="B1058" s="953"/>
      <c r="C1058" s="621"/>
      <c r="D1058" s="84">
        <v>2019</v>
      </c>
      <c r="E1058" s="85">
        <f t="shared" ref="E1058:J1058" si="365">E1071+E1096</f>
        <v>179.2253</v>
      </c>
      <c r="F1058" s="85">
        <f t="shared" si="365"/>
        <v>169.74709999999999</v>
      </c>
      <c r="G1058" s="85">
        <f t="shared" si="365"/>
        <v>0</v>
      </c>
      <c r="H1058" s="85">
        <f t="shared" si="365"/>
        <v>0</v>
      </c>
      <c r="I1058" s="85">
        <f t="shared" si="365"/>
        <v>0</v>
      </c>
      <c r="J1058" s="85">
        <f t="shared" si="365"/>
        <v>9.4781999999999993</v>
      </c>
      <c r="K1058" s="148">
        <v>0</v>
      </c>
      <c r="L1058" s="497">
        <f t="shared" si="363"/>
        <v>179.22529999999998</v>
      </c>
      <c r="M1058" s="407"/>
      <c r="N1058" s="88"/>
      <c r="O1058" s="408"/>
      <c r="P1058" s="685"/>
      <c r="Q1058" s="91"/>
      <c r="R1058" s="91"/>
      <c r="S1058" s="91"/>
      <c r="T1058" s="91"/>
      <c r="U1058" s="91"/>
      <c r="V1058" s="91"/>
      <c r="W1058" s="91"/>
      <c r="X1058" s="91"/>
      <c r="Y1058" s="91"/>
      <c r="Z1058" s="91"/>
      <c r="AA1058" s="91"/>
      <c r="AB1058" s="91"/>
      <c r="AC1058" s="91"/>
      <c r="AD1058" s="91"/>
      <c r="AE1058" s="91"/>
      <c r="AF1058" s="91"/>
      <c r="AG1058" s="91"/>
      <c r="AH1058" s="91"/>
      <c r="AI1058" s="91"/>
      <c r="AJ1058" s="91"/>
      <c r="AK1058" s="91"/>
      <c r="AL1058" s="91"/>
      <c r="AM1058" s="91"/>
      <c r="AN1058" s="91"/>
      <c r="AO1058" s="91"/>
      <c r="AP1058" s="91"/>
      <c r="AQ1058" s="91"/>
      <c r="AR1058" s="91"/>
      <c r="AS1058" s="91"/>
      <c r="AT1058" s="91"/>
      <c r="AU1058" s="91"/>
      <c r="AV1058" s="91"/>
      <c r="AW1058" s="91"/>
      <c r="AX1058" s="91"/>
      <c r="AY1058" s="91"/>
      <c r="AZ1058" s="91"/>
      <c r="BA1058" s="91"/>
      <c r="BB1058" s="91"/>
      <c r="BC1058" s="91"/>
      <c r="BD1058" s="91"/>
      <c r="BE1058" s="91"/>
      <c r="BF1058" s="92"/>
    </row>
    <row r="1059" spans="1:58" s="82" customFormat="1" ht="14.25" customHeight="1">
      <c r="A1059" s="1003"/>
      <c r="B1059" s="953"/>
      <c r="C1059" s="621"/>
      <c r="D1059" s="84">
        <v>2020</v>
      </c>
      <c r="E1059" s="85">
        <f t="shared" ref="E1059:J1059" si="366">E1072+E1097+E1084</f>
        <v>177.33180000000002</v>
      </c>
      <c r="F1059" s="85">
        <f t="shared" si="366"/>
        <v>167.8536</v>
      </c>
      <c r="G1059" s="85">
        <f t="shared" si="366"/>
        <v>0</v>
      </c>
      <c r="H1059" s="85">
        <f t="shared" si="366"/>
        <v>0</v>
      </c>
      <c r="I1059" s="85">
        <f t="shared" si="366"/>
        <v>0</v>
      </c>
      <c r="J1059" s="85">
        <f t="shared" si="366"/>
        <v>9.4782000000000011</v>
      </c>
      <c r="K1059" s="148">
        <v>0</v>
      </c>
      <c r="L1059" s="497">
        <f t="shared" si="363"/>
        <v>177.33179999999999</v>
      </c>
      <c r="M1059" s="407"/>
      <c r="N1059" s="88"/>
      <c r="O1059" s="408"/>
      <c r="P1059" s="685"/>
      <c r="Q1059" s="91"/>
      <c r="R1059" s="91"/>
      <c r="S1059" s="91"/>
      <c r="T1059" s="91"/>
      <c r="U1059" s="91"/>
      <c r="V1059" s="91"/>
      <c r="W1059" s="91"/>
      <c r="X1059" s="91"/>
      <c r="Y1059" s="91"/>
      <c r="Z1059" s="91"/>
      <c r="AA1059" s="91"/>
      <c r="AB1059" s="91"/>
      <c r="AC1059" s="91"/>
      <c r="AD1059" s="91"/>
      <c r="AE1059" s="91"/>
      <c r="AF1059" s="91"/>
      <c r="AG1059" s="91"/>
      <c r="AH1059" s="91"/>
      <c r="AI1059" s="91"/>
      <c r="AJ1059" s="91"/>
      <c r="AK1059" s="91"/>
      <c r="AL1059" s="91"/>
      <c r="AM1059" s="91"/>
      <c r="AN1059" s="91"/>
      <c r="AO1059" s="91"/>
      <c r="AP1059" s="91"/>
      <c r="AQ1059" s="91"/>
      <c r="AR1059" s="91"/>
      <c r="AS1059" s="91"/>
      <c r="AT1059" s="91"/>
      <c r="AU1059" s="91"/>
      <c r="AV1059" s="91"/>
      <c r="AW1059" s="91"/>
      <c r="AX1059" s="91"/>
      <c r="AY1059" s="91"/>
      <c r="AZ1059" s="91"/>
      <c r="BA1059" s="91"/>
      <c r="BB1059" s="91"/>
      <c r="BC1059" s="91"/>
      <c r="BD1059" s="91"/>
      <c r="BE1059" s="91"/>
      <c r="BF1059" s="92"/>
    </row>
    <row r="1060" spans="1:58" s="82" customFormat="1" ht="14.25" customHeight="1">
      <c r="A1060" s="1003"/>
      <c r="B1060" s="953"/>
      <c r="C1060" s="621"/>
      <c r="D1060" s="84">
        <v>2021</v>
      </c>
      <c r="E1060" s="85">
        <f t="shared" ref="E1060:F1069" si="367">E1073+E1098+E1085</f>
        <v>175.50290000000001</v>
      </c>
      <c r="F1060" s="85">
        <f t="shared" si="367"/>
        <v>164.00059999999999</v>
      </c>
      <c r="G1060" s="85">
        <f t="shared" ref="G1060:I1069" si="368">G1073+G1098</f>
        <v>0</v>
      </c>
      <c r="H1060" s="85">
        <f t="shared" si="368"/>
        <v>0</v>
      </c>
      <c r="I1060" s="85">
        <f t="shared" si="368"/>
        <v>0</v>
      </c>
      <c r="J1060" s="85">
        <f t="shared" ref="J1060:J1069" si="369">J1073+J1098+J1085</f>
        <v>11.5023</v>
      </c>
      <c r="K1060" s="148">
        <v>0</v>
      </c>
      <c r="L1060" s="497">
        <f t="shared" si="363"/>
        <v>175.50289999999998</v>
      </c>
      <c r="M1060" s="407"/>
      <c r="N1060" s="88"/>
      <c r="O1060" s="408"/>
      <c r="P1060" s="685"/>
      <c r="Q1060" s="91"/>
      <c r="R1060" s="91"/>
      <c r="S1060" s="91"/>
      <c r="T1060" s="91"/>
      <c r="U1060" s="91"/>
      <c r="V1060" s="91"/>
      <c r="W1060" s="91"/>
      <c r="X1060" s="91"/>
      <c r="Y1060" s="91"/>
      <c r="Z1060" s="91"/>
      <c r="AA1060" s="91"/>
      <c r="AB1060" s="91"/>
      <c r="AC1060" s="91"/>
      <c r="AD1060" s="91"/>
      <c r="AE1060" s="91"/>
      <c r="AF1060" s="91"/>
      <c r="AG1060" s="91"/>
      <c r="AH1060" s="91"/>
      <c r="AI1060" s="91"/>
      <c r="AJ1060" s="91"/>
      <c r="AK1060" s="91"/>
      <c r="AL1060" s="91"/>
      <c r="AM1060" s="91"/>
      <c r="AN1060" s="91"/>
      <c r="AO1060" s="91"/>
      <c r="AP1060" s="91"/>
      <c r="AQ1060" s="91"/>
      <c r="AR1060" s="91"/>
      <c r="AS1060" s="91"/>
      <c r="AT1060" s="91"/>
      <c r="AU1060" s="91"/>
      <c r="AV1060" s="91"/>
      <c r="AW1060" s="91"/>
      <c r="AX1060" s="91"/>
      <c r="AY1060" s="91"/>
      <c r="AZ1060" s="91"/>
      <c r="BA1060" s="91"/>
      <c r="BB1060" s="91"/>
      <c r="BC1060" s="91"/>
      <c r="BD1060" s="91"/>
      <c r="BE1060" s="91"/>
      <c r="BF1060" s="92"/>
    </row>
    <row r="1061" spans="1:58" s="82" customFormat="1" ht="14.25" customHeight="1">
      <c r="A1061" s="1003"/>
      <c r="B1061" s="953"/>
      <c r="C1061" s="621"/>
      <c r="D1061" s="84">
        <v>2022</v>
      </c>
      <c r="E1061" s="85">
        <f t="shared" si="367"/>
        <v>175.23339999999999</v>
      </c>
      <c r="F1061" s="85">
        <f t="shared" si="367"/>
        <v>163.73110000000003</v>
      </c>
      <c r="G1061" s="85">
        <f t="shared" si="368"/>
        <v>0</v>
      </c>
      <c r="H1061" s="85">
        <f t="shared" si="368"/>
        <v>0</v>
      </c>
      <c r="I1061" s="85">
        <f t="shared" si="368"/>
        <v>0</v>
      </c>
      <c r="J1061" s="85">
        <f t="shared" si="369"/>
        <v>11.5023</v>
      </c>
      <c r="K1061" s="148">
        <v>0</v>
      </c>
      <c r="L1061" s="497">
        <f t="shared" si="363"/>
        <v>175.23340000000002</v>
      </c>
      <c r="M1061" s="407"/>
      <c r="N1061" s="88"/>
      <c r="O1061" s="408"/>
      <c r="P1061" s="685"/>
      <c r="Q1061" s="91"/>
      <c r="R1061" s="91"/>
      <c r="S1061" s="91"/>
      <c r="T1061" s="91"/>
      <c r="U1061" s="91"/>
      <c r="V1061" s="91"/>
      <c r="W1061" s="91"/>
      <c r="X1061" s="91"/>
      <c r="Y1061" s="91"/>
      <c r="Z1061" s="91"/>
      <c r="AA1061" s="91"/>
      <c r="AB1061" s="91"/>
      <c r="AC1061" s="91"/>
      <c r="AD1061" s="91"/>
      <c r="AE1061" s="91"/>
      <c r="AF1061" s="91"/>
      <c r="AG1061" s="91"/>
      <c r="AH1061" s="91"/>
      <c r="AI1061" s="91"/>
      <c r="AJ1061" s="91"/>
      <c r="AK1061" s="91"/>
      <c r="AL1061" s="91"/>
      <c r="AM1061" s="91"/>
      <c r="AN1061" s="91"/>
      <c r="AO1061" s="91"/>
      <c r="AP1061" s="91"/>
      <c r="AQ1061" s="91"/>
      <c r="AR1061" s="91"/>
      <c r="AS1061" s="91"/>
      <c r="AT1061" s="91"/>
      <c r="AU1061" s="91"/>
      <c r="AV1061" s="91"/>
      <c r="AW1061" s="91"/>
      <c r="AX1061" s="91"/>
      <c r="AY1061" s="91"/>
      <c r="AZ1061" s="91"/>
      <c r="BA1061" s="91"/>
      <c r="BB1061" s="91"/>
      <c r="BC1061" s="91"/>
      <c r="BD1061" s="91"/>
      <c r="BE1061" s="91"/>
      <c r="BF1061" s="92"/>
    </row>
    <row r="1062" spans="1:58" s="82" customFormat="1" ht="14.25" customHeight="1">
      <c r="A1062" s="1003"/>
      <c r="B1062" s="953"/>
      <c r="C1062" s="621"/>
      <c r="D1062" s="84">
        <v>2023</v>
      </c>
      <c r="E1062" s="85">
        <f t="shared" si="367"/>
        <v>171.24609999999998</v>
      </c>
      <c r="F1062" s="85">
        <f t="shared" si="367"/>
        <v>159.74380000000002</v>
      </c>
      <c r="G1062" s="85">
        <f t="shared" si="368"/>
        <v>0</v>
      </c>
      <c r="H1062" s="85">
        <f t="shared" si="368"/>
        <v>0</v>
      </c>
      <c r="I1062" s="85">
        <f t="shared" si="368"/>
        <v>0</v>
      </c>
      <c r="J1062" s="85">
        <f t="shared" si="369"/>
        <v>11.5023</v>
      </c>
      <c r="K1062" s="148">
        <v>0</v>
      </c>
      <c r="L1062" s="497">
        <f t="shared" si="363"/>
        <v>171.24610000000001</v>
      </c>
      <c r="M1062" s="407"/>
      <c r="N1062" s="88"/>
      <c r="O1062" s="408"/>
      <c r="P1062" s="685"/>
      <c r="Q1062" s="91"/>
      <c r="R1062" s="91"/>
      <c r="S1062" s="91"/>
      <c r="T1062" s="91"/>
      <c r="U1062" s="91"/>
      <c r="V1062" s="91"/>
      <c r="W1062" s="91"/>
      <c r="X1062" s="91"/>
      <c r="Y1062" s="91"/>
      <c r="Z1062" s="91"/>
      <c r="AA1062" s="91"/>
      <c r="AB1062" s="91"/>
      <c r="AC1062" s="91"/>
      <c r="AD1062" s="91"/>
      <c r="AE1062" s="91"/>
      <c r="AF1062" s="91"/>
      <c r="AG1062" s="91"/>
      <c r="AH1062" s="91"/>
      <c r="AI1062" s="91"/>
      <c r="AJ1062" s="91"/>
      <c r="AK1062" s="91"/>
      <c r="AL1062" s="91"/>
      <c r="AM1062" s="91"/>
      <c r="AN1062" s="91"/>
      <c r="AO1062" s="91"/>
      <c r="AP1062" s="91"/>
      <c r="AQ1062" s="91"/>
      <c r="AR1062" s="91"/>
      <c r="AS1062" s="91"/>
      <c r="AT1062" s="91"/>
      <c r="AU1062" s="91"/>
      <c r="AV1062" s="91"/>
      <c r="AW1062" s="91"/>
      <c r="AX1062" s="91"/>
      <c r="AY1062" s="91"/>
      <c r="AZ1062" s="91"/>
      <c r="BA1062" s="91"/>
      <c r="BB1062" s="91"/>
      <c r="BC1062" s="91"/>
      <c r="BD1062" s="91"/>
      <c r="BE1062" s="91"/>
      <c r="BF1062" s="92"/>
    </row>
    <row r="1063" spans="1:58" s="82" customFormat="1" ht="14.25" customHeight="1">
      <c r="A1063" s="1003"/>
      <c r="B1063" s="953"/>
      <c r="C1063" s="621"/>
      <c r="D1063" s="84">
        <v>2024</v>
      </c>
      <c r="E1063" s="85">
        <f t="shared" si="367"/>
        <v>171.24609999999998</v>
      </c>
      <c r="F1063" s="85">
        <f t="shared" si="367"/>
        <v>159.74380000000002</v>
      </c>
      <c r="G1063" s="85">
        <f t="shared" si="368"/>
        <v>0</v>
      </c>
      <c r="H1063" s="85">
        <f t="shared" si="368"/>
        <v>0</v>
      </c>
      <c r="I1063" s="85">
        <f t="shared" si="368"/>
        <v>0</v>
      </c>
      <c r="J1063" s="85">
        <f t="shared" si="369"/>
        <v>11.5023</v>
      </c>
      <c r="K1063" s="148">
        <v>0</v>
      </c>
      <c r="L1063" s="497">
        <f t="shared" si="363"/>
        <v>171.24610000000001</v>
      </c>
      <c r="M1063" s="407"/>
      <c r="N1063" s="88"/>
      <c r="O1063" s="408"/>
      <c r="P1063" s="685"/>
      <c r="Q1063" s="91"/>
      <c r="R1063" s="91"/>
      <c r="S1063" s="91"/>
      <c r="T1063" s="91"/>
      <c r="U1063" s="91"/>
      <c r="V1063" s="91"/>
      <c r="W1063" s="91"/>
      <c r="X1063" s="91"/>
      <c r="Y1063" s="91"/>
      <c r="Z1063" s="91"/>
      <c r="AA1063" s="91"/>
      <c r="AB1063" s="91"/>
      <c r="AC1063" s="91"/>
      <c r="AD1063" s="91"/>
      <c r="AE1063" s="91"/>
      <c r="AF1063" s="91"/>
      <c r="AG1063" s="91"/>
      <c r="AH1063" s="91"/>
      <c r="AI1063" s="91"/>
      <c r="AJ1063" s="91"/>
      <c r="AK1063" s="91"/>
      <c r="AL1063" s="91"/>
      <c r="AM1063" s="91"/>
      <c r="AN1063" s="91"/>
      <c r="AO1063" s="91"/>
      <c r="AP1063" s="91"/>
      <c r="AQ1063" s="91"/>
      <c r="AR1063" s="91"/>
      <c r="AS1063" s="91"/>
      <c r="AT1063" s="91"/>
      <c r="AU1063" s="91"/>
      <c r="AV1063" s="91"/>
      <c r="AW1063" s="91"/>
      <c r="AX1063" s="91"/>
      <c r="AY1063" s="91"/>
      <c r="AZ1063" s="91"/>
      <c r="BA1063" s="91"/>
      <c r="BB1063" s="91"/>
      <c r="BC1063" s="91"/>
      <c r="BD1063" s="91"/>
      <c r="BE1063" s="91"/>
      <c r="BF1063" s="92"/>
    </row>
    <row r="1064" spans="1:58" s="82" customFormat="1" ht="14.25" customHeight="1">
      <c r="A1064" s="1003"/>
      <c r="B1064" s="953"/>
      <c r="C1064" s="621"/>
      <c r="D1064" s="84">
        <v>2025</v>
      </c>
      <c r="E1064" s="85">
        <f t="shared" si="367"/>
        <v>171.24609999999998</v>
      </c>
      <c r="F1064" s="85">
        <f t="shared" si="367"/>
        <v>159.74380000000002</v>
      </c>
      <c r="G1064" s="85">
        <f t="shared" si="368"/>
        <v>0</v>
      </c>
      <c r="H1064" s="85">
        <f t="shared" si="368"/>
        <v>0</v>
      </c>
      <c r="I1064" s="85">
        <f t="shared" si="368"/>
        <v>0</v>
      </c>
      <c r="J1064" s="85">
        <f t="shared" si="369"/>
        <v>11.5023</v>
      </c>
      <c r="K1064" s="148">
        <v>0</v>
      </c>
      <c r="L1064" s="497">
        <f t="shared" si="363"/>
        <v>171.24610000000001</v>
      </c>
      <c r="M1064" s="407"/>
      <c r="N1064" s="88"/>
      <c r="O1064" s="408"/>
      <c r="P1064" s="685"/>
      <c r="Q1064" s="91"/>
      <c r="R1064" s="91"/>
      <c r="S1064" s="91"/>
      <c r="T1064" s="91"/>
      <c r="U1064" s="91"/>
      <c r="V1064" s="91"/>
      <c r="W1064" s="91"/>
      <c r="X1064" s="91"/>
      <c r="Y1064" s="91"/>
      <c r="Z1064" s="91"/>
      <c r="AA1064" s="91"/>
      <c r="AB1064" s="91"/>
      <c r="AC1064" s="91"/>
      <c r="AD1064" s="91"/>
      <c r="AE1064" s="91"/>
      <c r="AF1064" s="91"/>
      <c r="AG1064" s="91"/>
      <c r="AH1064" s="91"/>
      <c r="AI1064" s="91"/>
      <c r="AJ1064" s="91"/>
      <c r="AK1064" s="91"/>
      <c r="AL1064" s="91"/>
      <c r="AM1064" s="91"/>
      <c r="AN1064" s="91"/>
      <c r="AO1064" s="91"/>
      <c r="AP1064" s="91"/>
      <c r="AQ1064" s="91"/>
      <c r="AR1064" s="91"/>
      <c r="AS1064" s="91"/>
      <c r="AT1064" s="91"/>
      <c r="AU1064" s="91"/>
      <c r="AV1064" s="91"/>
      <c r="AW1064" s="91"/>
      <c r="AX1064" s="91"/>
      <c r="AY1064" s="91"/>
      <c r="AZ1064" s="91"/>
      <c r="BA1064" s="91"/>
      <c r="BB1064" s="91"/>
      <c r="BC1064" s="91"/>
      <c r="BD1064" s="91"/>
      <c r="BE1064" s="91"/>
      <c r="BF1064" s="92"/>
    </row>
    <row r="1065" spans="1:58" s="82" customFormat="1" ht="14.25" customHeight="1">
      <c r="A1065" s="1003"/>
      <c r="B1065" s="953"/>
      <c r="C1065" s="621"/>
      <c r="D1065" s="84">
        <v>2026</v>
      </c>
      <c r="E1065" s="85">
        <f t="shared" si="367"/>
        <v>171.24609999999998</v>
      </c>
      <c r="F1065" s="85">
        <f t="shared" si="367"/>
        <v>159.74380000000002</v>
      </c>
      <c r="G1065" s="85">
        <f t="shared" si="368"/>
        <v>0</v>
      </c>
      <c r="H1065" s="85">
        <f t="shared" si="368"/>
        <v>0</v>
      </c>
      <c r="I1065" s="85">
        <f t="shared" si="368"/>
        <v>0</v>
      </c>
      <c r="J1065" s="85">
        <f t="shared" si="369"/>
        <v>11.5023</v>
      </c>
      <c r="K1065" s="148">
        <v>0</v>
      </c>
      <c r="L1065" s="497">
        <f t="shared" si="363"/>
        <v>171.24610000000001</v>
      </c>
      <c r="M1065" s="407"/>
      <c r="N1065" s="88"/>
      <c r="O1065" s="408"/>
      <c r="P1065" s="685"/>
      <c r="Q1065" s="91"/>
      <c r="R1065" s="91"/>
      <c r="S1065" s="91"/>
      <c r="T1065" s="91"/>
      <c r="U1065" s="91"/>
      <c r="V1065" s="91"/>
      <c r="W1065" s="91"/>
      <c r="X1065" s="91"/>
      <c r="Y1065" s="91"/>
      <c r="Z1065" s="91"/>
      <c r="AA1065" s="91"/>
      <c r="AB1065" s="91"/>
      <c r="AC1065" s="91"/>
      <c r="AD1065" s="91"/>
      <c r="AE1065" s="91"/>
      <c r="AF1065" s="91"/>
      <c r="AG1065" s="91"/>
      <c r="AH1065" s="91"/>
      <c r="AI1065" s="91"/>
      <c r="AJ1065" s="91"/>
      <c r="AK1065" s="91"/>
      <c r="AL1065" s="91"/>
      <c r="AM1065" s="91"/>
      <c r="AN1065" s="91"/>
      <c r="AO1065" s="91"/>
      <c r="AP1065" s="91"/>
      <c r="AQ1065" s="91"/>
      <c r="AR1065" s="91"/>
      <c r="AS1065" s="91"/>
      <c r="AT1065" s="91"/>
      <c r="AU1065" s="91"/>
      <c r="AV1065" s="91"/>
      <c r="AW1065" s="91"/>
      <c r="AX1065" s="91"/>
      <c r="AY1065" s="91"/>
      <c r="AZ1065" s="91"/>
      <c r="BA1065" s="91"/>
      <c r="BB1065" s="91"/>
      <c r="BC1065" s="91"/>
      <c r="BD1065" s="91"/>
      <c r="BE1065" s="91"/>
      <c r="BF1065" s="92"/>
    </row>
    <row r="1066" spans="1:58" s="82" customFormat="1" ht="14.25" customHeight="1">
      <c r="A1066" s="1003"/>
      <c r="B1066" s="953"/>
      <c r="C1066" s="621"/>
      <c r="D1066" s="84">
        <v>2027</v>
      </c>
      <c r="E1066" s="85">
        <f t="shared" si="367"/>
        <v>171.24609999999998</v>
      </c>
      <c r="F1066" s="85">
        <f t="shared" si="367"/>
        <v>159.74380000000002</v>
      </c>
      <c r="G1066" s="85">
        <f t="shared" si="368"/>
        <v>0</v>
      </c>
      <c r="H1066" s="85">
        <f t="shared" si="368"/>
        <v>0</v>
      </c>
      <c r="I1066" s="85">
        <f t="shared" si="368"/>
        <v>0</v>
      </c>
      <c r="J1066" s="85">
        <f t="shared" si="369"/>
        <v>11.5023</v>
      </c>
      <c r="K1066" s="148">
        <v>0</v>
      </c>
      <c r="L1066" s="497">
        <f t="shared" si="363"/>
        <v>171.24610000000001</v>
      </c>
      <c r="M1066" s="407"/>
      <c r="N1066" s="88"/>
      <c r="O1066" s="408"/>
      <c r="P1066" s="685"/>
      <c r="Q1066" s="91"/>
      <c r="R1066" s="91"/>
      <c r="S1066" s="91"/>
      <c r="T1066" s="91"/>
      <c r="U1066" s="91"/>
      <c r="V1066" s="91"/>
      <c r="W1066" s="91"/>
      <c r="X1066" s="91"/>
      <c r="Y1066" s="91"/>
      <c r="Z1066" s="91"/>
      <c r="AA1066" s="91"/>
      <c r="AB1066" s="91"/>
      <c r="AC1066" s="91"/>
      <c r="AD1066" s="91"/>
      <c r="AE1066" s="91"/>
      <c r="AF1066" s="91"/>
      <c r="AG1066" s="91"/>
      <c r="AH1066" s="91"/>
      <c r="AI1066" s="91"/>
      <c r="AJ1066" s="91"/>
      <c r="AK1066" s="91"/>
      <c r="AL1066" s="91"/>
      <c r="AM1066" s="91"/>
      <c r="AN1066" s="91"/>
      <c r="AO1066" s="91"/>
      <c r="AP1066" s="91"/>
      <c r="AQ1066" s="91"/>
      <c r="AR1066" s="91"/>
      <c r="AS1066" s="91"/>
      <c r="AT1066" s="91"/>
      <c r="AU1066" s="91"/>
      <c r="AV1066" s="91"/>
      <c r="AW1066" s="91"/>
      <c r="AX1066" s="91"/>
      <c r="AY1066" s="91"/>
      <c r="AZ1066" s="91"/>
      <c r="BA1066" s="91"/>
      <c r="BB1066" s="91"/>
      <c r="BC1066" s="91"/>
      <c r="BD1066" s="91"/>
      <c r="BE1066" s="91"/>
      <c r="BF1066" s="92"/>
    </row>
    <row r="1067" spans="1:58" s="82" customFormat="1" ht="14.25" customHeight="1">
      <c r="A1067" s="1003"/>
      <c r="B1067" s="953"/>
      <c r="C1067" s="621"/>
      <c r="D1067" s="84">
        <v>2028</v>
      </c>
      <c r="E1067" s="85">
        <f t="shared" si="367"/>
        <v>171.24609999999998</v>
      </c>
      <c r="F1067" s="85">
        <f t="shared" si="367"/>
        <v>159.74380000000002</v>
      </c>
      <c r="G1067" s="85">
        <f t="shared" si="368"/>
        <v>0</v>
      </c>
      <c r="H1067" s="85">
        <f t="shared" si="368"/>
        <v>0</v>
      </c>
      <c r="I1067" s="85">
        <f t="shared" si="368"/>
        <v>0</v>
      </c>
      <c r="J1067" s="85">
        <f t="shared" si="369"/>
        <v>11.5023</v>
      </c>
      <c r="K1067" s="148">
        <v>0</v>
      </c>
      <c r="L1067" s="497">
        <f t="shared" si="363"/>
        <v>171.24610000000001</v>
      </c>
      <c r="M1067" s="407"/>
      <c r="N1067" s="88"/>
      <c r="O1067" s="408"/>
      <c r="P1067" s="685"/>
      <c r="Q1067" s="91"/>
      <c r="R1067" s="91"/>
      <c r="S1067" s="91"/>
      <c r="T1067" s="91"/>
      <c r="U1067" s="91"/>
      <c r="V1067" s="91"/>
      <c r="W1067" s="91"/>
      <c r="X1067" s="91"/>
      <c r="Y1067" s="91"/>
      <c r="Z1067" s="91"/>
      <c r="AA1067" s="91"/>
      <c r="AB1067" s="91"/>
      <c r="AC1067" s="91"/>
      <c r="AD1067" s="91"/>
      <c r="AE1067" s="91"/>
      <c r="AF1067" s="91"/>
      <c r="AG1067" s="91"/>
      <c r="AH1067" s="91"/>
      <c r="AI1067" s="91"/>
      <c r="AJ1067" s="91"/>
      <c r="AK1067" s="91"/>
      <c r="AL1067" s="91"/>
      <c r="AM1067" s="91"/>
      <c r="AN1067" s="91"/>
      <c r="AO1067" s="91"/>
      <c r="AP1067" s="91"/>
      <c r="AQ1067" s="91"/>
      <c r="AR1067" s="91"/>
      <c r="AS1067" s="91"/>
      <c r="AT1067" s="91"/>
      <c r="AU1067" s="91"/>
      <c r="AV1067" s="91"/>
      <c r="AW1067" s="91"/>
      <c r="AX1067" s="91"/>
      <c r="AY1067" s="91"/>
      <c r="AZ1067" s="91"/>
      <c r="BA1067" s="91"/>
      <c r="BB1067" s="91"/>
      <c r="BC1067" s="91"/>
      <c r="BD1067" s="91"/>
      <c r="BE1067" s="91"/>
      <c r="BF1067" s="92"/>
    </row>
    <row r="1068" spans="1:58" s="82" customFormat="1" ht="14.25" customHeight="1">
      <c r="A1068" s="1003"/>
      <c r="B1068" s="953"/>
      <c r="C1068" s="621"/>
      <c r="D1068" s="84">
        <v>2029</v>
      </c>
      <c r="E1068" s="85">
        <f t="shared" si="367"/>
        <v>171.24609999999998</v>
      </c>
      <c r="F1068" s="85">
        <f t="shared" si="367"/>
        <v>159.74380000000002</v>
      </c>
      <c r="G1068" s="85">
        <f t="shared" si="368"/>
        <v>0</v>
      </c>
      <c r="H1068" s="85">
        <f t="shared" si="368"/>
        <v>0</v>
      </c>
      <c r="I1068" s="85">
        <f t="shared" si="368"/>
        <v>0</v>
      </c>
      <c r="J1068" s="85">
        <f t="shared" si="369"/>
        <v>11.5023</v>
      </c>
      <c r="K1068" s="148">
        <v>0</v>
      </c>
      <c r="L1068" s="497">
        <f t="shared" si="363"/>
        <v>171.24610000000001</v>
      </c>
      <c r="M1068" s="407"/>
      <c r="N1068" s="88"/>
      <c r="O1068" s="408"/>
      <c r="P1068" s="685"/>
      <c r="Q1068" s="91"/>
      <c r="R1068" s="91"/>
      <c r="S1068" s="91"/>
      <c r="T1068" s="91"/>
      <c r="U1068" s="91"/>
      <c r="V1068" s="91"/>
      <c r="W1068" s="91"/>
      <c r="X1068" s="91"/>
      <c r="Y1068" s="91"/>
      <c r="Z1068" s="91"/>
      <c r="AA1068" s="91"/>
      <c r="AB1068" s="91"/>
      <c r="AC1068" s="91"/>
      <c r="AD1068" s="91"/>
      <c r="AE1068" s="91"/>
      <c r="AF1068" s="91"/>
      <c r="AG1068" s="91"/>
      <c r="AH1068" s="91"/>
      <c r="AI1068" s="91"/>
      <c r="AJ1068" s="91"/>
      <c r="AK1068" s="91"/>
      <c r="AL1068" s="91"/>
      <c r="AM1068" s="91"/>
      <c r="AN1068" s="91"/>
      <c r="AO1068" s="91"/>
      <c r="AP1068" s="91"/>
      <c r="AQ1068" s="91"/>
      <c r="AR1068" s="91"/>
      <c r="AS1068" s="91"/>
      <c r="AT1068" s="91"/>
      <c r="AU1068" s="91"/>
      <c r="AV1068" s="91"/>
      <c r="AW1068" s="91"/>
      <c r="AX1068" s="91"/>
      <c r="AY1068" s="91"/>
      <c r="AZ1068" s="91"/>
      <c r="BA1068" s="91"/>
      <c r="BB1068" s="91"/>
      <c r="BC1068" s="91"/>
      <c r="BD1068" s="91"/>
      <c r="BE1068" s="91"/>
      <c r="BF1068" s="92"/>
    </row>
    <row r="1069" spans="1:58" s="82" customFormat="1" ht="14.25" customHeight="1">
      <c r="A1069" s="1004"/>
      <c r="B1069" s="954"/>
      <c r="C1069" s="621"/>
      <c r="D1069" s="84">
        <v>2030</v>
      </c>
      <c r="E1069" s="85">
        <f t="shared" si="367"/>
        <v>171.24609999999998</v>
      </c>
      <c r="F1069" s="85">
        <f t="shared" si="367"/>
        <v>159.74380000000002</v>
      </c>
      <c r="G1069" s="85">
        <f t="shared" si="368"/>
        <v>0</v>
      </c>
      <c r="H1069" s="85">
        <f t="shared" si="368"/>
        <v>0</v>
      </c>
      <c r="I1069" s="85">
        <f t="shared" si="368"/>
        <v>0</v>
      </c>
      <c r="J1069" s="85">
        <f t="shared" si="369"/>
        <v>11.5023</v>
      </c>
      <c r="K1069" s="148">
        <v>0</v>
      </c>
      <c r="L1069" s="497">
        <f t="shared" si="363"/>
        <v>171.24610000000001</v>
      </c>
      <c r="M1069" s="407"/>
      <c r="N1069" s="88"/>
      <c r="O1069" s="408"/>
      <c r="P1069" s="685"/>
      <c r="Q1069" s="91"/>
      <c r="R1069" s="91"/>
      <c r="S1069" s="91"/>
      <c r="T1069" s="91"/>
      <c r="U1069" s="91"/>
      <c r="V1069" s="91"/>
      <c r="W1069" s="91"/>
      <c r="X1069" s="91"/>
      <c r="Y1069" s="91"/>
      <c r="Z1069" s="91"/>
      <c r="AA1069" s="91"/>
      <c r="AB1069" s="91"/>
      <c r="AC1069" s="91"/>
      <c r="AD1069" s="91"/>
      <c r="AE1069" s="91"/>
      <c r="AF1069" s="91"/>
      <c r="AG1069" s="91"/>
      <c r="AH1069" s="91"/>
      <c r="AI1069" s="91"/>
      <c r="AJ1069" s="91"/>
      <c r="AK1069" s="91"/>
      <c r="AL1069" s="91"/>
      <c r="AM1069" s="91"/>
      <c r="AN1069" s="91"/>
      <c r="AO1069" s="91"/>
      <c r="AP1069" s="91"/>
      <c r="AQ1069" s="91"/>
      <c r="AR1069" s="91"/>
      <c r="AS1069" s="91"/>
      <c r="AT1069" s="91"/>
      <c r="AU1069" s="91"/>
      <c r="AV1069" s="91"/>
      <c r="AW1069" s="91"/>
      <c r="AX1069" s="91"/>
      <c r="AY1069" s="91"/>
      <c r="AZ1069" s="91"/>
      <c r="BA1069" s="91"/>
      <c r="BB1069" s="91"/>
      <c r="BC1069" s="91"/>
      <c r="BD1069" s="91"/>
      <c r="BE1069" s="91"/>
      <c r="BF1069" s="92"/>
    </row>
    <row r="1070" spans="1:58" s="82" customFormat="1" ht="21.75" customHeight="1">
      <c r="A1070" s="1069" t="s">
        <v>991</v>
      </c>
      <c r="B1070" s="1266" t="s">
        <v>979</v>
      </c>
      <c r="C1070" s="1245" t="s">
        <v>1436</v>
      </c>
      <c r="D1070" s="84" t="s">
        <v>16</v>
      </c>
      <c r="E1070" s="85">
        <f t="shared" ref="E1070:J1070" si="370">E1071+E1072+E1073+E1074+E1075+E1076+E1077+E1078+E1079+E1080+E1081+E1082</f>
        <v>401.65089999999987</v>
      </c>
      <c r="F1070" s="85">
        <f t="shared" si="370"/>
        <v>289.45330000000007</v>
      </c>
      <c r="G1070" s="85">
        <f t="shared" si="370"/>
        <v>0</v>
      </c>
      <c r="H1070" s="85">
        <f t="shared" si="370"/>
        <v>0</v>
      </c>
      <c r="I1070" s="85">
        <f t="shared" si="370"/>
        <v>0</v>
      </c>
      <c r="J1070" s="85">
        <f t="shared" si="370"/>
        <v>112.19760000000002</v>
      </c>
      <c r="K1070" s="148">
        <v>0</v>
      </c>
      <c r="L1070" s="497">
        <f t="shared" si="363"/>
        <v>401.65090000000009</v>
      </c>
      <c r="M1070" s="407"/>
      <c r="N1070" s="88"/>
      <c r="O1070" s="408"/>
      <c r="P1070" s="1286" t="s">
        <v>980</v>
      </c>
      <c r="Q1070" s="91"/>
      <c r="R1070" s="91"/>
      <c r="S1070" s="91"/>
      <c r="T1070" s="91"/>
      <c r="U1070" s="91"/>
      <c r="V1070" s="91"/>
      <c r="W1070" s="91"/>
      <c r="X1070" s="91"/>
      <c r="Y1070" s="91"/>
      <c r="Z1070" s="91"/>
      <c r="AA1070" s="91"/>
      <c r="AB1070" s="91"/>
      <c r="AC1070" s="91"/>
      <c r="AD1070" s="91"/>
      <c r="AE1070" s="91"/>
      <c r="AF1070" s="91"/>
      <c r="AG1070" s="91"/>
      <c r="AH1070" s="91"/>
      <c r="AI1070" s="91"/>
      <c r="AJ1070" s="91"/>
      <c r="AK1070" s="91"/>
      <c r="AL1070" s="91"/>
      <c r="AM1070" s="91"/>
      <c r="AN1070" s="91"/>
      <c r="AO1070" s="91"/>
      <c r="AP1070" s="91"/>
      <c r="AQ1070" s="91"/>
      <c r="AR1070" s="91"/>
      <c r="AS1070" s="91"/>
      <c r="AT1070" s="91"/>
      <c r="AU1070" s="91"/>
      <c r="AV1070" s="91"/>
      <c r="AW1070" s="91"/>
      <c r="AX1070" s="91"/>
      <c r="AY1070" s="91"/>
      <c r="AZ1070" s="91"/>
      <c r="BA1070" s="91"/>
      <c r="BB1070" s="91"/>
      <c r="BC1070" s="91"/>
      <c r="BD1070" s="91"/>
      <c r="BE1070" s="91"/>
      <c r="BF1070" s="92"/>
    </row>
    <row r="1071" spans="1:58" s="82" customFormat="1" ht="28.5" customHeight="1">
      <c r="A1071" s="941"/>
      <c r="B1071" s="1267"/>
      <c r="C1071" s="1245"/>
      <c r="D1071" s="84">
        <v>2019</v>
      </c>
      <c r="E1071" s="85">
        <f>F1071+G1071+H1071+I1071+J1071</f>
        <v>36.131900000000002</v>
      </c>
      <c r="F1071" s="85">
        <v>26.653700000000001</v>
      </c>
      <c r="G1071" s="85">
        <v>0</v>
      </c>
      <c r="H1071" s="85">
        <v>0</v>
      </c>
      <c r="I1071" s="85">
        <v>0</v>
      </c>
      <c r="J1071" s="85">
        <v>9.4781999999999993</v>
      </c>
      <c r="K1071" s="148">
        <v>0</v>
      </c>
      <c r="L1071" s="497">
        <f t="shared" si="363"/>
        <v>36.131900000000002</v>
      </c>
      <c r="M1071" s="407"/>
      <c r="N1071" s="88"/>
      <c r="O1071" s="408"/>
      <c r="P1071" s="1300"/>
      <c r="Q1071" s="91"/>
      <c r="R1071" s="91"/>
      <c r="S1071" s="91"/>
      <c r="T1071" s="91"/>
      <c r="U1071" s="91"/>
      <c r="V1071" s="91"/>
      <c r="W1071" s="91"/>
      <c r="X1071" s="91"/>
      <c r="Y1071" s="91"/>
      <c r="Z1071" s="91"/>
      <c r="AA1071" s="91"/>
      <c r="AB1071" s="91"/>
      <c r="AC1071" s="91"/>
      <c r="AD1071" s="91"/>
      <c r="AE1071" s="91"/>
      <c r="AF1071" s="91"/>
      <c r="AG1071" s="91"/>
      <c r="AH1071" s="91"/>
      <c r="AI1071" s="91"/>
      <c r="AJ1071" s="91"/>
      <c r="AK1071" s="91"/>
      <c r="AL1071" s="91"/>
      <c r="AM1071" s="91"/>
      <c r="AN1071" s="91"/>
      <c r="AO1071" s="91"/>
      <c r="AP1071" s="91"/>
      <c r="AQ1071" s="91"/>
      <c r="AR1071" s="91"/>
      <c r="AS1071" s="91"/>
      <c r="AT1071" s="91"/>
      <c r="AU1071" s="91"/>
      <c r="AV1071" s="91"/>
      <c r="AW1071" s="91"/>
      <c r="AX1071" s="91"/>
      <c r="AY1071" s="91"/>
      <c r="AZ1071" s="91"/>
      <c r="BA1071" s="91"/>
      <c r="BB1071" s="91"/>
      <c r="BC1071" s="91"/>
      <c r="BD1071" s="91"/>
      <c r="BE1071" s="91"/>
      <c r="BF1071" s="92"/>
    </row>
    <row r="1072" spans="1:58" s="82" customFormat="1" ht="14.25" customHeight="1">
      <c r="A1072" s="941"/>
      <c r="B1072" s="1267"/>
      <c r="C1072" s="1224" t="s">
        <v>1437</v>
      </c>
      <c r="D1072" s="84">
        <v>2020</v>
      </c>
      <c r="E1072" s="85">
        <f>F1072+G1072+H1072+I1072+J1072</f>
        <v>28.799999999999997</v>
      </c>
      <c r="F1072" s="85">
        <v>20.567599999999999</v>
      </c>
      <c r="G1072" s="85">
        <v>0</v>
      </c>
      <c r="H1072" s="85">
        <v>0</v>
      </c>
      <c r="I1072" s="85">
        <v>0</v>
      </c>
      <c r="J1072" s="85">
        <v>8.2324000000000002</v>
      </c>
      <c r="K1072" s="148">
        <v>0</v>
      </c>
      <c r="L1072" s="497">
        <f t="shared" si="363"/>
        <v>28.799999999999997</v>
      </c>
      <c r="M1072" s="407"/>
      <c r="N1072" s="88"/>
      <c r="O1072" s="408"/>
      <c r="P1072" s="1300"/>
      <c r="Q1072" s="91"/>
      <c r="R1072" s="91"/>
      <c r="S1072" s="91"/>
      <c r="T1072" s="91"/>
      <c r="U1072" s="91"/>
      <c r="V1072" s="91"/>
      <c r="W1072" s="91"/>
      <c r="X1072" s="91"/>
      <c r="Y1072" s="91"/>
      <c r="Z1072" s="91"/>
      <c r="AA1072" s="91"/>
      <c r="AB1072" s="91"/>
      <c r="AC1072" s="91"/>
      <c r="AD1072" s="91"/>
      <c r="AE1072" s="91"/>
      <c r="AF1072" s="91"/>
      <c r="AG1072" s="91"/>
      <c r="AH1072" s="91"/>
      <c r="AI1072" s="91"/>
      <c r="AJ1072" s="91"/>
      <c r="AK1072" s="91"/>
      <c r="AL1072" s="91"/>
      <c r="AM1072" s="91"/>
      <c r="AN1072" s="91"/>
      <c r="AO1072" s="91"/>
      <c r="AP1072" s="91"/>
      <c r="AQ1072" s="91"/>
      <c r="AR1072" s="91"/>
      <c r="AS1072" s="91"/>
      <c r="AT1072" s="91"/>
      <c r="AU1072" s="91"/>
      <c r="AV1072" s="91"/>
      <c r="AW1072" s="91"/>
      <c r="AX1072" s="91"/>
      <c r="AY1072" s="91"/>
      <c r="AZ1072" s="91"/>
      <c r="BA1072" s="91"/>
      <c r="BB1072" s="91"/>
      <c r="BC1072" s="91"/>
      <c r="BD1072" s="91"/>
      <c r="BE1072" s="91"/>
      <c r="BF1072" s="92"/>
    </row>
    <row r="1073" spans="1:58" s="82" customFormat="1" ht="14.25" customHeight="1">
      <c r="A1073" s="941"/>
      <c r="B1073" s="1267"/>
      <c r="C1073" s="1225"/>
      <c r="D1073" s="84">
        <v>2021</v>
      </c>
      <c r="E1073" s="85">
        <v>33.381599999999999</v>
      </c>
      <c r="F1073" s="85">
        <v>23.9329</v>
      </c>
      <c r="G1073" s="85">
        <v>0</v>
      </c>
      <c r="H1073" s="85">
        <v>0</v>
      </c>
      <c r="I1073" s="85">
        <v>0</v>
      </c>
      <c r="J1073" s="85">
        <v>9.4487000000000005</v>
      </c>
      <c r="K1073" s="148">
        <v>0</v>
      </c>
      <c r="L1073" s="497">
        <f t="shared" si="363"/>
        <v>33.381599999999999</v>
      </c>
      <c r="M1073" s="407"/>
      <c r="N1073" s="88"/>
      <c r="O1073" s="408"/>
      <c r="P1073" s="1300"/>
      <c r="Q1073" s="91"/>
      <c r="R1073" s="91"/>
      <c r="S1073" s="91"/>
      <c r="T1073" s="91"/>
      <c r="U1073" s="91"/>
      <c r="V1073" s="91"/>
      <c r="W1073" s="91"/>
      <c r="X1073" s="91"/>
      <c r="Y1073" s="91"/>
      <c r="Z1073" s="91"/>
      <c r="AA1073" s="91"/>
      <c r="AB1073" s="91"/>
      <c r="AC1073" s="91"/>
      <c r="AD1073" s="91"/>
      <c r="AE1073" s="91"/>
      <c r="AF1073" s="91"/>
      <c r="AG1073" s="91"/>
      <c r="AH1073" s="91"/>
      <c r="AI1073" s="91"/>
      <c r="AJ1073" s="91"/>
      <c r="AK1073" s="91"/>
      <c r="AL1073" s="91"/>
      <c r="AM1073" s="91"/>
      <c r="AN1073" s="91"/>
      <c r="AO1073" s="91"/>
      <c r="AP1073" s="91"/>
      <c r="AQ1073" s="91"/>
      <c r="AR1073" s="91"/>
      <c r="AS1073" s="91"/>
      <c r="AT1073" s="91"/>
      <c r="AU1073" s="91"/>
      <c r="AV1073" s="91"/>
      <c r="AW1073" s="91"/>
      <c r="AX1073" s="91"/>
      <c r="AY1073" s="91"/>
      <c r="AZ1073" s="91"/>
      <c r="BA1073" s="91"/>
      <c r="BB1073" s="91"/>
      <c r="BC1073" s="91"/>
      <c r="BD1073" s="91"/>
      <c r="BE1073" s="91"/>
      <c r="BF1073" s="92"/>
    </row>
    <row r="1074" spans="1:58" s="82" customFormat="1" ht="14.25" customHeight="1">
      <c r="A1074" s="941"/>
      <c r="B1074" s="1267"/>
      <c r="C1074" s="1225"/>
      <c r="D1074" s="84">
        <v>2022</v>
      </c>
      <c r="E1074" s="85">
        <v>33.601399999999998</v>
      </c>
      <c r="F1074" s="85">
        <v>24.152699999999999</v>
      </c>
      <c r="G1074" s="85">
        <v>0</v>
      </c>
      <c r="H1074" s="85">
        <v>0</v>
      </c>
      <c r="I1074" s="85">
        <v>0</v>
      </c>
      <c r="J1074" s="85">
        <v>9.4487000000000005</v>
      </c>
      <c r="K1074" s="148">
        <v>0</v>
      </c>
      <c r="L1074" s="497">
        <f t="shared" si="363"/>
        <v>33.601399999999998</v>
      </c>
      <c r="M1074" s="407"/>
      <c r="N1074" s="88"/>
      <c r="O1074" s="408"/>
      <c r="P1074" s="1300"/>
      <c r="Q1074" s="91"/>
      <c r="R1074" s="91"/>
      <c r="S1074" s="91"/>
      <c r="T1074" s="91"/>
      <c r="U1074" s="91"/>
      <c r="V1074" s="91"/>
      <c r="W1074" s="91"/>
      <c r="X1074" s="91"/>
      <c r="Y1074" s="91"/>
      <c r="Z1074" s="91"/>
      <c r="AA1074" s="91"/>
      <c r="AB1074" s="91"/>
      <c r="AC1074" s="91"/>
      <c r="AD1074" s="91"/>
      <c r="AE1074" s="91"/>
      <c r="AF1074" s="91"/>
      <c r="AG1074" s="91"/>
      <c r="AH1074" s="91"/>
      <c r="AI1074" s="91"/>
      <c r="AJ1074" s="91"/>
      <c r="AK1074" s="91"/>
      <c r="AL1074" s="91"/>
      <c r="AM1074" s="91"/>
      <c r="AN1074" s="91"/>
      <c r="AO1074" s="91"/>
      <c r="AP1074" s="91"/>
      <c r="AQ1074" s="91"/>
      <c r="AR1074" s="91"/>
      <c r="AS1074" s="91"/>
      <c r="AT1074" s="91"/>
      <c r="AU1074" s="91"/>
      <c r="AV1074" s="91"/>
      <c r="AW1074" s="91"/>
      <c r="AX1074" s="91"/>
      <c r="AY1074" s="91"/>
      <c r="AZ1074" s="91"/>
      <c r="BA1074" s="91"/>
      <c r="BB1074" s="91"/>
      <c r="BC1074" s="91"/>
      <c r="BD1074" s="91"/>
      <c r="BE1074" s="91"/>
      <c r="BF1074" s="92"/>
    </row>
    <row r="1075" spans="1:58" s="82" customFormat="1" ht="14.25" customHeight="1">
      <c r="A1075" s="941"/>
      <c r="B1075" s="1267"/>
      <c r="C1075" s="1225"/>
      <c r="D1075" s="84">
        <v>2023</v>
      </c>
      <c r="E1075" s="85">
        <v>33.716999999999999</v>
      </c>
      <c r="F1075" s="85">
        <v>24.2683</v>
      </c>
      <c r="G1075" s="85">
        <v>0</v>
      </c>
      <c r="H1075" s="85">
        <v>0</v>
      </c>
      <c r="I1075" s="85">
        <v>0</v>
      </c>
      <c r="J1075" s="85">
        <v>9.4487000000000005</v>
      </c>
      <c r="K1075" s="148">
        <v>0</v>
      </c>
      <c r="L1075" s="497">
        <f t="shared" si="363"/>
        <v>33.716999999999999</v>
      </c>
      <c r="M1075" s="407"/>
      <c r="N1075" s="88"/>
      <c r="O1075" s="408"/>
      <c r="P1075" s="1300"/>
      <c r="Q1075" s="91"/>
      <c r="R1075" s="91"/>
      <c r="S1075" s="91"/>
      <c r="T1075" s="91"/>
      <c r="U1075" s="91"/>
      <c r="V1075" s="91"/>
      <c r="W1075" s="91"/>
      <c r="X1075" s="91"/>
      <c r="Y1075" s="91"/>
      <c r="Z1075" s="91"/>
      <c r="AA1075" s="91"/>
      <c r="AB1075" s="91"/>
      <c r="AC1075" s="91"/>
      <c r="AD1075" s="91"/>
      <c r="AE1075" s="91"/>
      <c r="AF1075" s="91"/>
      <c r="AG1075" s="91"/>
      <c r="AH1075" s="91"/>
      <c r="AI1075" s="91"/>
      <c r="AJ1075" s="91"/>
      <c r="AK1075" s="91"/>
      <c r="AL1075" s="91"/>
      <c r="AM1075" s="91"/>
      <c r="AN1075" s="91"/>
      <c r="AO1075" s="91"/>
      <c r="AP1075" s="91"/>
      <c r="AQ1075" s="91"/>
      <c r="AR1075" s="91"/>
      <c r="AS1075" s="91"/>
      <c r="AT1075" s="91"/>
      <c r="AU1075" s="91"/>
      <c r="AV1075" s="91"/>
      <c r="AW1075" s="91"/>
      <c r="AX1075" s="91"/>
      <c r="AY1075" s="91"/>
      <c r="AZ1075" s="91"/>
      <c r="BA1075" s="91"/>
      <c r="BB1075" s="91"/>
      <c r="BC1075" s="91"/>
      <c r="BD1075" s="91"/>
      <c r="BE1075" s="91"/>
      <c r="BF1075" s="92"/>
    </row>
    <row r="1076" spans="1:58" s="82" customFormat="1" ht="14.25" customHeight="1">
      <c r="A1076" s="941"/>
      <c r="B1076" s="1267"/>
      <c r="C1076" s="1225"/>
      <c r="D1076" s="84">
        <v>2024</v>
      </c>
      <c r="E1076" s="85">
        <v>33.716999999999999</v>
      </c>
      <c r="F1076" s="85">
        <v>24.2683</v>
      </c>
      <c r="G1076" s="85">
        <v>0</v>
      </c>
      <c r="H1076" s="85">
        <v>0</v>
      </c>
      <c r="I1076" s="85">
        <v>0</v>
      </c>
      <c r="J1076" s="85">
        <v>9.4487000000000005</v>
      </c>
      <c r="K1076" s="148">
        <v>0</v>
      </c>
      <c r="L1076" s="497">
        <f t="shared" si="363"/>
        <v>33.716999999999999</v>
      </c>
      <c r="M1076" s="407"/>
      <c r="N1076" s="88"/>
      <c r="O1076" s="408"/>
      <c r="P1076" s="1300"/>
      <c r="Q1076" s="91"/>
      <c r="R1076" s="91"/>
      <c r="S1076" s="91"/>
      <c r="T1076" s="91"/>
      <c r="U1076" s="91"/>
      <c r="V1076" s="91"/>
      <c r="W1076" s="91"/>
      <c r="X1076" s="91"/>
      <c r="Y1076" s="91"/>
      <c r="Z1076" s="91"/>
      <c r="AA1076" s="91"/>
      <c r="AB1076" s="91"/>
      <c r="AC1076" s="91"/>
      <c r="AD1076" s="91"/>
      <c r="AE1076" s="91"/>
      <c r="AF1076" s="91"/>
      <c r="AG1076" s="91"/>
      <c r="AH1076" s="91"/>
      <c r="AI1076" s="91"/>
      <c r="AJ1076" s="91"/>
      <c r="AK1076" s="91"/>
      <c r="AL1076" s="91"/>
      <c r="AM1076" s="91"/>
      <c r="AN1076" s="91"/>
      <c r="AO1076" s="91"/>
      <c r="AP1076" s="91"/>
      <c r="AQ1076" s="91"/>
      <c r="AR1076" s="91"/>
      <c r="AS1076" s="91"/>
      <c r="AT1076" s="91"/>
      <c r="AU1076" s="91"/>
      <c r="AV1076" s="91"/>
      <c r="AW1076" s="91"/>
      <c r="AX1076" s="91"/>
      <c r="AY1076" s="91"/>
      <c r="AZ1076" s="91"/>
      <c r="BA1076" s="91"/>
      <c r="BB1076" s="91"/>
      <c r="BC1076" s="91"/>
      <c r="BD1076" s="91"/>
      <c r="BE1076" s="91"/>
      <c r="BF1076" s="92"/>
    </row>
    <row r="1077" spans="1:58" s="82" customFormat="1" ht="14.25" customHeight="1">
      <c r="A1077" s="941"/>
      <c r="B1077" s="1267"/>
      <c r="C1077" s="1226"/>
      <c r="D1077" s="84">
        <v>2025</v>
      </c>
      <c r="E1077" s="85">
        <v>33.716999999999999</v>
      </c>
      <c r="F1077" s="85">
        <v>24.2683</v>
      </c>
      <c r="G1077" s="85">
        <v>0</v>
      </c>
      <c r="H1077" s="85">
        <v>0</v>
      </c>
      <c r="I1077" s="85">
        <v>0</v>
      </c>
      <c r="J1077" s="85">
        <v>9.4487000000000005</v>
      </c>
      <c r="K1077" s="148">
        <v>0</v>
      </c>
      <c r="L1077" s="497">
        <f t="shared" si="363"/>
        <v>33.716999999999999</v>
      </c>
      <c r="M1077" s="407"/>
      <c r="N1077" s="88"/>
      <c r="O1077" s="408"/>
      <c r="P1077" s="1300"/>
      <c r="Q1077" s="91"/>
      <c r="R1077" s="91"/>
      <c r="S1077" s="91"/>
      <c r="T1077" s="91"/>
      <c r="U1077" s="91"/>
      <c r="V1077" s="91"/>
      <c r="W1077" s="91"/>
      <c r="X1077" s="91"/>
      <c r="Y1077" s="91"/>
      <c r="Z1077" s="91"/>
      <c r="AA1077" s="91"/>
      <c r="AB1077" s="91"/>
      <c r="AC1077" s="91"/>
      <c r="AD1077" s="91"/>
      <c r="AE1077" s="91"/>
      <c r="AF1077" s="91"/>
      <c r="AG1077" s="91"/>
      <c r="AH1077" s="91"/>
      <c r="AI1077" s="91"/>
      <c r="AJ1077" s="91"/>
      <c r="AK1077" s="91"/>
      <c r="AL1077" s="91"/>
      <c r="AM1077" s="91"/>
      <c r="AN1077" s="91"/>
      <c r="AO1077" s="91"/>
      <c r="AP1077" s="91"/>
      <c r="AQ1077" s="91"/>
      <c r="AR1077" s="91"/>
      <c r="AS1077" s="91"/>
      <c r="AT1077" s="91"/>
      <c r="AU1077" s="91"/>
      <c r="AV1077" s="91"/>
      <c r="AW1077" s="91"/>
      <c r="AX1077" s="91"/>
      <c r="AY1077" s="91"/>
      <c r="AZ1077" s="91"/>
      <c r="BA1077" s="91"/>
      <c r="BB1077" s="91"/>
      <c r="BC1077" s="91"/>
      <c r="BD1077" s="91"/>
      <c r="BE1077" s="91"/>
      <c r="BF1077" s="92"/>
    </row>
    <row r="1078" spans="1:58" s="82" customFormat="1" ht="14.25" customHeight="1">
      <c r="A1078" s="941"/>
      <c r="B1078" s="1267"/>
      <c r="C1078" s="1245" t="s">
        <v>982</v>
      </c>
      <c r="D1078" s="84">
        <v>2026</v>
      </c>
      <c r="E1078" s="85">
        <f>F1078+G1078+H1078+I1078+J1078</f>
        <v>33.716999999999999</v>
      </c>
      <c r="F1078" s="85">
        <v>24.2683</v>
      </c>
      <c r="G1078" s="85">
        <v>0</v>
      </c>
      <c r="H1078" s="85">
        <v>0</v>
      </c>
      <c r="I1078" s="85">
        <v>0</v>
      </c>
      <c r="J1078" s="85">
        <v>9.4487000000000005</v>
      </c>
      <c r="K1078" s="148">
        <v>0</v>
      </c>
      <c r="L1078" s="497">
        <f t="shared" si="363"/>
        <v>33.716999999999999</v>
      </c>
      <c r="M1078" s="407"/>
      <c r="N1078" s="88"/>
      <c r="O1078" s="408"/>
      <c r="P1078" s="1300"/>
      <c r="Q1078" s="91"/>
      <c r="R1078" s="91"/>
      <c r="S1078" s="91"/>
      <c r="T1078" s="91"/>
      <c r="U1078" s="91"/>
      <c r="V1078" s="91"/>
      <c r="W1078" s="91"/>
      <c r="X1078" s="91"/>
      <c r="Y1078" s="91"/>
      <c r="Z1078" s="91"/>
      <c r="AA1078" s="91"/>
      <c r="AB1078" s="91"/>
      <c r="AC1078" s="91"/>
      <c r="AD1078" s="91"/>
      <c r="AE1078" s="91"/>
      <c r="AF1078" s="91"/>
      <c r="AG1078" s="91"/>
      <c r="AH1078" s="91"/>
      <c r="AI1078" s="91"/>
      <c r="AJ1078" s="91"/>
      <c r="AK1078" s="91"/>
      <c r="AL1078" s="91"/>
      <c r="AM1078" s="91"/>
      <c r="AN1078" s="91"/>
      <c r="AO1078" s="91"/>
      <c r="AP1078" s="91"/>
      <c r="AQ1078" s="91"/>
      <c r="AR1078" s="91"/>
      <c r="AS1078" s="91"/>
      <c r="AT1078" s="91"/>
      <c r="AU1078" s="91"/>
      <c r="AV1078" s="91"/>
      <c r="AW1078" s="91"/>
      <c r="AX1078" s="91"/>
      <c r="AY1078" s="91"/>
      <c r="AZ1078" s="91"/>
      <c r="BA1078" s="91"/>
      <c r="BB1078" s="91"/>
      <c r="BC1078" s="91"/>
      <c r="BD1078" s="91"/>
      <c r="BE1078" s="91"/>
      <c r="BF1078" s="92"/>
    </row>
    <row r="1079" spans="1:58" s="82" customFormat="1" ht="14.25" customHeight="1">
      <c r="A1079" s="941"/>
      <c r="B1079" s="1267"/>
      <c r="C1079" s="1245"/>
      <c r="D1079" s="84">
        <v>2027</v>
      </c>
      <c r="E1079" s="85">
        <f>F1079+G1079+H1079+I1079+J1079</f>
        <v>33.716999999999999</v>
      </c>
      <c r="F1079" s="85">
        <v>24.2683</v>
      </c>
      <c r="G1079" s="85">
        <v>0</v>
      </c>
      <c r="H1079" s="85">
        <v>0</v>
      </c>
      <c r="I1079" s="85">
        <v>0</v>
      </c>
      <c r="J1079" s="85">
        <v>9.4487000000000005</v>
      </c>
      <c r="K1079" s="148">
        <v>0</v>
      </c>
      <c r="L1079" s="497">
        <f t="shared" si="363"/>
        <v>33.716999999999999</v>
      </c>
      <c r="M1079" s="407"/>
      <c r="N1079" s="88"/>
      <c r="O1079" s="408"/>
      <c r="P1079" s="1300"/>
      <c r="Q1079" s="91"/>
      <c r="R1079" s="91"/>
      <c r="S1079" s="91"/>
      <c r="T1079" s="91"/>
      <c r="U1079" s="91"/>
      <c r="V1079" s="91"/>
      <c r="W1079" s="91"/>
      <c r="X1079" s="91"/>
      <c r="Y1079" s="91"/>
      <c r="Z1079" s="91"/>
      <c r="AA1079" s="91"/>
      <c r="AB1079" s="91"/>
      <c r="AC1079" s="91"/>
      <c r="AD1079" s="91"/>
      <c r="AE1079" s="91"/>
      <c r="AF1079" s="91"/>
      <c r="AG1079" s="91"/>
      <c r="AH1079" s="91"/>
      <c r="AI1079" s="91"/>
      <c r="AJ1079" s="91"/>
      <c r="AK1079" s="91"/>
      <c r="AL1079" s="91"/>
      <c r="AM1079" s="91"/>
      <c r="AN1079" s="91"/>
      <c r="AO1079" s="91"/>
      <c r="AP1079" s="91"/>
      <c r="AQ1079" s="91"/>
      <c r="AR1079" s="91"/>
      <c r="AS1079" s="91"/>
      <c r="AT1079" s="91"/>
      <c r="AU1079" s="91"/>
      <c r="AV1079" s="91"/>
      <c r="AW1079" s="91"/>
      <c r="AX1079" s="91"/>
      <c r="AY1079" s="91"/>
      <c r="AZ1079" s="91"/>
      <c r="BA1079" s="91"/>
      <c r="BB1079" s="91"/>
      <c r="BC1079" s="91"/>
      <c r="BD1079" s="91"/>
      <c r="BE1079" s="91"/>
      <c r="BF1079" s="92"/>
    </row>
    <row r="1080" spans="1:58" s="82" customFormat="1" ht="14.25" customHeight="1">
      <c r="A1080" s="941"/>
      <c r="B1080" s="1267"/>
      <c r="C1080" s="1245"/>
      <c r="D1080" s="84">
        <v>2028</v>
      </c>
      <c r="E1080" s="85">
        <f>F1080+G1080+H1080+I1080+J1080</f>
        <v>33.716999999999999</v>
      </c>
      <c r="F1080" s="85">
        <v>24.2683</v>
      </c>
      <c r="G1080" s="85">
        <v>0</v>
      </c>
      <c r="H1080" s="85">
        <v>0</v>
      </c>
      <c r="I1080" s="85">
        <v>0</v>
      </c>
      <c r="J1080" s="85">
        <v>9.4487000000000005</v>
      </c>
      <c r="K1080" s="148">
        <v>0</v>
      </c>
      <c r="L1080" s="497">
        <f t="shared" ref="L1080:L1111" si="371">F1080+G1080+H1080+I1080+J1080</f>
        <v>33.716999999999999</v>
      </c>
      <c r="M1080" s="407"/>
      <c r="N1080" s="88"/>
      <c r="O1080" s="408"/>
      <c r="P1080" s="1300"/>
      <c r="Q1080" s="91"/>
      <c r="R1080" s="91"/>
      <c r="S1080" s="91"/>
      <c r="T1080" s="91"/>
      <c r="U1080" s="91"/>
      <c r="V1080" s="91"/>
      <c r="W1080" s="91"/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91"/>
      <c r="AH1080" s="91"/>
      <c r="AI1080" s="91"/>
      <c r="AJ1080" s="91"/>
      <c r="AK1080" s="91"/>
      <c r="AL1080" s="91"/>
      <c r="AM1080" s="91"/>
      <c r="AN1080" s="91"/>
      <c r="AO1080" s="91"/>
      <c r="AP1080" s="91"/>
      <c r="AQ1080" s="91"/>
      <c r="AR1080" s="91"/>
      <c r="AS1080" s="91"/>
      <c r="AT1080" s="91"/>
      <c r="AU1080" s="91"/>
      <c r="AV1080" s="91"/>
      <c r="AW1080" s="91"/>
      <c r="AX1080" s="91"/>
      <c r="AY1080" s="91"/>
      <c r="AZ1080" s="91"/>
      <c r="BA1080" s="91"/>
      <c r="BB1080" s="91"/>
      <c r="BC1080" s="91"/>
      <c r="BD1080" s="91"/>
      <c r="BE1080" s="91"/>
      <c r="BF1080" s="92"/>
    </row>
    <row r="1081" spans="1:58" s="82" customFormat="1" ht="14.25" customHeight="1">
      <c r="A1081" s="941"/>
      <c r="B1081" s="1267"/>
      <c r="C1081" s="1245"/>
      <c r="D1081" s="84">
        <v>2029</v>
      </c>
      <c r="E1081" s="85">
        <f>F1081+G1081+H1081+I1081+J1081</f>
        <v>33.716999999999999</v>
      </c>
      <c r="F1081" s="85">
        <v>24.2683</v>
      </c>
      <c r="G1081" s="85">
        <v>0</v>
      </c>
      <c r="H1081" s="85">
        <v>0</v>
      </c>
      <c r="I1081" s="85">
        <v>0</v>
      </c>
      <c r="J1081" s="85">
        <v>9.4487000000000005</v>
      </c>
      <c r="K1081" s="148">
        <v>0</v>
      </c>
      <c r="L1081" s="497">
        <f t="shared" si="371"/>
        <v>33.716999999999999</v>
      </c>
      <c r="M1081" s="407"/>
      <c r="N1081" s="88"/>
      <c r="O1081" s="408"/>
      <c r="P1081" s="1300"/>
      <c r="Q1081" s="91"/>
      <c r="R1081" s="91"/>
      <c r="S1081" s="91"/>
      <c r="T1081" s="91"/>
      <c r="U1081" s="91"/>
      <c r="V1081" s="91"/>
      <c r="W1081" s="91"/>
      <c r="X1081" s="91"/>
      <c r="Y1081" s="91"/>
      <c r="Z1081" s="91"/>
      <c r="AA1081" s="91"/>
      <c r="AB1081" s="91"/>
      <c r="AC1081" s="91"/>
      <c r="AD1081" s="91"/>
      <c r="AE1081" s="91"/>
      <c r="AF1081" s="91"/>
      <c r="AG1081" s="91"/>
      <c r="AH1081" s="91"/>
      <c r="AI1081" s="91"/>
      <c r="AJ1081" s="91"/>
      <c r="AK1081" s="91"/>
      <c r="AL1081" s="91"/>
      <c r="AM1081" s="91"/>
      <c r="AN1081" s="91"/>
      <c r="AO1081" s="91"/>
      <c r="AP1081" s="91"/>
      <c r="AQ1081" s="91"/>
      <c r="AR1081" s="91"/>
      <c r="AS1081" s="91"/>
      <c r="AT1081" s="91"/>
      <c r="AU1081" s="91"/>
      <c r="AV1081" s="91"/>
      <c r="AW1081" s="91"/>
      <c r="AX1081" s="91"/>
      <c r="AY1081" s="91"/>
      <c r="AZ1081" s="91"/>
      <c r="BA1081" s="91"/>
      <c r="BB1081" s="91"/>
      <c r="BC1081" s="91"/>
      <c r="BD1081" s="91"/>
      <c r="BE1081" s="91"/>
      <c r="BF1081" s="92"/>
    </row>
    <row r="1082" spans="1:58" s="82" customFormat="1" ht="14.25" customHeight="1">
      <c r="A1082" s="942"/>
      <c r="B1082" s="1268"/>
      <c r="C1082" s="1245"/>
      <c r="D1082" s="84">
        <v>2030</v>
      </c>
      <c r="E1082" s="85">
        <f>F1082+G1082+H1082+I1082+J1082</f>
        <v>33.716999999999999</v>
      </c>
      <c r="F1082" s="85">
        <v>24.2683</v>
      </c>
      <c r="G1082" s="85">
        <v>0</v>
      </c>
      <c r="H1082" s="85">
        <v>0</v>
      </c>
      <c r="I1082" s="85">
        <v>0</v>
      </c>
      <c r="J1082" s="85">
        <v>9.4487000000000005</v>
      </c>
      <c r="K1082" s="148">
        <v>0</v>
      </c>
      <c r="L1082" s="497">
        <f t="shared" si="371"/>
        <v>33.716999999999999</v>
      </c>
      <c r="M1082" s="407"/>
      <c r="N1082" s="88"/>
      <c r="O1082" s="408"/>
      <c r="P1082" s="1299"/>
      <c r="Q1082" s="91"/>
      <c r="R1082" s="91"/>
      <c r="S1082" s="91"/>
      <c r="T1082" s="91"/>
      <c r="U1082" s="91"/>
      <c r="V1082" s="91"/>
      <c r="W1082" s="91"/>
      <c r="X1082" s="91"/>
      <c r="Y1082" s="91"/>
      <c r="Z1082" s="91"/>
      <c r="AA1082" s="91"/>
      <c r="AB1082" s="91"/>
      <c r="AC1082" s="91"/>
      <c r="AD1082" s="91"/>
      <c r="AE1082" s="91"/>
      <c r="AF1082" s="91"/>
      <c r="AG1082" s="91"/>
      <c r="AH1082" s="91"/>
      <c r="AI1082" s="91"/>
      <c r="AJ1082" s="91"/>
      <c r="AK1082" s="91"/>
      <c r="AL1082" s="91"/>
      <c r="AM1082" s="91"/>
      <c r="AN1082" s="91"/>
      <c r="AO1082" s="91"/>
      <c r="AP1082" s="91"/>
      <c r="AQ1082" s="91"/>
      <c r="AR1082" s="91"/>
      <c r="AS1082" s="91"/>
      <c r="AT1082" s="91"/>
      <c r="AU1082" s="91"/>
      <c r="AV1082" s="91"/>
      <c r="AW1082" s="91"/>
      <c r="AX1082" s="91"/>
      <c r="AY1082" s="91"/>
      <c r="AZ1082" s="91"/>
      <c r="BA1082" s="91"/>
      <c r="BB1082" s="91"/>
      <c r="BC1082" s="91"/>
      <c r="BD1082" s="91"/>
      <c r="BE1082" s="91"/>
      <c r="BF1082" s="92"/>
    </row>
    <row r="1083" spans="1:58" s="82" customFormat="1" ht="14.25" customHeight="1">
      <c r="A1083" s="1069" t="s">
        <v>1000</v>
      </c>
      <c r="B1083" s="1266" t="s">
        <v>984</v>
      </c>
      <c r="C1083" s="634"/>
      <c r="D1083" s="84" t="s">
        <v>16</v>
      </c>
      <c r="E1083" s="85">
        <f t="shared" ref="E1083:J1083" si="372">E1084+E1085+E1086+E1087+E1088+E1089+E1090+E1091+E1092+E1093+E1094</f>
        <v>46.922699999999992</v>
      </c>
      <c r="F1083" s="85">
        <f t="shared" si="372"/>
        <v>25.140899999999991</v>
      </c>
      <c r="G1083" s="85">
        <f t="shared" si="372"/>
        <v>0</v>
      </c>
      <c r="H1083" s="85">
        <f t="shared" si="372"/>
        <v>0</v>
      </c>
      <c r="I1083" s="85">
        <f t="shared" si="372"/>
        <v>0</v>
      </c>
      <c r="J1083" s="85">
        <f t="shared" si="372"/>
        <v>21.781799999999997</v>
      </c>
      <c r="K1083" s="148">
        <v>0</v>
      </c>
      <c r="L1083" s="497">
        <f t="shared" si="371"/>
        <v>46.922699999999992</v>
      </c>
      <c r="M1083" s="407"/>
      <c r="N1083" s="88"/>
      <c r="O1083" s="408"/>
      <c r="P1083" s="679"/>
      <c r="Q1083" s="91"/>
      <c r="R1083" s="91"/>
      <c r="S1083" s="91"/>
      <c r="T1083" s="91"/>
      <c r="U1083" s="91"/>
      <c r="V1083" s="91"/>
      <c r="W1083" s="91"/>
      <c r="X1083" s="91"/>
      <c r="Y1083" s="91"/>
      <c r="Z1083" s="91"/>
      <c r="AA1083" s="91"/>
      <c r="AB1083" s="91"/>
      <c r="AC1083" s="91"/>
      <c r="AD1083" s="91"/>
      <c r="AE1083" s="91"/>
      <c r="AF1083" s="91"/>
      <c r="AG1083" s="91"/>
      <c r="AH1083" s="91"/>
      <c r="AI1083" s="91"/>
      <c r="AJ1083" s="91"/>
      <c r="AK1083" s="91"/>
      <c r="AL1083" s="91"/>
      <c r="AM1083" s="91"/>
      <c r="AN1083" s="91"/>
      <c r="AO1083" s="91"/>
      <c r="AP1083" s="91"/>
      <c r="AQ1083" s="91"/>
      <c r="AR1083" s="91"/>
      <c r="AS1083" s="91"/>
      <c r="AT1083" s="91"/>
      <c r="AU1083" s="91"/>
      <c r="AV1083" s="91"/>
      <c r="AW1083" s="91"/>
      <c r="AX1083" s="91"/>
      <c r="AY1083" s="91"/>
      <c r="AZ1083" s="91"/>
      <c r="BA1083" s="91"/>
      <c r="BB1083" s="91"/>
      <c r="BC1083" s="91"/>
      <c r="BD1083" s="91"/>
      <c r="BE1083" s="91"/>
      <c r="BF1083" s="92"/>
    </row>
    <row r="1084" spans="1:58" s="82" customFormat="1" ht="14.25" customHeight="1">
      <c r="A1084" s="941"/>
      <c r="B1084" s="1267"/>
      <c r="C1084" s="1224" t="s">
        <v>1437</v>
      </c>
      <c r="D1084" s="84">
        <v>2020</v>
      </c>
      <c r="E1084" s="85">
        <f t="shared" ref="E1084:E1094" si="373">F1084+G1084+H1084+I1084+J1084</f>
        <v>3.2515000000000001</v>
      </c>
      <c r="F1084" s="85">
        <v>2.0057</v>
      </c>
      <c r="G1084" s="85">
        <v>0</v>
      </c>
      <c r="H1084" s="85">
        <v>0</v>
      </c>
      <c r="I1084" s="85">
        <v>0</v>
      </c>
      <c r="J1084" s="85">
        <v>1.2458</v>
      </c>
      <c r="K1084" s="148">
        <v>0</v>
      </c>
      <c r="L1084" s="497">
        <f t="shared" si="371"/>
        <v>3.2515000000000001</v>
      </c>
      <c r="M1084" s="407"/>
      <c r="N1084" s="88"/>
      <c r="O1084" s="408"/>
      <c r="P1084" s="679"/>
      <c r="Q1084" s="91"/>
      <c r="R1084" s="91"/>
      <c r="S1084" s="91"/>
      <c r="T1084" s="91"/>
      <c r="U1084" s="91"/>
      <c r="V1084" s="91"/>
      <c r="W1084" s="91"/>
      <c r="X1084" s="91"/>
      <c r="Y1084" s="91"/>
      <c r="Z1084" s="91"/>
      <c r="AA1084" s="91"/>
      <c r="AB1084" s="91"/>
      <c r="AC1084" s="91"/>
      <c r="AD1084" s="91"/>
      <c r="AE1084" s="91"/>
      <c r="AF1084" s="91"/>
      <c r="AG1084" s="91"/>
      <c r="AH1084" s="91"/>
      <c r="AI1084" s="91"/>
      <c r="AJ1084" s="91"/>
      <c r="AK1084" s="91"/>
      <c r="AL1084" s="91"/>
      <c r="AM1084" s="91"/>
      <c r="AN1084" s="91"/>
      <c r="AO1084" s="91"/>
      <c r="AP1084" s="91"/>
      <c r="AQ1084" s="91"/>
      <c r="AR1084" s="91"/>
      <c r="AS1084" s="91"/>
      <c r="AT1084" s="91"/>
      <c r="AU1084" s="91"/>
      <c r="AV1084" s="91"/>
      <c r="AW1084" s="91"/>
      <c r="AX1084" s="91"/>
      <c r="AY1084" s="91"/>
      <c r="AZ1084" s="91"/>
      <c r="BA1084" s="91"/>
      <c r="BB1084" s="91"/>
      <c r="BC1084" s="91"/>
      <c r="BD1084" s="91"/>
      <c r="BE1084" s="91"/>
      <c r="BF1084" s="92"/>
    </row>
    <row r="1085" spans="1:58" s="82" customFormat="1" ht="14.25" customHeight="1">
      <c r="A1085" s="941"/>
      <c r="B1085" s="1267"/>
      <c r="C1085" s="1225"/>
      <c r="D1085" s="84">
        <v>2021</v>
      </c>
      <c r="E1085" s="85">
        <f t="shared" si="373"/>
        <v>4.3616999999999999</v>
      </c>
      <c r="F1085" s="85">
        <v>2.3081</v>
      </c>
      <c r="G1085" s="85">
        <v>0</v>
      </c>
      <c r="H1085" s="85">
        <v>0</v>
      </c>
      <c r="I1085" s="85">
        <v>0</v>
      </c>
      <c r="J1085" s="85">
        <v>2.0535999999999999</v>
      </c>
      <c r="K1085" s="148">
        <v>0</v>
      </c>
      <c r="L1085" s="497">
        <f t="shared" si="371"/>
        <v>4.3616999999999999</v>
      </c>
      <c r="M1085" s="407"/>
      <c r="N1085" s="88"/>
      <c r="O1085" s="408"/>
      <c r="P1085" s="679"/>
      <c r="Q1085" s="91"/>
      <c r="R1085" s="91"/>
      <c r="S1085" s="91"/>
      <c r="T1085" s="91"/>
      <c r="U1085" s="91"/>
      <c r="V1085" s="91"/>
      <c r="W1085" s="91"/>
      <c r="X1085" s="91"/>
      <c r="Y1085" s="91"/>
      <c r="Z1085" s="91"/>
      <c r="AA1085" s="91"/>
      <c r="AB1085" s="91"/>
      <c r="AC1085" s="91"/>
      <c r="AD1085" s="91"/>
      <c r="AE1085" s="91"/>
      <c r="AF1085" s="91"/>
      <c r="AG1085" s="91"/>
      <c r="AH1085" s="91"/>
      <c r="AI1085" s="91"/>
      <c r="AJ1085" s="91"/>
      <c r="AK1085" s="91"/>
      <c r="AL1085" s="91"/>
      <c r="AM1085" s="91"/>
      <c r="AN1085" s="91"/>
      <c r="AO1085" s="91"/>
      <c r="AP1085" s="91"/>
      <c r="AQ1085" s="91"/>
      <c r="AR1085" s="91"/>
      <c r="AS1085" s="91"/>
      <c r="AT1085" s="91"/>
      <c r="AU1085" s="91"/>
      <c r="AV1085" s="91"/>
      <c r="AW1085" s="91"/>
      <c r="AX1085" s="91"/>
      <c r="AY1085" s="91"/>
      <c r="AZ1085" s="91"/>
      <c r="BA1085" s="91"/>
      <c r="BB1085" s="91"/>
      <c r="BC1085" s="91"/>
      <c r="BD1085" s="91"/>
      <c r="BE1085" s="91"/>
      <c r="BF1085" s="92"/>
    </row>
    <row r="1086" spans="1:58" s="82" customFormat="1" ht="14.25" customHeight="1">
      <c r="A1086" s="941"/>
      <c r="B1086" s="1267"/>
      <c r="C1086" s="1225"/>
      <c r="D1086" s="84">
        <v>2022</v>
      </c>
      <c r="E1086" s="85">
        <f t="shared" si="373"/>
        <v>4.3647</v>
      </c>
      <c r="F1086" s="85">
        <v>2.3111000000000002</v>
      </c>
      <c r="G1086" s="85">
        <v>0</v>
      </c>
      <c r="H1086" s="85">
        <v>0</v>
      </c>
      <c r="I1086" s="85">
        <v>0</v>
      </c>
      <c r="J1086" s="85">
        <v>2.0535999999999999</v>
      </c>
      <c r="K1086" s="148">
        <v>0</v>
      </c>
      <c r="L1086" s="497">
        <f t="shared" si="371"/>
        <v>4.3647</v>
      </c>
      <c r="M1086" s="407"/>
      <c r="N1086" s="88"/>
      <c r="O1086" s="408"/>
      <c r="P1086" s="679"/>
      <c r="Q1086" s="91"/>
      <c r="R1086" s="91"/>
      <c r="S1086" s="91"/>
      <c r="T1086" s="91"/>
      <c r="U1086" s="91"/>
      <c r="V1086" s="91"/>
      <c r="W1086" s="91"/>
      <c r="X1086" s="91"/>
      <c r="Y1086" s="91"/>
      <c r="Z1086" s="91"/>
      <c r="AA1086" s="91"/>
      <c r="AB1086" s="91"/>
      <c r="AC1086" s="91"/>
      <c r="AD1086" s="91"/>
      <c r="AE1086" s="91"/>
      <c r="AF1086" s="91"/>
      <c r="AG1086" s="91"/>
      <c r="AH1086" s="91"/>
      <c r="AI1086" s="91"/>
      <c r="AJ1086" s="91"/>
      <c r="AK1086" s="91"/>
      <c r="AL1086" s="91"/>
      <c r="AM1086" s="91"/>
      <c r="AN1086" s="91"/>
      <c r="AO1086" s="91"/>
      <c r="AP1086" s="91"/>
      <c r="AQ1086" s="91"/>
      <c r="AR1086" s="91"/>
      <c r="AS1086" s="91"/>
      <c r="AT1086" s="91"/>
      <c r="AU1086" s="91"/>
      <c r="AV1086" s="91"/>
      <c r="AW1086" s="91"/>
      <c r="AX1086" s="91"/>
      <c r="AY1086" s="91"/>
      <c r="AZ1086" s="91"/>
      <c r="BA1086" s="91"/>
      <c r="BB1086" s="91"/>
      <c r="BC1086" s="91"/>
      <c r="BD1086" s="91"/>
      <c r="BE1086" s="91"/>
      <c r="BF1086" s="92"/>
    </row>
    <row r="1087" spans="1:58" s="82" customFormat="1" ht="14.25" customHeight="1">
      <c r="A1087" s="224"/>
      <c r="B1087" s="1267"/>
      <c r="C1087" s="1225"/>
      <c r="D1087" s="84">
        <v>2023</v>
      </c>
      <c r="E1087" s="85">
        <f t="shared" si="373"/>
        <v>4.3681000000000001</v>
      </c>
      <c r="F1087" s="85">
        <v>2.3144999999999998</v>
      </c>
      <c r="G1087" s="85">
        <v>0</v>
      </c>
      <c r="H1087" s="85">
        <v>0</v>
      </c>
      <c r="I1087" s="85">
        <v>0</v>
      </c>
      <c r="J1087" s="85">
        <v>2.0535999999999999</v>
      </c>
      <c r="K1087" s="148">
        <v>0</v>
      </c>
      <c r="L1087" s="497">
        <f t="shared" si="371"/>
        <v>4.3681000000000001</v>
      </c>
      <c r="M1087" s="407"/>
      <c r="N1087" s="88"/>
      <c r="O1087" s="408"/>
      <c r="P1087" s="679"/>
      <c r="Q1087" s="91"/>
      <c r="R1087" s="91"/>
      <c r="S1087" s="91"/>
      <c r="T1087" s="91"/>
      <c r="U1087" s="91"/>
      <c r="V1087" s="91"/>
      <c r="W1087" s="91"/>
      <c r="X1087" s="91"/>
      <c r="Y1087" s="91"/>
      <c r="Z1087" s="91"/>
      <c r="AA1087" s="91"/>
      <c r="AB1087" s="91"/>
      <c r="AC1087" s="91"/>
      <c r="AD1087" s="91"/>
      <c r="AE1087" s="91"/>
      <c r="AF1087" s="91"/>
      <c r="AG1087" s="91"/>
      <c r="AH1087" s="91"/>
      <c r="AI1087" s="91"/>
      <c r="AJ1087" s="91"/>
      <c r="AK1087" s="91"/>
      <c r="AL1087" s="91"/>
      <c r="AM1087" s="91"/>
      <c r="AN1087" s="91"/>
      <c r="AO1087" s="91"/>
      <c r="AP1087" s="91"/>
      <c r="AQ1087" s="91"/>
      <c r="AR1087" s="91"/>
      <c r="AS1087" s="91"/>
      <c r="AT1087" s="91"/>
      <c r="AU1087" s="91"/>
      <c r="AV1087" s="91"/>
      <c r="AW1087" s="91"/>
      <c r="AX1087" s="91"/>
      <c r="AY1087" s="91"/>
      <c r="AZ1087" s="91"/>
      <c r="BA1087" s="91"/>
      <c r="BB1087" s="91"/>
      <c r="BC1087" s="91"/>
      <c r="BD1087" s="91"/>
      <c r="BE1087" s="91"/>
      <c r="BF1087" s="92"/>
    </row>
    <row r="1088" spans="1:58" s="82" customFormat="1" ht="14.25" customHeight="1">
      <c r="A1088" s="224"/>
      <c r="B1088" s="1267"/>
      <c r="C1088" s="1225"/>
      <c r="D1088" s="84">
        <v>2024</v>
      </c>
      <c r="E1088" s="85">
        <f t="shared" si="373"/>
        <v>4.3681000000000001</v>
      </c>
      <c r="F1088" s="85">
        <v>2.3144999999999998</v>
      </c>
      <c r="G1088" s="85">
        <v>0</v>
      </c>
      <c r="H1088" s="85">
        <v>0</v>
      </c>
      <c r="I1088" s="85">
        <v>0</v>
      </c>
      <c r="J1088" s="85">
        <v>2.0535999999999999</v>
      </c>
      <c r="K1088" s="148">
        <v>0</v>
      </c>
      <c r="L1088" s="497">
        <f t="shared" si="371"/>
        <v>4.3681000000000001</v>
      </c>
      <c r="M1088" s="407"/>
      <c r="N1088" s="88"/>
      <c r="O1088" s="408"/>
      <c r="P1088" s="679"/>
      <c r="Q1088" s="91"/>
      <c r="R1088" s="91"/>
      <c r="S1088" s="91"/>
      <c r="T1088" s="91"/>
      <c r="U1088" s="91"/>
      <c r="V1088" s="91"/>
      <c r="W1088" s="91"/>
      <c r="X1088" s="91"/>
      <c r="Y1088" s="91"/>
      <c r="Z1088" s="91"/>
      <c r="AA1088" s="91"/>
      <c r="AB1088" s="91"/>
      <c r="AC1088" s="91"/>
      <c r="AD1088" s="91"/>
      <c r="AE1088" s="91"/>
      <c r="AF1088" s="91"/>
      <c r="AG1088" s="91"/>
      <c r="AH1088" s="91"/>
      <c r="AI1088" s="91"/>
      <c r="AJ1088" s="91"/>
      <c r="AK1088" s="91"/>
      <c r="AL1088" s="91"/>
      <c r="AM1088" s="91"/>
      <c r="AN1088" s="91"/>
      <c r="AO1088" s="91"/>
      <c r="AP1088" s="91"/>
      <c r="AQ1088" s="91"/>
      <c r="AR1088" s="91"/>
      <c r="AS1088" s="91"/>
      <c r="AT1088" s="91"/>
      <c r="AU1088" s="91"/>
      <c r="AV1088" s="91"/>
      <c r="AW1088" s="91"/>
      <c r="AX1088" s="91"/>
      <c r="AY1088" s="91"/>
      <c r="AZ1088" s="91"/>
      <c r="BA1088" s="91"/>
      <c r="BB1088" s="91"/>
      <c r="BC1088" s="91"/>
      <c r="BD1088" s="91"/>
      <c r="BE1088" s="91"/>
      <c r="BF1088" s="92"/>
    </row>
    <row r="1089" spans="1:58" s="82" customFormat="1" ht="14.25" customHeight="1">
      <c r="A1089" s="224"/>
      <c r="B1089" s="1267"/>
      <c r="C1089" s="1226"/>
      <c r="D1089" s="84">
        <v>2025</v>
      </c>
      <c r="E1089" s="85">
        <f t="shared" si="373"/>
        <v>4.3681000000000001</v>
      </c>
      <c r="F1089" s="85">
        <v>2.3144999999999998</v>
      </c>
      <c r="G1089" s="85">
        <v>0</v>
      </c>
      <c r="H1089" s="85">
        <v>0</v>
      </c>
      <c r="I1089" s="85">
        <v>0</v>
      </c>
      <c r="J1089" s="85">
        <v>2.0535999999999999</v>
      </c>
      <c r="K1089" s="148">
        <v>0</v>
      </c>
      <c r="L1089" s="497">
        <f t="shared" si="371"/>
        <v>4.3681000000000001</v>
      </c>
      <c r="M1089" s="407"/>
      <c r="N1089" s="88"/>
      <c r="O1089" s="408"/>
      <c r="P1089" s="679"/>
      <c r="Q1089" s="91"/>
      <c r="R1089" s="91"/>
      <c r="S1089" s="91"/>
      <c r="T1089" s="91"/>
      <c r="U1089" s="91"/>
      <c r="V1089" s="91"/>
      <c r="W1089" s="91"/>
      <c r="X1089" s="91"/>
      <c r="Y1089" s="91"/>
      <c r="Z1089" s="91"/>
      <c r="AA1089" s="91"/>
      <c r="AB1089" s="91"/>
      <c r="AC1089" s="91"/>
      <c r="AD1089" s="91"/>
      <c r="AE1089" s="91"/>
      <c r="AF1089" s="91"/>
      <c r="AG1089" s="91"/>
      <c r="AH1089" s="91"/>
      <c r="AI1089" s="91"/>
      <c r="AJ1089" s="91"/>
      <c r="AK1089" s="91"/>
      <c r="AL1089" s="91"/>
      <c r="AM1089" s="91"/>
      <c r="AN1089" s="91"/>
      <c r="AO1089" s="91"/>
      <c r="AP1089" s="91"/>
      <c r="AQ1089" s="91"/>
      <c r="AR1089" s="91"/>
      <c r="AS1089" s="91"/>
      <c r="AT1089" s="91"/>
      <c r="AU1089" s="91"/>
      <c r="AV1089" s="91"/>
      <c r="AW1089" s="91"/>
      <c r="AX1089" s="91"/>
      <c r="AY1089" s="91"/>
      <c r="AZ1089" s="91"/>
      <c r="BA1089" s="91"/>
      <c r="BB1089" s="91"/>
      <c r="BC1089" s="91"/>
      <c r="BD1089" s="91"/>
      <c r="BE1089" s="91"/>
      <c r="BF1089" s="92"/>
    </row>
    <row r="1090" spans="1:58" s="82" customFormat="1" ht="14.25" customHeight="1">
      <c r="A1090" s="224"/>
      <c r="B1090" s="1267"/>
      <c r="C1090" s="1224" t="s">
        <v>982</v>
      </c>
      <c r="D1090" s="84">
        <v>2026</v>
      </c>
      <c r="E1090" s="85">
        <f t="shared" si="373"/>
        <v>4.3681000000000001</v>
      </c>
      <c r="F1090" s="85">
        <v>2.3144999999999998</v>
      </c>
      <c r="G1090" s="85">
        <v>0</v>
      </c>
      <c r="H1090" s="85">
        <v>0</v>
      </c>
      <c r="I1090" s="85">
        <v>0</v>
      </c>
      <c r="J1090" s="85">
        <v>2.0535999999999999</v>
      </c>
      <c r="K1090" s="148">
        <v>0</v>
      </c>
      <c r="L1090" s="497">
        <f t="shared" si="371"/>
        <v>4.3681000000000001</v>
      </c>
      <c r="M1090" s="407"/>
      <c r="N1090" s="88"/>
      <c r="O1090" s="408"/>
      <c r="P1090" s="679"/>
      <c r="Q1090" s="91"/>
      <c r="R1090" s="91"/>
      <c r="S1090" s="91"/>
      <c r="T1090" s="91"/>
      <c r="U1090" s="91"/>
      <c r="V1090" s="91"/>
      <c r="W1090" s="91"/>
      <c r="X1090" s="91"/>
      <c r="Y1090" s="91"/>
      <c r="Z1090" s="91"/>
      <c r="AA1090" s="91"/>
      <c r="AB1090" s="91"/>
      <c r="AC1090" s="91"/>
      <c r="AD1090" s="91"/>
      <c r="AE1090" s="91"/>
      <c r="AF1090" s="91"/>
      <c r="AG1090" s="91"/>
      <c r="AH1090" s="91"/>
      <c r="AI1090" s="91"/>
      <c r="AJ1090" s="91"/>
      <c r="AK1090" s="91"/>
      <c r="AL1090" s="91"/>
      <c r="AM1090" s="91"/>
      <c r="AN1090" s="91"/>
      <c r="AO1090" s="91"/>
      <c r="AP1090" s="91"/>
      <c r="AQ1090" s="91"/>
      <c r="AR1090" s="91"/>
      <c r="AS1090" s="91"/>
      <c r="AT1090" s="91"/>
      <c r="AU1090" s="91"/>
      <c r="AV1090" s="91"/>
      <c r="AW1090" s="91"/>
      <c r="AX1090" s="91"/>
      <c r="AY1090" s="91"/>
      <c r="AZ1090" s="91"/>
      <c r="BA1090" s="91"/>
      <c r="BB1090" s="91"/>
      <c r="BC1090" s="91"/>
      <c r="BD1090" s="91"/>
      <c r="BE1090" s="91"/>
      <c r="BF1090" s="92"/>
    </row>
    <row r="1091" spans="1:58" s="82" customFormat="1" ht="14.25" customHeight="1">
      <c r="A1091" s="224"/>
      <c r="B1091" s="1267"/>
      <c r="C1091" s="1225"/>
      <c r="D1091" s="84">
        <v>2027</v>
      </c>
      <c r="E1091" s="85">
        <f t="shared" si="373"/>
        <v>4.3681000000000001</v>
      </c>
      <c r="F1091" s="85">
        <v>2.3144999999999998</v>
      </c>
      <c r="G1091" s="85">
        <v>0</v>
      </c>
      <c r="H1091" s="85">
        <v>0</v>
      </c>
      <c r="I1091" s="85">
        <v>0</v>
      </c>
      <c r="J1091" s="85">
        <v>2.0535999999999999</v>
      </c>
      <c r="K1091" s="148">
        <v>0</v>
      </c>
      <c r="L1091" s="497">
        <f t="shared" si="371"/>
        <v>4.3681000000000001</v>
      </c>
      <c r="M1091" s="407"/>
      <c r="N1091" s="88"/>
      <c r="O1091" s="408"/>
      <c r="P1091" s="679"/>
      <c r="Q1091" s="91"/>
      <c r="R1091" s="91"/>
      <c r="S1091" s="91"/>
      <c r="T1091" s="91"/>
      <c r="U1091" s="91"/>
      <c r="V1091" s="91"/>
      <c r="W1091" s="91"/>
      <c r="X1091" s="91"/>
      <c r="Y1091" s="91"/>
      <c r="Z1091" s="91"/>
      <c r="AA1091" s="91"/>
      <c r="AB1091" s="91"/>
      <c r="AC1091" s="91"/>
      <c r="AD1091" s="91"/>
      <c r="AE1091" s="91"/>
      <c r="AF1091" s="91"/>
      <c r="AG1091" s="91"/>
      <c r="AH1091" s="91"/>
      <c r="AI1091" s="91"/>
      <c r="AJ1091" s="91"/>
      <c r="AK1091" s="91"/>
      <c r="AL1091" s="91"/>
      <c r="AM1091" s="91"/>
      <c r="AN1091" s="91"/>
      <c r="AO1091" s="91"/>
      <c r="AP1091" s="91"/>
      <c r="AQ1091" s="91"/>
      <c r="AR1091" s="91"/>
      <c r="AS1091" s="91"/>
      <c r="AT1091" s="91"/>
      <c r="AU1091" s="91"/>
      <c r="AV1091" s="91"/>
      <c r="AW1091" s="91"/>
      <c r="AX1091" s="91"/>
      <c r="AY1091" s="91"/>
      <c r="AZ1091" s="91"/>
      <c r="BA1091" s="91"/>
      <c r="BB1091" s="91"/>
      <c r="BC1091" s="91"/>
      <c r="BD1091" s="91"/>
      <c r="BE1091" s="91"/>
      <c r="BF1091" s="92"/>
    </row>
    <row r="1092" spans="1:58" s="82" customFormat="1" ht="14.25" customHeight="1">
      <c r="A1092" s="224"/>
      <c r="B1092" s="1267"/>
      <c r="C1092" s="1225"/>
      <c r="D1092" s="84">
        <v>2028</v>
      </c>
      <c r="E1092" s="85">
        <f t="shared" si="373"/>
        <v>4.3681000000000001</v>
      </c>
      <c r="F1092" s="85">
        <v>2.3144999999999998</v>
      </c>
      <c r="G1092" s="85">
        <v>0</v>
      </c>
      <c r="H1092" s="85">
        <v>0</v>
      </c>
      <c r="I1092" s="85">
        <v>0</v>
      </c>
      <c r="J1092" s="85">
        <v>2.0535999999999999</v>
      </c>
      <c r="K1092" s="148">
        <v>0</v>
      </c>
      <c r="L1092" s="497">
        <f t="shared" si="371"/>
        <v>4.3681000000000001</v>
      </c>
      <c r="M1092" s="407"/>
      <c r="N1092" s="88"/>
      <c r="O1092" s="408"/>
      <c r="P1092" s="679"/>
      <c r="Q1092" s="91"/>
      <c r="R1092" s="91"/>
      <c r="S1092" s="91"/>
      <c r="T1092" s="91"/>
      <c r="U1092" s="91"/>
      <c r="V1092" s="91"/>
      <c r="W1092" s="91"/>
      <c r="X1092" s="91"/>
      <c r="Y1092" s="91"/>
      <c r="Z1092" s="91"/>
      <c r="AA1092" s="91"/>
      <c r="AB1092" s="91"/>
      <c r="AC1092" s="91"/>
      <c r="AD1092" s="91"/>
      <c r="AE1092" s="91"/>
      <c r="AF1092" s="91"/>
      <c r="AG1092" s="91"/>
      <c r="AH1092" s="91"/>
      <c r="AI1092" s="91"/>
      <c r="AJ1092" s="91"/>
      <c r="AK1092" s="91"/>
      <c r="AL1092" s="91"/>
      <c r="AM1092" s="91"/>
      <c r="AN1092" s="91"/>
      <c r="AO1092" s="91"/>
      <c r="AP1092" s="91"/>
      <c r="AQ1092" s="91"/>
      <c r="AR1092" s="91"/>
      <c r="AS1092" s="91"/>
      <c r="AT1092" s="91"/>
      <c r="AU1092" s="91"/>
      <c r="AV1092" s="91"/>
      <c r="AW1092" s="91"/>
      <c r="AX1092" s="91"/>
      <c r="AY1092" s="91"/>
      <c r="AZ1092" s="91"/>
      <c r="BA1092" s="91"/>
      <c r="BB1092" s="91"/>
      <c r="BC1092" s="91"/>
      <c r="BD1092" s="91"/>
      <c r="BE1092" s="91"/>
      <c r="BF1092" s="92"/>
    </row>
    <row r="1093" spans="1:58" s="82" customFormat="1" ht="14.25" customHeight="1">
      <c r="A1093" s="224"/>
      <c r="B1093" s="1267"/>
      <c r="C1093" s="1225"/>
      <c r="D1093" s="84">
        <v>2029</v>
      </c>
      <c r="E1093" s="85">
        <f t="shared" si="373"/>
        <v>4.3681000000000001</v>
      </c>
      <c r="F1093" s="85">
        <v>2.3144999999999998</v>
      </c>
      <c r="G1093" s="85">
        <v>0</v>
      </c>
      <c r="H1093" s="85">
        <v>0</v>
      </c>
      <c r="I1093" s="85">
        <v>0</v>
      </c>
      <c r="J1093" s="85">
        <v>2.0535999999999999</v>
      </c>
      <c r="K1093" s="148">
        <v>0</v>
      </c>
      <c r="L1093" s="497">
        <f t="shared" si="371"/>
        <v>4.3681000000000001</v>
      </c>
      <c r="M1093" s="407"/>
      <c r="N1093" s="88"/>
      <c r="O1093" s="408"/>
      <c r="P1093" s="679"/>
      <c r="Q1093" s="91"/>
      <c r="R1093" s="91"/>
      <c r="S1093" s="91"/>
      <c r="T1093" s="91"/>
      <c r="U1093" s="91"/>
      <c r="V1093" s="91"/>
      <c r="W1093" s="91"/>
      <c r="X1093" s="91"/>
      <c r="Y1093" s="91"/>
      <c r="Z1093" s="91"/>
      <c r="AA1093" s="91"/>
      <c r="AB1093" s="91"/>
      <c r="AC1093" s="91"/>
      <c r="AD1093" s="91"/>
      <c r="AE1093" s="91"/>
      <c r="AF1093" s="91"/>
      <c r="AG1093" s="91"/>
      <c r="AH1093" s="91"/>
      <c r="AI1093" s="91"/>
      <c r="AJ1093" s="91"/>
      <c r="AK1093" s="91"/>
      <c r="AL1093" s="91"/>
      <c r="AM1093" s="91"/>
      <c r="AN1093" s="91"/>
      <c r="AO1093" s="91"/>
      <c r="AP1093" s="91"/>
      <c r="AQ1093" s="91"/>
      <c r="AR1093" s="91"/>
      <c r="AS1093" s="91"/>
      <c r="AT1093" s="91"/>
      <c r="AU1093" s="91"/>
      <c r="AV1093" s="91"/>
      <c r="AW1093" s="91"/>
      <c r="AX1093" s="91"/>
      <c r="AY1093" s="91"/>
      <c r="AZ1093" s="91"/>
      <c r="BA1093" s="91"/>
      <c r="BB1093" s="91"/>
      <c r="BC1093" s="91"/>
      <c r="BD1093" s="91"/>
      <c r="BE1093" s="91"/>
      <c r="BF1093" s="92"/>
    </row>
    <row r="1094" spans="1:58" s="82" customFormat="1" ht="14.25" customHeight="1">
      <c r="A1094" s="224"/>
      <c r="B1094" s="1268"/>
      <c r="C1094" s="1226"/>
      <c r="D1094" s="84">
        <v>2030</v>
      </c>
      <c r="E1094" s="85">
        <f t="shared" si="373"/>
        <v>4.3681000000000001</v>
      </c>
      <c r="F1094" s="85">
        <v>2.3144999999999998</v>
      </c>
      <c r="G1094" s="85">
        <v>0</v>
      </c>
      <c r="H1094" s="85">
        <v>0</v>
      </c>
      <c r="I1094" s="85">
        <v>0</v>
      </c>
      <c r="J1094" s="85">
        <v>2.0535999999999999</v>
      </c>
      <c r="K1094" s="148">
        <v>0</v>
      </c>
      <c r="L1094" s="497">
        <f t="shared" si="371"/>
        <v>4.3681000000000001</v>
      </c>
      <c r="M1094" s="407"/>
      <c r="N1094" s="88"/>
      <c r="O1094" s="408"/>
      <c r="P1094" s="679"/>
      <c r="Q1094" s="91"/>
      <c r="R1094" s="91"/>
      <c r="S1094" s="91"/>
      <c r="T1094" s="91"/>
      <c r="U1094" s="91"/>
      <c r="V1094" s="91"/>
      <c r="W1094" s="91"/>
      <c r="X1094" s="91"/>
      <c r="Y1094" s="91"/>
      <c r="Z1094" s="91"/>
      <c r="AA1094" s="91"/>
      <c r="AB1094" s="91"/>
      <c r="AC1094" s="91"/>
      <c r="AD1094" s="91"/>
      <c r="AE1094" s="91"/>
      <c r="AF1094" s="91"/>
      <c r="AG1094" s="91"/>
      <c r="AH1094" s="91"/>
      <c r="AI1094" s="91"/>
      <c r="AJ1094" s="91"/>
      <c r="AK1094" s="91"/>
      <c r="AL1094" s="91"/>
      <c r="AM1094" s="91"/>
      <c r="AN1094" s="91"/>
      <c r="AO1094" s="91"/>
      <c r="AP1094" s="91"/>
      <c r="AQ1094" s="91"/>
      <c r="AR1094" s="91"/>
      <c r="AS1094" s="91"/>
      <c r="AT1094" s="91"/>
      <c r="AU1094" s="91"/>
      <c r="AV1094" s="91"/>
      <c r="AW1094" s="91"/>
      <c r="AX1094" s="91"/>
      <c r="AY1094" s="91"/>
      <c r="AZ1094" s="91"/>
      <c r="BA1094" s="91"/>
      <c r="BB1094" s="91"/>
      <c r="BC1094" s="91"/>
      <c r="BD1094" s="91"/>
      <c r="BE1094" s="91"/>
      <c r="BF1094" s="92"/>
    </row>
    <row r="1095" spans="1:58" s="82" customFormat="1" ht="23.25" customHeight="1">
      <c r="A1095" s="1306" t="s">
        <v>1342</v>
      </c>
      <c r="B1095" s="1262" t="s">
        <v>987</v>
      </c>
      <c r="C1095" s="634"/>
      <c r="D1095" s="84" t="s">
        <v>16</v>
      </c>
      <c r="E1095" s="85">
        <f t="shared" ref="E1095:J1095" si="374">E1096+E1097+E1098+E1099+E1100+E1101+E1102+E1103+E1104+E1105+E1106+E1107</f>
        <v>1628.6886000000004</v>
      </c>
      <c r="F1095" s="85">
        <f t="shared" si="374"/>
        <v>1628.6886000000004</v>
      </c>
      <c r="G1095" s="85">
        <f t="shared" si="374"/>
        <v>0</v>
      </c>
      <c r="H1095" s="85">
        <f t="shared" si="374"/>
        <v>0</v>
      </c>
      <c r="I1095" s="85">
        <f t="shared" si="374"/>
        <v>0</v>
      </c>
      <c r="J1095" s="85">
        <f t="shared" si="374"/>
        <v>0</v>
      </c>
      <c r="K1095" s="148">
        <v>0</v>
      </c>
      <c r="L1095" s="497">
        <f t="shared" si="371"/>
        <v>1628.6886000000004</v>
      </c>
      <c r="M1095" s="407"/>
      <c r="N1095" s="88"/>
      <c r="O1095" s="408"/>
      <c r="P1095" s="1286" t="s">
        <v>980</v>
      </c>
      <c r="Q1095" s="91"/>
      <c r="R1095" s="91"/>
      <c r="S1095" s="91"/>
      <c r="T1095" s="91"/>
      <c r="U1095" s="91"/>
      <c r="V1095" s="91"/>
      <c r="W1095" s="91"/>
      <c r="X1095" s="91"/>
      <c r="Y1095" s="91"/>
      <c r="Z1095" s="91"/>
      <c r="AA1095" s="91"/>
      <c r="AB1095" s="91"/>
      <c r="AC1095" s="91"/>
      <c r="AD1095" s="91"/>
      <c r="AE1095" s="91"/>
      <c r="AF1095" s="91"/>
      <c r="AG1095" s="91"/>
      <c r="AH1095" s="91"/>
      <c r="AI1095" s="91"/>
      <c r="AJ1095" s="91"/>
      <c r="AK1095" s="91"/>
      <c r="AL1095" s="91"/>
      <c r="AM1095" s="91"/>
      <c r="AN1095" s="91"/>
      <c r="AO1095" s="91"/>
      <c r="AP1095" s="91"/>
      <c r="AQ1095" s="91"/>
      <c r="AR1095" s="91"/>
      <c r="AS1095" s="91"/>
      <c r="AT1095" s="91"/>
      <c r="AU1095" s="91"/>
      <c r="AV1095" s="91"/>
      <c r="AW1095" s="91"/>
      <c r="AX1095" s="91"/>
      <c r="AY1095" s="91"/>
      <c r="AZ1095" s="91"/>
      <c r="BA1095" s="91"/>
      <c r="BB1095" s="91"/>
      <c r="BC1095" s="91"/>
      <c r="BD1095" s="91"/>
      <c r="BE1095" s="91"/>
      <c r="BF1095" s="92"/>
    </row>
    <row r="1096" spans="1:58" s="82" customFormat="1" ht="54.75" customHeight="1">
      <c r="A1096" s="1306"/>
      <c r="B1096" s="1274"/>
      <c r="C1096" s="620" t="s">
        <v>1436</v>
      </c>
      <c r="D1096" s="84">
        <v>2019</v>
      </c>
      <c r="E1096" s="85">
        <f t="shared" ref="E1096:E1107" si="375">F1096</f>
        <v>143.0934</v>
      </c>
      <c r="F1096" s="85">
        <v>143.0934</v>
      </c>
      <c r="G1096" s="85">
        <v>0</v>
      </c>
      <c r="H1096" s="85">
        <v>0</v>
      </c>
      <c r="I1096" s="85">
        <v>0</v>
      </c>
      <c r="J1096" s="85">
        <v>0</v>
      </c>
      <c r="K1096" s="148">
        <v>0</v>
      </c>
      <c r="L1096" s="497">
        <f t="shared" si="371"/>
        <v>143.0934</v>
      </c>
      <c r="M1096" s="407"/>
      <c r="N1096" s="88"/>
      <c r="O1096" s="408"/>
      <c r="P1096" s="1218"/>
      <c r="Q1096" s="91"/>
      <c r="R1096" s="91"/>
      <c r="S1096" s="91"/>
      <c r="T1096" s="91"/>
      <c r="U1096" s="91"/>
      <c r="V1096" s="91"/>
      <c r="W1096" s="91"/>
      <c r="X1096" s="91"/>
      <c r="Y1096" s="91"/>
      <c r="Z1096" s="91"/>
      <c r="AA1096" s="91"/>
      <c r="AB1096" s="91"/>
      <c r="AC1096" s="91"/>
      <c r="AD1096" s="91"/>
      <c r="AE1096" s="91"/>
      <c r="AF1096" s="91"/>
      <c r="AG1096" s="91"/>
      <c r="AH1096" s="91"/>
      <c r="AI1096" s="91"/>
      <c r="AJ1096" s="91"/>
      <c r="AK1096" s="91"/>
      <c r="AL1096" s="91"/>
      <c r="AM1096" s="91"/>
      <c r="AN1096" s="91"/>
      <c r="AO1096" s="91"/>
      <c r="AP1096" s="91"/>
      <c r="AQ1096" s="91"/>
      <c r="AR1096" s="91"/>
      <c r="AS1096" s="91"/>
      <c r="AT1096" s="91"/>
      <c r="AU1096" s="91"/>
      <c r="AV1096" s="91"/>
      <c r="AW1096" s="91"/>
      <c r="AX1096" s="91"/>
      <c r="AY1096" s="91"/>
      <c r="AZ1096" s="91"/>
      <c r="BA1096" s="91"/>
      <c r="BB1096" s="91"/>
      <c r="BC1096" s="91"/>
      <c r="BD1096" s="91"/>
      <c r="BE1096" s="91"/>
      <c r="BF1096" s="92"/>
    </row>
    <row r="1097" spans="1:58" s="82" customFormat="1" ht="15.75" customHeight="1">
      <c r="A1097" s="650"/>
      <c r="B1097" s="1080" t="s">
        <v>988</v>
      </c>
      <c r="C1097" s="1262" t="s">
        <v>1437</v>
      </c>
      <c r="D1097" s="84">
        <v>2020</v>
      </c>
      <c r="E1097" s="85">
        <f t="shared" si="375"/>
        <v>145.28030000000001</v>
      </c>
      <c r="F1097" s="85">
        <v>145.28030000000001</v>
      </c>
      <c r="G1097" s="85">
        <v>0</v>
      </c>
      <c r="H1097" s="85">
        <v>0</v>
      </c>
      <c r="I1097" s="85">
        <v>0</v>
      </c>
      <c r="J1097" s="85">
        <v>0</v>
      </c>
      <c r="K1097" s="148">
        <v>0</v>
      </c>
      <c r="L1097" s="497">
        <f t="shared" si="371"/>
        <v>145.28030000000001</v>
      </c>
      <c r="M1097" s="407"/>
      <c r="N1097" s="88"/>
      <c r="O1097" s="408"/>
      <c r="P1097" s="1218"/>
      <c r="Q1097" s="91"/>
      <c r="R1097" s="91"/>
      <c r="S1097" s="91"/>
      <c r="T1097" s="91"/>
      <c r="U1097" s="91"/>
      <c r="V1097" s="91"/>
      <c r="W1097" s="91"/>
      <c r="X1097" s="91"/>
      <c r="Y1097" s="91"/>
      <c r="Z1097" s="91"/>
      <c r="AA1097" s="91"/>
      <c r="AB1097" s="91"/>
      <c r="AC1097" s="91"/>
      <c r="AD1097" s="91"/>
      <c r="AE1097" s="91"/>
      <c r="AF1097" s="91"/>
      <c r="AG1097" s="91"/>
      <c r="AH1097" s="91"/>
      <c r="AI1097" s="91"/>
      <c r="AJ1097" s="91"/>
      <c r="AK1097" s="91"/>
      <c r="AL1097" s="91"/>
      <c r="AM1097" s="91"/>
      <c r="AN1097" s="91"/>
      <c r="AO1097" s="91"/>
      <c r="AP1097" s="91"/>
      <c r="AQ1097" s="91"/>
      <c r="AR1097" s="91"/>
      <c r="AS1097" s="91"/>
      <c r="AT1097" s="91"/>
      <c r="AU1097" s="91"/>
      <c r="AV1097" s="91"/>
      <c r="AW1097" s="91"/>
      <c r="AX1097" s="91"/>
      <c r="AY1097" s="91"/>
      <c r="AZ1097" s="91"/>
      <c r="BA1097" s="91"/>
      <c r="BB1097" s="91"/>
      <c r="BC1097" s="91"/>
      <c r="BD1097" s="91"/>
      <c r="BE1097" s="91"/>
      <c r="BF1097" s="92"/>
    </row>
    <row r="1098" spans="1:58" s="82" customFormat="1" ht="15.75" customHeight="1">
      <c r="A1098" s="650"/>
      <c r="B1098" s="1261"/>
      <c r="C1098" s="1263"/>
      <c r="D1098" s="84">
        <v>2021</v>
      </c>
      <c r="E1098" s="85">
        <f t="shared" si="375"/>
        <v>137.75960000000001</v>
      </c>
      <c r="F1098" s="85">
        <v>137.75960000000001</v>
      </c>
      <c r="G1098" s="85">
        <v>0</v>
      </c>
      <c r="H1098" s="85">
        <v>0</v>
      </c>
      <c r="I1098" s="85">
        <v>0</v>
      </c>
      <c r="J1098" s="85">
        <v>0</v>
      </c>
      <c r="K1098" s="148">
        <v>0</v>
      </c>
      <c r="L1098" s="497">
        <f t="shared" si="371"/>
        <v>137.75960000000001</v>
      </c>
      <c r="M1098" s="407"/>
      <c r="N1098" s="88"/>
      <c r="O1098" s="408"/>
      <c r="P1098" s="1218"/>
      <c r="Q1098" s="91"/>
      <c r="R1098" s="91"/>
      <c r="S1098" s="91"/>
      <c r="T1098" s="91"/>
      <c r="U1098" s="91"/>
      <c r="V1098" s="91"/>
      <c r="W1098" s="91"/>
      <c r="X1098" s="91"/>
      <c r="Y1098" s="91"/>
      <c r="Z1098" s="91"/>
      <c r="AA1098" s="91"/>
      <c r="AB1098" s="91"/>
      <c r="AC1098" s="91"/>
      <c r="AD1098" s="91"/>
      <c r="AE1098" s="91"/>
      <c r="AF1098" s="91"/>
      <c r="AG1098" s="91"/>
      <c r="AH1098" s="91"/>
      <c r="AI1098" s="91"/>
      <c r="AJ1098" s="91"/>
      <c r="AK1098" s="91"/>
      <c r="AL1098" s="91"/>
      <c r="AM1098" s="91"/>
      <c r="AN1098" s="91"/>
      <c r="AO1098" s="91"/>
      <c r="AP1098" s="91"/>
      <c r="AQ1098" s="91"/>
      <c r="AR1098" s="91"/>
      <c r="AS1098" s="91"/>
      <c r="AT1098" s="91"/>
      <c r="AU1098" s="91"/>
      <c r="AV1098" s="91"/>
      <c r="AW1098" s="91"/>
      <c r="AX1098" s="91"/>
      <c r="AY1098" s="91"/>
      <c r="AZ1098" s="91"/>
      <c r="BA1098" s="91"/>
      <c r="BB1098" s="91"/>
      <c r="BC1098" s="91"/>
      <c r="BD1098" s="91"/>
      <c r="BE1098" s="91"/>
      <c r="BF1098" s="92"/>
    </row>
    <row r="1099" spans="1:58" s="82" customFormat="1" ht="15.75" customHeight="1">
      <c r="A1099" s="650"/>
      <c r="B1099" s="1261"/>
      <c r="C1099" s="1263"/>
      <c r="D1099" s="84">
        <v>2022</v>
      </c>
      <c r="E1099" s="85">
        <f t="shared" si="375"/>
        <v>137.26730000000001</v>
      </c>
      <c r="F1099" s="85">
        <v>137.26730000000001</v>
      </c>
      <c r="G1099" s="85">
        <v>0</v>
      </c>
      <c r="H1099" s="85">
        <v>0</v>
      </c>
      <c r="I1099" s="85">
        <v>0</v>
      </c>
      <c r="J1099" s="85">
        <v>0</v>
      </c>
      <c r="K1099" s="148">
        <v>0</v>
      </c>
      <c r="L1099" s="497">
        <f t="shared" si="371"/>
        <v>137.26730000000001</v>
      </c>
      <c r="M1099" s="407"/>
      <c r="N1099" s="88"/>
      <c r="O1099" s="408"/>
      <c r="P1099" s="1218"/>
      <c r="Q1099" s="91"/>
      <c r="R1099" s="91"/>
      <c r="S1099" s="91"/>
      <c r="T1099" s="91"/>
      <c r="U1099" s="91"/>
      <c r="V1099" s="91"/>
      <c r="W1099" s="91"/>
      <c r="X1099" s="91"/>
      <c r="Y1099" s="91"/>
      <c r="Z1099" s="91"/>
      <c r="AA1099" s="91"/>
      <c r="AB1099" s="91"/>
      <c r="AC1099" s="91"/>
      <c r="AD1099" s="91"/>
      <c r="AE1099" s="91"/>
      <c r="AF1099" s="91"/>
      <c r="AG1099" s="91"/>
      <c r="AH1099" s="91"/>
      <c r="AI1099" s="91"/>
      <c r="AJ1099" s="91"/>
      <c r="AK1099" s="91"/>
      <c r="AL1099" s="91"/>
      <c r="AM1099" s="91"/>
      <c r="AN1099" s="91"/>
      <c r="AO1099" s="91"/>
      <c r="AP1099" s="91"/>
      <c r="AQ1099" s="91"/>
      <c r="AR1099" s="91"/>
      <c r="AS1099" s="91"/>
      <c r="AT1099" s="91"/>
      <c r="AU1099" s="91"/>
      <c r="AV1099" s="91"/>
      <c r="AW1099" s="91"/>
      <c r="AX1099" s="91"/>
      <c r="AY1099" s="91"/>
      <c r="AZ1099" s="91"/>
      <c r="BA1099" s="91"/>
      <c r="BB1099" s="91"/>
      <c r="BC1099" s="91"/>
      <c r="BD1099" s="91"/>
      <c r="BE1099" s="91"/>
      <c r="BF1099" s="92"/>
    </row>
    <row r="1100" spans="1:58" s="82" customFormat="1" ht="15.75" customHeight="1">
      <c r="A1100" s="227" t="s">
        <v>1343</v>
      </c>
      <c r="B1100" s="1261"/>
      <c r="C1100" s="1263"/>
      <c r="D1100" s="84">
        <v>2023</v>
      </c>
      <c r="E1100" s="85">
        <f t="shared" si="375"/>
        <v>133.161</v>
      </c>
      <c r="F1100" s="85">
        <v>133.161</v>
      </c>
      <c r="G1100" s="85">
        <v>0</v>
      </c>
      <c r="H1100" s="85">
        <v>0</v>
      </c>
      <c r="I1100" s="85">
        <v>0</v>
      </c>
      <c r="J1100" s="85">
        <v>0</v>
      </c>
      <c r="K1100" s="148">
        <v>0</v>
      </c>
      <c r="L1100" s="497">
        <f t="shared" si="371"/>
        <v>133.161</v>
      </c>
      <c r="M1100" s="407"/>
      <c r="N1100" s="88"/>
      <c r="O1100" s="408"/>
      <c r="P1100" s="1218"/>
      <c r="Q1100" s="91"/>
      <c r="R1100" s="91"/>
      <c r="S1100" s="91"/>
      <c r="T1100" s="91"/>
      <c r="U1100" s="91"/>
      <c r="V1100" s="91"/>
      <c r="W1100" s="91"/>
      <c r="X1100" s="91"/>
      <c r="Y1100" s="91"/>
      <c r="Z1100" s="91"/>
      <c r="AA1100" s="91"/>
      <c r="AB1100" s="91"/>
      <c r="AC1100" s="91"/>
      <c r="AD1100" s="91"/>
      <c r="AE1100" s="91"/>
      <c r="AF1100" s="91"/>
      <c r="AG1100" s="91"/>
      <c r="AH1100" s="91"/>
      <c r="AI1100" s="91"/>
      <c r="AJ1100" s="91"/>
      <c r="AK1100" s="91"/>
      <c r="AL1100" s="91"/>
      <c r="AM1100" s="91"/>
      <c r="AN1100" s="91"/>
      <c r="AO1100" s="91"/>
      <c r="AP1100" s="91"/>
      <c r="AQ1100" s="91"/>
      <c r="AR1100" s="91"/>
      <c r="AS1100" s="91"/>
      <c r="AT1100" s="91"/>
      <c r="AU1100" s="91"/>
      <c r="AV1100" s="91"/>
      <c r="AW1100" s="91"/>
      <c r="AX1100" s="91"/>
      <c r="AY1100" s="91"/>
      <c r="AZ1100" s="91"/>
      <c r="BA1100" s="91"/>
      <c r="BB1100" s="91"/>
      <c r="BC1100" s="91"/>
      <c r="BD1100" s="91"/>
      <c r="BE1100" s="91"/>
      <c r="BF1100" s="92"/>
    </row>
    <row r="1101" spans="1:58" s="82" customFormat="1" ht="14.25" customHeight="1">
      <c r="A1101" s="650"/>
      <c r="B1101" s="1261"/>
      <c r="C1101" s="1263"/>
      <c r="D1101" s="84">
        <v>2024</v>
      </c>
      <c r="E1101" s="85">
        <f t="shared" si="375"/>
        <v>133.161</v>
      </c>
      <c r="F1101" s="85">
        <v>133.161</v>
      </c>
      <c r="G1101" s="85">
        <v>0</v>
      </c>
      <c r="H1101" s="85">
        <v>0</v>
      </c>
      <c r="I1101" s="85">
        <v>0</v>
      </c>
      <c r="J1101" s="85">
        <v>0</v>
      </c>
      <c r="K1101" s="148">
        <v>0</v>
      </c>
      <c r="L1101" s="497">
        <f t="shared" si="371"/>
        <v>133.161</v>
      </c>
      <c r="M1101" s="407"/>
      <c r="N1101" s="88"/>
      <c r="O1101" s="408"/>
      <c r="P1101" s="1218"/>
      <c r="Q1101" s="91"/>
      <c r="R1101" s="91"/>
      <c r="S1101" s="91"/>
      <c r="T1101" s="91"/>
      <c r="U1101" s="91"/>
      <c r="V1101" s="91"/>
      <c r="W1101" s="91"/>
      <c r="X1101" s="91"/>
      <c r="Y1101" s="91"/>
      <c r="Z1101" s="91"/>
      <c r="AA1101" s="91"/>
      <c r="AB1101" s="91"/>
      <c r="AC1101" s="91"/>
      <c r="AD1101" s="91"/>
      <c r="AE1101" s="91"/>
      <c r="AF1101" s="91"/>
      <c r="AG1101" s="91"/>
      <c r="AH1101" s="91"/>
      <c r="AI1101" s="91"/>
      <c r="AJ1101" s="91"/>
      <c r="AK1101" s="91"/>
      <c r="AL1101" s="91"/>
      <c r="AM1101" s="91"/>
      <c r="AN1101" s="91"/>
      <c r="AO1101" s="91"/>
      <c r="AP1101" s="91"/>
      <c r="AQ1101" s="91"/>
      <c r="AR1101" s="91"/>
      <c r="AS1101" s="91"/>
      <c r="AT1101" s="91"/>
      <c r="AU1101" s="91"/>
      <c r="AV1101" s="91"/>
      <c r="AW1101" s="91"/>
      <c r="AX1101" s="91"/>
      <c r="AY1101" s="91"/>
      <c r="AZ1101" s="91"/>
      <c r="BA1101" s="91"/>
      <c r="BB1101" s="91"/>
      <c r="BC1101" s="91"/>
      <c r="BD1101" s="91"/>
      <c r="BE1101" s="91"/>
      <c r="BF1101" s="92"/>
    </row>
    <row r="1102" spans="1:58" s="82" customFormat="1" ht="14.25" customHeight="1">
      <c r="A1102" s="650"/>
      <c r="B1102" s="1261"/>
      <c r="C1102" s="1274"/>
      <c r="D1102" s="84">
        <v>2025</v>
      </c>
      <c r="E1102" s="85">
        <f t="shared" si="375"/>
        <v>133.161</v>
      </c>
      <c r="F1102" s="85">
        <v>133.161</v>
      </c>
      <c r="G1102" s="85">
        <v>0</v>
      </c>
      <c r="H1102" s="85">
        <v>0</v>
      </c>
      <c r="I1102" s="85">
        <v>0</v>
      </c>
      <c r="J1102" s="85">
        <v>0</v>
      </c>
      <c r="K1102" s="148">
        <v>0</v>
      </c>
      <c r="L1102" s="497">
        <f t="shared" si="371"/>
        <v>133.161</v>
      </c>
      <c r="M1102" s="407"/>
      <c r="N1102" s="88"/>
      <c r="O1102" s="408"/>
      <c r="P1102" s="1218"/>
      <c r="Q1102" s="91"/>
      <c r="R1102" s="91"/>
      <c r="S1102" s="91"/>
      <c r="T1102" s="91"/>
      <c r="U1102" s="91"/>
      <c r="V1102" s="91"/>
      <c r="W1102" s="91"/>
      <c r="X1102" s="91"/>
      <c r="Y1102" s="91"/>
      <c r="Z1102" s="91"/>
      <c r="AA1102" s="91"/>
      <c r="AB1102" s="91"/>
      <c r="AC1102" s="91"/>
      <c r="AD1102" s="91"/>
      <c r="AE1102" s="91"/>
      <c r="AF1102" s="91"/>
      <c r="AG1102" s="91"/>
      <c r="AH1102" s="91"/>
      <c r="AI1102" s="91"/>
      <c r="AJ1102" s="91"/>
      <c r="AK1102" s="91"/>
      <c r="AL1102" s="91"/>
      <c r="AM1102" s="91"/>
      <c r="AN1102" s="91"/>
      <c r="AO1102" s="91"/>
      <c r="AP1102" s="91"/>
      <c r="AQ1102" s="91"/>
      <c r="AR1102" s="91"/>
      <c r="AS1102" s="91"/>
      <c r="AT1102" s="91"/>
      <c r="AU1102" s="91"/>
      <c r="AV1102" s="91"/>
      <c r="AW1102" s="91"/>
      <c r="AX1102" s="91"/>
      <c r="AY1102" s="91"/>
      <c r="AZ1102" s="91"/>
      <c r="BA1102" s="91"/>
      <c r="BB1102" s="91"/>
      <c r="BC1102" s="91"/>
      <c r="BD1102" s="91"/>
      <c r="BE1102" s="91"/>
      <c r="BF1102" s="92"/>
    </row>
    <row r="1103" spans="1:58" s="82" customFormat="1" ht="14.25" customHeight="1">
      <c r="A1103" s="650"/>
      <c r="B1103" s="1261"/>
      <c r="C1103" s="1224" t="s">
        <v>982</v>
      </c>
      <c r="D1103" s="84">
        <v>2026</v>
      </c>
      <c r="E1103" s="85">
        <f t="shared" si="375"/>
        <v>133.161</v>
      </c>
      <c r="F1103" s="85">
        <v>133.161</v>
      </c>
      <c r="G1103" s="85">
        <v>0</v>
      </c>
      <c r="H1103" s="85">
        <v>0</v>
      </c>
      <c r="I1103" s="85">
        <v>0</v>
      </c>
      <c r="J1103" s="85">
        <v>0</v>
      </c>
      <c r="K1103" s="148">
        <v>0</v>
      </c>
      <c r="L1103" s="497">
        <f t="shared" si="371"/>
        <v>133.161</v>
      </c>
      <c r="M1103" s="407"/>
      <c r="N1103" s="88"/>
      <c r="O1103" s="408"/>
      <c r="P1103" s="1218"/>
      <c r="Q1103" s="91"/>
      <c r="R1103" s="91"/>
      <c r="S1103" s="91"/>
      <c r="T1103" s="91"/>
      <c r="U1103" s="91"/>
      <c r="V1103" s="91"/>
      <c r="W1103" s="91"/>
      <c r="X1103" s="91"/>
      <c r="Y1103" s="91"/>
      <c r="Z1103" s="91"/>
      <c r="AA1103" s="91"/>
      <c r="AB1103" s="91"/>
      <c r="AC1103" s="91"/>
      <c r="AD1103" s="91"/>
      <c r="AE1103" s="91"/>
      <c r="AF1103" s="91"/>
      <c r="AG1103" s="91"/>
      <c r="AH1103" s="91"/>
      <c r="AI1103" s="91"/>
      <c r="AJ1103" s="91"/>
      <c r="AK1103" s="91"/>
      <c r="AL1103" s="91"/>
      <c r="AM1103" s="91"/>
      <c r="AN1103" s="91"/>
      <c r="AO1103" s="91"/>
      <c r="AP1103" s="91"/>
      <c r="AQ1103" s="91"/>
      <c r="AR1103" s="91"/>
      <c r="AS1103" s="91"/>
      <c r="AT1103" s="91"/>
      <c r="AU1103" s="91"/>
      <c r="AV1103" s="91"/>
      <c r="AW1103" s="91"/>
      <c r="AX1103" s="91"/>
      <c r="AY1103" s="91"/>
      <c r="AZ1103" s="91"/>
      <c r="BA1103" s="91"/>
      <c r="BB1103" s="91"/>
      <c r="BC1103" s="91"/>
      <c r="BD1103" s="91"/>
      <c r="BE1103" s="91"/>
      <c r="BF1103" s="92"/>
    </row>
    <row r="1104" spans="1:58" s="82" customFormat="1" ht="14.25" customHeight="1">
      <c r="A1104" s="650"/>
      <c r="B1104" s="1261"/>
      <c r="C1104" s="1225"/>
      <c r="D1104" s="84">
        <v>2027</v>
      </c>
      <c r="E1104" s="85">
        <f t="shared" si="375"/>
        <v>133.161</v>
      </c>
      <c r="F1104" s="85">
        <v>133.161</v>
      </c>
      <c r="G1104" s="85">
        <v>0</v>
      </c>
      <c r="H1104" s="85">
        <v>0</v>
      </c>
      <c r="I1104" s="85">
        <v>0</v>
      </c>
      <c r="J1104" s="85">
        <v>0</v>
      </c>
      <c r="K1104" s="148">
        <v>0</v>
      </c>
      <c r="L1104" s="497">
        <f t="shared" si="371"/>
        <v>133.161</v>
      </c>
      <c r="M1104" s="407"/>
      <c r="N1104" s="88"/>
      <c r="O1104" s="408"/>
      <c r="P1104" s="1218"/>
      <c r="Q1104" s="91"/>
      <c r="R1104" s="91"/>
      <c r="S1104" s="91"/>
      <c r="T1104" s="91"/>
      <c r="U1104" s="91"/>
      <c r="V1104" s="91"/>
      <c r="W1104" s="91"/>
      <c r="X1104" s="91"/>
      <c r="Y1104" s="91"/>
      <c r="Z1104" s="91"/>
      <c r="AA1104" s="91"/>
      <c r="AB1104" s="91"/>
      <c r="AC1104" s="91"/>
      <c r="AD1104" s="91"/>
      <c r="AE1104" s="91"/>
      <c r="AF1104" s="91"/>
      <c r="AG1104" s="91"/>
      <c r="AH1104" s="91"/>
      <c r="AI1104" s="91"/>
      <c r="AJ1104" s="91"/>
      <c r="AK1104" s="91"/>
      <c r="AL1104" s="91"/>
      <c r="AM1104" s="91"/>
      <c r="AN1104" s="91"/>
      <c r="AO1104" s="91"/>
      <c r="AP1104" s="91"/>
      <c r="AQ1104" s="91"/>
      <c r="AR1104" s="91"/>
      <c r="AS1104" s="91"/>
      <c r="AT1104" s="91"/>
      <c r="AU1104" s="91"/>
      <c r="AV1104" s="91"/>
      <c r="AW1104" s="91"/>
      <c r="AX1104" s="91"/>
      <c r="AY1104" s="91"/>
      <c r="AZ1104" s="91"/>
      <c r="BA1104" s="91"/>
      <c r="BB1104" s="91"/>
      <c r="BC1104" s="91"/>
      <c r="BD1104" s="91"/>
      <c r="BE1104" s="91"/>
      <c r="BF1104" s="92"/>
    </row>
    <row r="1105" spans="1:58" s="82" customFormat="1" ht="14.25" customHeight="1">
      <c r="A1105" s="650"/>
      <c r="B1105" s="1261"/>
      <c r="C1105" s="1225"/>
      <c r="D1105" s="84">
        <v>2028</v>
      </c>
      <c r="E1105" s="85">
        <f t="shared" si="375"/>
        <v>133.161</v>
      </c>
      <c r="F1105" s="85">
        <v>133.161</v>
      </c>
      <c r="G1105" s="85">
        <v>0</v>
      </c>
      <c r="H1105" s="85">
        <v>0</v>
      </c>
      <c r="I1105" s="85">
        <v>0</v>
      </c>
      <c r="J1105" s="85">
        <v>0</v>
      </c>
      <c r="K1105" s="148">
        <v>0</v>
      </c>
      <c r="L1105" s="497">
        <f t="shared" si="371"/>
        <v>133.161</v>
      </c>
      <c r="M1105" s="407"/>
      <c r="N1105" s="88"/>
      <c r="O1105" s="408"/>
      <c r="P1105" s="1218"/>
      <c r="Q1105" s="91"/>
      <c r="R1105" s="91"/>
      <c r="S1105" s="91"/>
      <c r="T1105" s="91"/>
      <c r="U1105" s="91"/>
      <c r="V1105" s="91"/>
      <c r="W1105" s="91"/>
      <c r="X1105" s="91"/>
      <c r="Y1105" s="91"/>
      <c r="Z1105" s="91"/>
      <c r="AA1105" s="91"/>
      <c r="AB1105" s="91"/>
      <c r="AC1105" s="91"/>
      <c r="AD1105" s="91"/>
      <c r="AE1105" s="91"/>
      <c r="AF1105" s="91"/>
      <c r="AG1105" s="91"/>
      <c r="AH1105" s="91"/>
      <c r="AI1105" s="91"/>
      <c r="AJ1105" s="91"/>
      <c r="AK1105" s="91"/>
      <c r="AL1105" s="91"/>
      <c r="AM1105" s="91"/>
      <c r="AN1105" s="91"/>
      <c r="AO1105" s="91"/>
      <c r="AP1105" s="91"/>
      <c r="AQ1105" s="91"/>
      <c r="AR1105" s="91"/>
      <c r="AS1105" s="91"/>
      <c r="AT1105" s="91"/>
      <c r="AU1105" s="91"/>
      <c r="AV1105" s="91"/>
      <c r="AW1105" s="91"/>
      <c r="AX1105" s="91"/>
      <c r="AY1105" s="91"/>
      <c r="AZ1105" s="91"/>
      <c r="BA1105" s="91"/>
      <c r="BB1105" s="91"/>
      <c r="BC1105" s="91"/>
      <c r="BD1105" s="91"/>
      <c r="BE1105" s="91"/>
      <c r="BF1105" s="92"/>
    </row>
    <row r="1106" spans="1:58" s="82" customFormat="1" ht="14.25" customHeight="1">
      <c r="A1106" s="650"/>
      <c r="B1106" s="1261"/>
      <c r="C1106" s="1225"/>
      <c r="D1106" s="84">
        <v>2029</v>
      </c>
      <c r="E1106" s="85">
        <f t="shared" si="375"/>
        <v>133.161</v>
      </c>
      <c r="F1106" s="85">
        <v>133.161</v>
      </c>
      <c r="G1106" s="85">
        <v>0</v>
      </c>
      <c r="H1106" s="85">
        <v>0</v>
      </c>
      <c r="I1106" s="85">
        <v>0</v>
      </c>
      <c r="J1106" s="85">
        <v>0</v>
      </c>
      <c r="K1106" s="148">
        <v>0</v>
      </c>
      <c r="L1106" s="497">
        <f t="shared" si="371"/>
        <v>133.161</v>
      </c>
      <c r="M1106" s="407"/>
      <c r="N1106" s="88"/>
      <c r="O1106" s="408"/>
      <c r="P1106" s="1218"/>
      <c r="Q1106" s="91"/>
      <c r="R1106" s="91"/>
      <c r="S1106" s="91"/>
      <c r="T1106" s="91"/>
      <c r="U1106" s="91"/>
      <c r="V1106" s="91"/>
      <c r="W1106" s="91"/>
      <c r="X1106" s="91"/>
      <c r="Y1106" s="91"/>
      <c r="Z1106" s="91"/>
      <c r="AA1106" s="91"/>
      <c r="AB1106" s="91"/>
      <c r="AC1106" s="91"/>
      <c r="AD1106" s="91"/>
      <c r="AE1106" s="91"/>
      <c r="AF1106" s="91"/>
      <c r="AG1106" s="91"/>
      <c r="AH1106" s="91"/>
      <c r="AI1106" s="91"/>
      <c r="AJ1106" s="91"/>
      <c r="AK1106" s="91"/>
      <c r="AL1106" s="91"/>
      <c r="AM1106" s="91"/>
      <c r="AN1106" s="91"/>
      <c r="AO1106" s="91"/>
      <c r="AP1106" s="91"/>
      <c r="AQ1106" s="91"/>
      <c r="AR1106" s="91"/>
      <c r="AS1106" s="91"/>
      <c r="AT1106" s="91"/>
      <c r="AU1106" s="91"/>
      <c r="AV1106" s="91"/>
      <c r="AW1106" s="91"/>
      <c r="AX1106" s="91"/>
      <c r="AY1106" s="91"/>
      <c r="AZ1106" s="91"/>
      <c r="BA1106" s="91"/>
      <c r="BB1106" s="91"/>
      <c r="BC1106" s="91"/>
      <c r="BD1106" s="91"/>
      <c r="BE1106" s="91"/>
      <c r="BF1106" s="92"/>
    </row>
    <row r="1107" spans="1:58" s="82" customFormat="1" ht="14.25" customHeight="1">
      <c r="A1107" s="667"/>
      <c r="B1107" s="1288"/>
      <c r="C1107" s="1226"/>
      <c r="D1107" s="84">
        <v>2030</v>
      </c>
      <c r="E1107" s="85">
        <f t="shared" si="375"/>
        <v>133.161</v>
      </c>
      <c r="F1107" s="85">
        <v>133.161</v>
      </c>
      <c r="G1107" s="85">
        <v>0</v>
      </c>
      <c r="H1107" s="85">
        <v>0</v>
      </c>
      <c r="I1107" s="85">
        <v>0</v>
      </c>
      <c r="J1107" s="85">
        <v>0</v>
      </c>
      <c r="K1107" s="148">
        <v>0</v>
      </c>
      <c r="L1107" s="497">
        <f t="shared" si="371"/>
        <v>133.161</v>
      </c>
      <c r="M1107" s="407"/>
      <c r="N1107" s="88"/>
      <c r="O1107" s="408"/>
      <c r="P1107" s="1219"/>
      <c r="Q1107" s="91"/>
      <c r="R1107" s="91"/>
      <c r="S1107" s="91"/>
      <c r="T1107" s="91"/>
      <c r="U1107" s="91"/>
      <c r="V1107" s="91"/>
      <c r="W1107" s="91"/>
      <c r="X1107" s="91"/>
      <c r="Y1107" s="91"/>
      <c r="Z1107" s="91"/>
      <c r="AA1107" s="91"/>
      <c r="AB1107" s="91"/>
      <c r="AC1107" s="91"/>
      <c r="AD1107" s="91"/>
      <c r="AE1107" s="91"/>
      <c r="AF1107" s="91"/>
      <c r="AG1107" s="91"/>
      <c r="AH1107" s="91"/>
      <c r="AI1107" s="91"/>
      <c r="AJ1107" s="91"/>
      <c r="AK1107" s="91"/>
      <c r="AL1107" s="91"/>
      <c r="AM1107" s="91"/>
      <c r="AN1107" s="91"/>
      <c r="AO1107" s="91"/>
      <c r="AP1107" s="91"/>
      <c r="AQ1107" s="91"/>
      <c r="AR1107" s="91"/>
      <c r="AS1107" s="91"/>
      <c r="AT1107" s="91"/>
      <c r="AU1107" s="91"/>
      <c r="AV1107" s="91"/>
      <c r="AW1107" s="91"/>
      <c r="AX1107" s="91"/>
      <c r="AY1107" s="91"/>
      <c r="AZ1107" s="91"/>
      <c r="BA1107" s="91"/>
      <c r="BB1107" s="91"/>
      <c r="BC1107" s="91"/>
      <c r="BD1107" s="91"/>
      <c r="BE1107" s="91"/>
      <c r="BF1107" s="92"/>
    </row>
    <row r="1108" spans="1:58" s="82" customFormat="1" ht="12.75" customHeight="1">
      <c r="A1108" s="926" t="s">
        <v>1037</v>
      </c>
      <c r="B1108" s="929" t="s">
        <v>990</v>
      </c>
      <c r="C1108" s="583"/>
      <c r="D1108" s="84" t="s">
        <v>16</v>
      </c>
      <c r="E1108" s="85">
        <f t="shared" ref="E1108:J1108" si="376">E1109+E1110+E1111+E1112+E1113+E1114+E1115+E1116+E1117+E1118+E1119+E1120</f>
        <v>14.662811641518081</v>
      </c>
      <c r="F1108" s="85">
        <f t="shared" si="376"/>
        <v>14.662811641518081</v>
      </c>
      <c r="G1108" s="85">
        <f t="shared" si="376"/>
        <v>0</v>
      </c>
      <c r="H1108" s="85">
        <f t="shared" si="376"/>
        <v>0</v>
      </c>
      <c r="I1108" s="85">
        <f t="shared" si="376"/>
        <v>0</v>
      </c>
      <c r="J1108" s="85">
        <f t="shared" si="376"/>
        <v>0</v>
      </c>
      <c r="K1108" s="148">
        <v>0</v>
      </c>
      <c r="L1108" s="497">
        <f t="shared" si="371"/>
        <v>14.662811641518081</v>
      </c>
      <c r="M1108" s="99"/>
      <c r="N1108" s="88"/>
      <c r="O1108" s="89"/>
      <c r="P1108" s="477"/>
      <c r="Q1108" s="91"/>
      <c r="R1108" s="91"/>
      <c r="S1108" s="91"/>
      <c r="T1108" s="91"/>
      <c r="U1108" s="91"/>
      <c r="V1108" s="91"/>
      <c r="W1108" s="91"/>
      <c r="X1108" s="91"/>
      <c r="Y1108" s="91"/>
      <c r="Z1108" s="91"/>
      <c r="AA1108" s="91"/>
      <c r="AB1108" s="91"/>
      <c r="AC1108" s="91"/>
      <c r="AD1108" s="91"/>
      <c r="AE1108" s="91"/>
      <c r="AF1108" s="91"/>
      <c r="AG1108" s="91"/>
      <c r="AH1108" s="91"/>
      <c r="AI1108" s="91"/>
      <c r="AJ1108" s="91"/>
      <c r="AK1108" s="91"/>
      <c r="AL1108" s="91"/>
      <c r="AM1108" s="91"/>
      <c r="AN1108" s="91"/>
      <c r="AO1108" s="91"/>
      <c r="AP1108" s="91"/>
      <c r="AQ1108" s="91"/>
      <c r="AR1108" s="91"/>
      <c r="AS1108" s="91"/>
      <c r="AT1108" s="91"/>
      <c r="AU1108" s="91"/>
      <c r="AV1108" s="91"/>
      <c r="AW1108" s="91"/>
      <c r="AX1108" s="91"/>
      <c r="AY1108" s="91"/>
      <c r="AZ1108" s="91"/>
      <c r="BA1108" s="91"/>
      <c r="BB1108" s="91"/>
      <c r="BC1108" s="91"/>
      <c r="BD1108" s="91"/>
      <c r="BE1108" s="91"/>
      <c r="BF1108" s="92"/>
    </row>
    <row r="1109" spans="1:58" s="82" customFormat="1" ht="12.75" customHeight="1">
      <c r="A1109" s="1003"/>
      <c r="B1109" s="953"/>
      <c r="C1109" s="571"/>
      <c r="D1109" s="84">
        <v>2019</v>
      </c>
      <c r="E1109" s="85">
        <f t="shared" ref="E1109:J1109" si="377">E1129</f>
        <v>0.05</v>
      </c>
      <c r="F1109" s="85">
        <f t="shared" si="377"/>
        <v>0.05</v>
      </c>
      <c r="G1109" s="85">
        <f t="shared" si="377"/>
        <v>0</v>
      </c>
      <c r="H1109" s="85">
        <f t="shared" si="377"/>
        <v>0</v>
      </c>
      <c r="I1109" s="85">
        <f t="shared" si="377"/>
        <v>0</v>
      </c>
      <c r="J1109" s="85">
        <f t="shared" si="377"/>
        <v>0</v>
      </c>
      <c r="K1109" s="148">
        <v>0</v>
      </c>
      <c r="L1109" s="497">
        <f t="shared" si="371"/>
        <v>0.05</v>
      </c>
      <c r="M1109" s="99"/>
      <c r="N1109" s="88"/>
      <c r="O1109" s="89"/>
      <c r="P1109" s="477"/>
      <c r="Q1109" s="91"/>
      <c r="R1109" s="91"/>
      <c r="S1109" s="91"/>
      <c r="T1109" s="91"/>
      <c r="U1109" s="91"/>
      <c r="V1109" s="91"/>
      <c r="W1109" s="91"/>
      <c r="X1109" s="91"/>
      <c r="Y1109" s="91"/>
      <c r="Z1109" s="91"/>
      <c r="AA1109" s="91"/>
      <c r="AB1109" s="91"/>
      <c r="AC1109" s="91"/>
      <c r="AD1109" s="91"/>
      <c r="AE1109" s="91"/>
      <c r="AF1109" s="91"/>
      <c r="AG1109" s="91"/>
      <c r="AH1109" s="91"/>
      <c r="AI1109" s="91"/>
      <c r="AJ1109" s="91"/>
      <c r="AK1109" s="91"/>
      <c r="AL1109" s="91"/>
      <c r="AM1109" s="91"/>
      <c r="AN1109" s="91"/>
      <c r="AO1109" s="91"/>
      <c r="AP1109" s="91"/>
      <c r="AQ1109" s="91"/>
      <c r="AR1109" s="91"/>
      <c r="AS1109" s="91"/>
      <c r="AT1109" s="91"/>
      <c r="AU1109" s="91"/>
      <c r="AV1109" s="91"/>
      <c r="AW1109" s="91"/>
      <c r="AX1109" s="91"/>
      <c r="AY1109" s="91"/>
      <c r="AZ1109" s="91"/>
      <c r="BA1109" s="91"/>
      <c r="BB1109" s="91"/>
      <c r="BC1109" s="91"/>
      <c r="BD1109" s="91"/>
      <c r="BE1109" s="91"/>
      <c r="BF1109" s="92"/>
    </row>
    <row r="1110" spans="1:58" s="82" customFormat="1" ht="12.75" customHeight="1">
      <c r="A1110" s="1003"/>
      <c r="B1110" s="953"/>
      <c r="C1110" s="571"/>
      <c r="D1110" s="84">
        <v>2020</v>
      </c>
      <c r="E1110" s="85">
        <f t="shared" ref="E1110:J1110" si="378">E1157</f>
        <v>7.2400000000000006E-2</v>
      </c>
      <c r="F1110" s="85">
        <f t="shared" si="378"/>
        <v>7.2400000000000006E-2</v>
      </c>
      <c r="G1110" s="85">
        <f t="shared" si="378"/>
        <v>0</v>
      </c>
      <c r="H1110" s="85">
        <f t="shared" si="378"/>
        <v>0</v>
      </c>
      <c r="I1110" s="85">
        <f t="shared" si="378"/>
        <v>0</v>
      </c>
      <c r="J1110" s="85">
        <f t="shared" si="378"/>
        <v>0</v>
      </c>
      <c r="K1110" s="148">
        <v>0</v>
      </c>
      <c r="L1110" s="497">
        <f t="shared" si="371"/>
        <v>7.2400000000000006E-2</v>
      </c>
      <c r="M1110" s="99"/>
      <c r="N1110" s="88"/>
      <c r="O1110" s="89"/>
      <c r="P1110" s="477"/>
      <c r="Q1110" s="91"/>
      <c r="R1110" s="91"/>
      <c r="S1110" s="91"/>
      <c r="T1110" s="91"/>
      <c r="U1110" s="91"/>
      <c r="V1110" s="91"/>
      <c r="W1110" s="91"/>
      <c r="X1110" s="91"/>
      <c r="Y1110" s="91"/>
      <c r="Z1110" s="91"/>
      <c r="AA1110" s="91"/>
      <c r="AB1110" s="91"/>
      <c r="AC1110" s="91"/>
      <c r="AD1110" s="91"/>
      <c r="AE1110" s="91"/>
      <c r="AF1110" s="91"/>
      <c r="AG1110" s="91"/>
      <c r="AH1110" s="91"/>
      <c r="AI1110" s="91"/>
      <c r="AJ1110" s="91"/>
      <c r="AK1110" s="91"/>
      <c r="AL1110" s="91"/>
      <c r="AM1110" s="91"/>
      <c r="AN1110" s="91"/>
      <c r="AO1110" s="91"/>
      <c r="AP1110" s="91"/>
      <c r="AQ1110" s="91"/>
      <c r="AR1110" s="91"/>
      <c r="AS1110" s="91"/>
      <c r="AT1110" s="91"/>
      <c r="AU1110" s="91"/>
      <c r="AV1110" s="91"/>
      <c r="AW1110" s="91"/>
      <c r="AX1110" s="91"/>
      <c r="AY1110" s="91"/>
      <c r="AZ1110" s="91"/>
      <c r="BA1110" s="91"/>
      <c r="BB1110" s="91"/>
      <c r="BC1110" s="91"/>
      <c r="BD1110" s="91"/>
      <c r="BE1110" s="91"/>
      <c r="BF1110" s="92"/>
    </row>
    <row r="1111" spans="1:58" s="82" customFormat="1" ht="12.75" customHeight="1">
      <c r="A1111" s="1003"/>
      <c r="B1111" s="953"/>
      <c r="C1111" s="571"/>
      <c r="D1111" s="84">
        <v>2021</v>
      </c>
      <c r="E1111" s="85">
        <f t="shared" ref="E1111:J1111" si="379">E1131+E1158+E1163+E1165</f>
        <v>1.1375</v>
      </c>
      <c r="F1111" s="85">
        <f t="shared" si="379"/>
        <v>1.1375</v>
      </c>
      <c r="G1111" s="85">
        <f t="shared" si="379"/>
        <v>0</v>
      </c>
      <c r="H1111" s="85">
        <f t="shared" si="379"/>
        <v>0</v>
      </c>
      <c r="I1111" s="85">
        <f t="shared" si="379"/>
        <v>0</v>
      </c>
      <c r="J1111" s="85">
        <f t="shared" si="379"/>
        <v>0</v>
      </c>
      <c r="K1111" s="148">
        <v>0</v>
      </c>
      <c r="L1111" s="497">
        <f t="shared" si="371"/>
        <v>1.1375</v>
      </c>
      <c r="M1111" s="99"/>
      <c r="N1111" s="88"/>
      <c r="O1111" s="89"/>
      <c r="P1111" s="477"/>
      <c r="Q1111" s="91"/>
      <c r="R1111" s="91"/>
      <c r="S1111" s="91"/>
      <c r="T1111" s="91"/>
      <c r="U1111" s="91"/>
      <c r="V1111" s="91"/>
      <c r="W1111" s="91"/>
      <c r="X1111" s="91"/>
      <c r="Y1111" s="91"/>
      <c r="Z1111" s="91"/>
      <c r="AA1111" s="91"/>
      <c r="AB1111" s="91"/>
      <c r="AC1111" s="91"/>
      <c r="AD1111" s="91"/>
      <c r="AE1111" s="91"/>
      <c r="AF1111" s="91"/>
      <c r="AG1111" s="91"/>
      <c r="AH1111" s="91"/>
      <c r="AI1111" s="91"/>
      <c r="AJ1111" s="91"/>
      <c r="AK1111" s="91"/>
      <c r="AL1111" s="91"/>
      <c r="AM1111" s="91"/>
      <c r="AN1111" s="91"/>
      <c r="AO1111" s="91"/>
      <c r="AP1111" s="91"/>
      <c r="AQ1111" s="91"/>
      <c r="AR1111" s="91"/>
      <c r="AS1111" s="91"/>
      <c r="AT1111" s="91"/>
      <c r="AU1111" s="91"/>
      <c r="AV1111" s="91"/>
      <c r="AW1111" s="91"/>
      <c r="AX1111" s="91"/>
      <c r="AY1111" s="91"/>
      <c r="AZ1111" s="91"/>
      <c r="BA1111" s="91"/>
      <c r="BB1111" s="91"/>
      <c r="BC1111" s="91"/>
      <c r="BD1111" s="91"/>
      <c r="BE1111" s="91"/>
      <c r="BF1111" s="92"/>
    </row>
    <row r="1112" spans="1:58" s="82" customFormat="1" ht="12.75" customHeight="1">
      <c r="A1112" s="1003"/>
      <c r="B1112" s="953"/>
      <c r="C1112" s="571"/>
      <c r="D1112" s="84">
        <v>2022</v>
      </c>
      <c r="E1112" s="85">
        <f t="shared" ref="E1112:J1112" si="380">E1132+E1159+E1166</f>
        <v>1.038</v>
      </c>
      <c r="F1112" s="85">
        <f t="shared" si="380"/>
        <v>1.038</v>
      </c>
      <c r="G1112" s="85">
        <f t="shared" si="380"/>
        <v>0</v>
      </c>
      <c r="H1112" s="85">
        <f t="shared" si="380"/>
        <v>0</v>
      </c>
      <c r="I1112" s="85">
        <f t="shared" si="380"/>
        <v>0</v>
      </c>
      <c r="J1112" s="85">
        <f t="shared" si="380"/>
        <v>0</v>
      </c>
      <c r="K1112" s="148">
        <v>0</v>
      </c>
      <c r="L1112" s="497">
        <f t="shared" ref="L1112:L1119" si="381">F1112+G1112+H1112+I1112+J1112</f>
        <v>1.038</v>
      </c>
      <c r="M1112" s="99"/>
      <c r="N1112" s="88"/>
      <c r="O1112" s="89"/>
      <c r="P1112" s="477"/>
      <c r="Q1112" s="91"/>
      <c r="R1112" s="91"/>
      <c r="S1112" s="91"/>
      <c r="T1112" s="91"/>
      <c r="U1112" s="91"/>
      <c r="V1112" s="91"/>
      <c r="W1112" s="91"/>
      <c r="X1112" s="91"/>
      <c r="Y1112" s="91"/>
      <c r="Z1112" s="91"/>
      <c r="AA1112" s="91"/>
      <c r="AB1112" s="91"/>
      <c r="AC1112" s="91"/>
      <c r="AD1112" s="91"/>
      <c r="AE1112" s="91"/>
      <c r="AF1112" s="91"/>
      <c r="AG1112" s="91"/>
      <c r="AH1112" s="91"/>
      <c r="AI1112" s="91"/>
      <c r="AJ1112" s="91"/>
      <c r="AK1112" s="91"/>
      <c r="AL1112" s="91"/>
      <c r="AM1112" s="91"/>
      <c r="AN1112" s="91"/>
      <c r="AO1112" s="91"/>
      <c r="AP1112" s="91"/>
      <c r="AQ1112" s="91"/>
      <c r="AR1112" s="91"/>
      <c r="AS1112" s="91"/>
      <c r="AT1112" s="91"/>
      <c r="AU1112" s="91"/>
      <c r="AV1112" s="91"/>
      <c r="AW1112" s="91"/>
      <c r="AX1112" s="91"/>
      <c r="AY1112" s="91"/>
      <c r="AZ1112" s="91"/>
      <c r="BA1112" s="91"/>
      <c r="BB1112" s="91"/>
      <c r="BC1112" s="91"/>
      <c r="BD1112" s="91"/>
      <c r="BE1112" s="91"/>
      <c r="BF1112" s="92"/>
    </row>
    <row r="1113" spans="1:58" s="82" customFormat="1" ht="12.75" customHeight="1">
      <c r="A1113" s="1003"/>
      <c r="B1113" s="953"/>
      <c r="C1113" s="571"/>
      <c r="D1113" s="84">
        <v>2023</v>
      </c>
      <c r="E1113" s="85">
        <f t="shared" ref="E1113:J1113" si="382">E1133+E1155+E1160+E1167</f>
        <v>1.0649999999999999</v>
      </c>
      <c r="F1113" s="85">
        <f t="shared" si="382"/>
        <v>1.0649999999999999</v>
      </c>
      <c r="G1113" s="85">
        <f t="shared" si="382"/>
        <v>0</v>
      </c>
      <c r="H1113" s="85">
        <f t="shared" si="382"/>
        <v>0</v>
      </c>
      <c r="I1113" s="85">
        <f t="shared" si="382"/>
        <v>0</v>
      </c>
      <c r="J1113" s="85">
        <f t="shared" si="382"/>
        <v>0</v>
      </c>
      <c r="K1113" s="148">
        <v>0</v>
      </c>
      <c r="L1113" s="497">
        <f t="shared" si="381"/>
        <v>1.0649999999999999</v>
      </c>
      <c r="M1113" s="99"/>
      <c r="N1113" s="88"/>
      <c r="O1113" s="89"/>
      <c r="P1113" s="477"/>
      <c r="Q1113" s="91"/>
      <c r="R1113" s="91"/>
      <c r="S1113" s="91"/>
      <c r="T1113" s="91"/>
      <c r="U1113" s="91"/>
      <c r="V1113" s="91"/>
      <c r="W1113" s="91"/>
      <c r="X1113" s="91"/>
      <c r="Y1113" s="91"/>
      <c r="Z1113" s="91"/>
      <c r="AA1113" s="91"/>
      <c r="AB1113" s="91"/>
      <c r="AC1113" s="91"/>
      <c r="AD1113" s="91"/>
      <c r="AE1113" s="91"/>
      <c r="AF1113" s="91"/>
      <c r="AG1113" s="91"/>
      <c r="AH1113" s="91"/>
      <c r="AI1113" s="91"/>
      <c r="AJ1113" s="91"/>
      <c r="AK1113" s="91"/>
      <c r="AL1113" s="91"/>
      <c r="AM1113" s="91"/>
      <c r="AN1113" s="91"/>
      <c r="AO1113" s="91"/>
      <c r="AP1113" s="91"/>
      <c r="AQ1113" s="91"/>
      <c r="AR1113" s="91"/>
      <c r="AS1113" s="91"/>
      <c r="AT1113" s="91"/>
      <c r="AU1113" s="91"/>
      <c r="AV1113" s="91"/>
      <c r="AW1113" s="91"/>
      <c r="AX1113" s="91"/>
      <c r="AY1113" s="91"/>
      <c r="AZ1113" s="91"/>
      <c r="BA1113" s="91"/>
      <c r="BB1113" s="91"/>
      <c r="BC1113" s="91"/>
      <c r="BD1113" s="91"/>
      <c r="BE1113" s="91"/>
      <c r="BF1113" s="92"/>
    </row>
    <row r="1114" spans="1:58" s="82" customFormat="1" ht="12.75" customHeight="1">
      <c r="A1114" s="1003"/>
      <c r="B1114" s="953"/>
      <c r="C1114" s="571"/>
      <c r="D1114" s="84">
        <v>2024</v>
      </c>
      <c r="E1114" s="85">
        <f t="shared" ref="E1114:J1114" si="383">E1134+E1161+E1168</f>
        <v>1.6612</v>
      </c>
      <c r="F1114" s="85">
        <f t="shared" si="383"/>
        <v>1.6612</v>
      </c>
      <c r="G1114" s="85">
        <f t="shared" si="383"/>
        <v>0</v>
      </c>
      <c r="H1114" s="85">
        <f t="shared" si="383"/>
        <v>0</v>
      </c>
      <c r="I1114" s="85">
        <f t="shared" si="383"/>
        <v>0</v>
      </c>
      <c r="J1114" s="85">
        <f t="shared" si="383"/>
        <v>0</v>
      </c>
      <c r="K1114" s="148">
        <v>0</v>
      </c>
      <c r="L1114" s="497">
        <f t="shared" si="381"/>
        <v>1.6612</v>
      </c>
      <c r="M1114" s="99"/>
      <c r="N1114" s="88"/>
      <c r="O1114" s="89"/>
      <c r="P1114" s="477"/>
      <c r="Q1114" s="91"/>
      <c r="R1114" s="91"/>
      <c r="S1114" s="91"/>
      <c r="T1114" s="91"/>
      <c r="U1114" s="91"/>
      <c r="V1114" s="91"/>
      <c r="W1114" s="91"/>
      <c r="X1114" s="91"/>
      <c r="Y1114" s="91"/>
      <c r="Z1114" s="91"/>
      <c r="AA1114" s="91"/>
      <c r="AB1114" s="91"/>
      <c r="AC1114" s="91"/>
      <c r="AD1114" s="91"/>
      <c r="AE1114" s="91"/>
      <c r="AF1114" s="91"/>
      <c r="AG1114" s="91"/>
      <c r="AH1114" s="91"/>
      <c r="AI1114" s="91"/>
      <c r="AJ1114" s="91"/>
      <c r="AK1114" s="91"/>
      <c r="AL1114" s="91"/>
      <c r="AM1114" s="91"/>
      <c r="AN1114" s="91"/>
      <c r="AO1114" s="91"/>
      <c r="AP1114" s="91"/>
      <c r="AQ1114" s="91"/>
      <c r="AR1114" s="91"/>
      <c r="AS1114" s="91"/>
      <c r="AT1114" s="91"/>
      <c r="AU1114" s="91"/>
      <c r="AV1114" s="91"/>
      <c r="AW1114" s="91"/>
      <c r="AX1114" s="91"/>
      <c r="AY1114" s="91"/>
      <c r="AZ1114" s="91"/>
      <c r="BA1114" s="91"/>
      <c r="BB1114" s="91"/>
      <c r="BC1114" s="91"/>
      <c r="BD1114" s="91"/>
      <c r="BE1114" s="91"/>
      <c r="BF1114" s="92"/>
    </row>
    <row r="1115" spans="1:58" s="82" customFormat="1" ht="12.75" customHeight="1">
      <c r="A1115" s="1003"/>
      <c r="B1115" s="953"/>
      <c r="C1115" s="571"/>
      <c r="D1115" s="84">
        <v>2025</v>
      </c>
      <c r="E1115" s="85">
        <f t="shared" ref="E1115:J1115" si="384">E1135+E1169</f>
        <v>1.1152</v>
      </c>
      <c r="F1115" s="85">
        <f t="shared" si="384"/>
        <v>1.1152</v>
      </c>
      <c r="G1115" s="85">
        <f t="shared" si="384"/>
        <v>0</v>
      </c>
      <c r="H1115" s="85">
        <f t="shared" si="384"/>
        <v>0</v>
      </c>
      <c r="I1115" s="85">
        <f t="shared" si="384"/>
        <v>0</v>
      </c>
      <c r="J1115" s="85">
        <f t="shared" si="384"/>
        <v>0</v>
      </c>
      <c r="K1115" s="148">
        <v>0</v>
      </c>
      <c r="L1115" s="497">
        <f t="shared" si="381"/>
        <v>1.1152</v>
      </c>
      <c r="M1115" s="99"/>
      <c r="N1115" s="88"/>
      <c r="O1115" s="89"/>
      <c r="P1115" s="477"/>
      <c r="Q1115" s="91"/>
      <c r="R1115" s="91"/>
      <c r="S1115" s="91"/>
      <c r="T1115" s="91"/>
      <c r="U1115" s="91"/>
      <c r="V1115" s="91"/>
      <c r="W1115" s="91"/>
      <c r="X1115" s="91"/>
      <c r="Y1115" s="91"/>
      <c r="Z1115" s="91"/>
      <c r="AA1115" s="91"/>
      <c r="AB1115" s="91"/>
      <c r="AC1115" s="91"/>
      <c r="AD1115" s="91"/>
      <c r="AE1115" s="91"/>
      <c r="AF1115" s="91"/>
      <c r="AG1115" s="91"/>
      <c r="AH1115" s="91"/>
      <c r="AI1115" s="91"/>
      <c r="AJ1115" s="91"/>
      <c r="AK1115" s="91"/>
      <c r="AL1115" s="91"/>
      <c r="AM1115" s="91"/>
      <c r="AN1115" s="91"/>
      <c r="AO1115" s="91"/>
      <c r="AP1115" s="91"/>
      <c r="AQ1115" s="91"/>
      <c r="AR1115" s="91"/>
      <c r="AS1115" s="91"/>
      <c r="AT1115" s="91"/>
      <c r="AU1115" s="91"/>
      <c r="AV1115" s="91"/>
      <c r="AW1115" s="91"/>
      <c r="AX1115" s="91"/>
      <c r="AY1115" s="91"/>
      <c r="AZ1115" s="91"/>
      <c r="BA1115" s="91"/>
      <c r="BB1115" s="91"/>
      <c r="BC1115" s="91"/>
      <c r="BD1115" s="91"/>
      <c r="BE1115" s="91"/>
      <c r="BF1115" s="92"/>
    </row>
    <row r="1116" spans="1:58" s="82" customFormat="1" ht="12.75" customHeight="1">
      <c r="A1116" s="1003"/>
      <c r="B1116" s="953"/>
      <c r="C1116" s="571"/>
      <c r="D1116" s="84">
        <v>2026</v>
      </c>
      <c r="E1116" s="85">
        <f>E1122+E1136+E1142</f>
        <v>2.188968</v>
      </c>
      <c r="F1116" s="85">
        <f>F1122+F1142+F1136</f>
        <v>2.188968</v>
      </c>
      <c r="G1116" s="85">
        <f>G1122+G1142</f>
        <v>0</v>
      </c>
      <c r="H1116" s="85">
        <f>H1122+H1142</f>
        <v>0</v>
      </c>
      <c r="I1116" s="85">
        <f>I1122+I1142</f>
        <v>0</v>
      </c>
      <c r="J1116" s="85">
        <f>J1122+J1142</f>
        <v>0</v>
      </c>
      <c r="K1116" s="148">
        <v>0</v>
      </c>
      <c r="L1116" s="497">
        <f t="shared" si="381"/>
        <v>2.188968</v>
      </c>
      <c r="M1116" s="99"/>
      <c r="N1116" s="88"/>
      <c r="O1116" s="89"/>
      <c r="P1116" s="477"/>
      <c r="Q1116" s="91"/>
      <c r="R1116" s="91"/>
      <c r="S1116" s="91"/>
      <c r="T1116" s="91"/>
      <c r="U1116" s="91"/>
      <c r="V1116" s="91"/>
      <c r="W1116" s="91"/>
      <c r="X1116" s="91"/>
      <c r="Y1116" s="91"/>
      <c r="Z1116" s="91"/>
      <c r="AA1116" s="91"/>
      <c r="AB1116" s="91"/>
      <c r="AC1116" s="91"/>
      <c r="AD1116" s="91"/>
      <c r="AE1116" s="91"/>
      <c r="AF1116" s="91"/>
      <c r="AG1116" s="91"/>
      <c r="AH1116" s="91"/>
      <c r="AI1116" s="91"/>
      <c r="AJ1116" s="91"/>
      <c r="AK1116" s="91"/>
      <c r="AL1116" s="91"/>
      <c r="AM1116" s="91"/>
      <c r="AN1116" s="91"/>
      <c r="AO1116" s="91"/>
      <c r="AP1116" s="91"/>
      <c r="AQ1116" s="91"/>
      <c r="AR1116" s="91"/>
      <c r="AS1116" s="91"/>
      <c r="AT1116" s="91"/>
      <c r="AU1116" s="91"/>
      <c r="AV1116" s="91"/>
      <c r="AW1116" s="91"/>
      <c r="AX1116" s="91"/>
      <c r="AY1116" s="91"/>
      <c r="AZ1116" s="91"/>
      <c r="BA1116" s="91"/>
      <c r="BB1116" s="91"/>
      <c r="BC1116" s="91"/>
      <c r="BD1116" s="91"/>
      <c r="BE1116" s="91"/>
      <c r="BF1116" s="92"/>
    </row>
    <row r="1117" spans="1:58" s="82" customFormat="1" ht="12.75" customHeight="1">
      <c r="A1117" s="1003"/>
      <c r="B1117" s="953"/>
      <c r="C1117" s="1218"/>
      <c r="D1117" s="84">
        <v>2027</v>
      </c>
      <c r="E1117" s="85">
        <f>E1123+E1137+E1143</f>
        <v>2.19652672</v>
      </c>
      <c r="F1117" s="85">
        <f>F1123+F1143+F1137</f>
        <v>2.19652672</v>
      </c>
      <c r="G1117" s="85">
        <f>G1123+G1143+G1137</f>
        <v>0</v>
      </c>
      <c r="H1117" s="85">
        <f>H1123+H1143+H1137</f>
        <v>0</v>
      </c>
      <c r="I1117" s="85">
        <f>I1123+I1143+I1137</f>
        <v>0</v>
      </c>
      <c r="J1117" s="85">
        <f>J1123+J1143+J1137</f>
        <v>0</v>
      </c>
      <c r="K1117" s="148">
        <v>0</v>
      </c>
      <c r="L1117" s="497">
        <f t="shared" si="381"/>
        <v>2.19652672</v>
      </c>
      <c r="M1117" s="99"/>
      <c r="N1117" s="88"/>
      <c r="O1117" s="89"/>
      <c r="P1117" s="477"/>
      <c r="Q1117" s="91"/>
      <c r="R1117" s="91"/>
      <c r="S1117" s="91"/>
      <c r="T1117" s="91"/>
      <c r="U1117" s="91"/>
      <c r="V1117" s="91"/>
      <c r="W1117" s="91"/>
      <c r="X1117" s="91"/>
      <c r="Y1117" s="91"/>
      <c r="Z1117" s="91"/>
      <c r="AA1117" s="91"/>
      <c r="AB1117" s="91"/>
      <c r="AC1117" s="91"/>
      <c r="AD1117" s="91"/>
      <c r="AE1117" s="91"/>
      <c r="AF1117" s="91"/>
      <c r="AG1117" s="91"/>
      <c r="AH1117" s="91"/>
      <c r="AI1117" s="91"/>
      <c r="AJ1117" s="91"/>
      <c r="AK1117" s="91"/>
      <c r="AL1117" s="91"/>
      <c r="AM1117" s="91"/>
      <c r="AN1117" s="91"/>
      <c r="AO1117" s="91"/>
      <c r="AP1117" s="91"/>
      <c r="AQ1117" s="91"/>
      <c r="AR1117" s="91"/>
      <c r="AS1117" s="91"/>
      <c r="AT1117" s="91"/>
      <c r="AU1117" s="91"/>
      <c r="AV1117" s="91"/>
      <c r="AW1117" s="91"/>
      <c r="AX1117" s="91"/>
      <c r="AY1117" s="91"/>
      <c r="AZ1117" s="91"/>
      <c r="BA1117" s="91"/>
      <c r="BB1117" s="91"/>
      <c r="BC1117" s="91"/>
      <c r="BD1117" s="91"/>
      <c r="BE1117" s="91"/>
      <c r="BF1117" s="92"/>
    </row>
    <row r="1118" spans="1:58" s="82" customFormat="1" ht="12.75" customHeight="1">
      <c r="A1118" s="1003"/>
      <c r="B1118" s="953"/>
      <c r="C1118" s="1218"/>
      <c r="D1118" s="84">
        <v>2028</v>
      </c>
      <c r="E1118" s="85">
        <f>E1124+E1144+E1138</f>
        <v>2.2043877888000001</v>
      </c>
      <c r="F1118" s="85">
        <f>F1124+F1144+F1138</f>
        <v>2.2043877888000001</v>
      </c>
      <c r="G1118" s="85">
        <f>G1124+G1144</f>
        <v>0</v>
      </c>
      <c r="H1118" s="85">
        <f>H1124+H1144</f>
        <v>0</v>
      </c>
      <c r="I1118" s="85">
        <f>I1124+I1144</f>
        <v>0</v>
      </c>
      <c r="J1118" s="85">
        <f>J1124+J1144</f>
        <v>0</v>
      </c>
      <c r="K1118" s="148">
        <v>0</v>
      </c>
      <c r="L1118" s="497">
        <f t="shared" si="381"/>
        <v>2.2043877888000001</v>
      </c>
      <c r="M1118" s="99"/>
      <c r="N1118" s="88"/>
      <c r="O1118" s="89"/>
      <c r="P1118" s="477"/>
      <c r="Q1118" s="91"/>
      <c r="R1118" s="91"/>
      <c r="S1118" s="91"/>
      <c r="T1118" s="91"/>
      <c r="U1118" s="91"/>
      <c r="V1118" s="91"/>
      <c r="W1118" s="91"/>
      <c r="X1118" s="91"/>
      <c r="Y1118" s="91"/>
      <c r="Z1118" s="91"/>
      <c r="AA1118" s="91"/>
      <c r="AB1118" s="91"/>
      <c r="AC1118" s="91"/>
      <c r="AD1118" s="91"/>
      <c r="AE1118" s="91"/>
      <c r="AF1118" s="91"/>
      <c r="AG1118" s="91"/>
      <c r="AH1118" s="91"/>
      <c r="AI1118" s="91"/>
      <c r="AJ1118" s="91"/>
      <c r="AK1118" s="91"/>
      <c r="AL1118" s="91"/>
      <c r="AM1118" s="91"/>
      <c r="AN1118" s="91"/>
      <c r="AO1118" s="91"/>
      <c r="AP1118" s="91"/>
      <c r="AQ1118" s="91"/>
      <c r="AR1118" s="91"/>
      <c r="AS1118" s="91"/>
      <c r="AT1118" s="91"/>
      <c r="AU1118" s="91"/>
      <c r="AV1118" s="91"/>
      <c r="AW1118" s="91"/>
      <c r="AX1118" s="91"/>
      <c r="AY1118" s="91"/>
      <c r="AZ1118" s="91"/>
      <c r="BA1118" s="91"/>
      <c r="BB1118" s="91"/>
      <c r="BC1118" s="91"/>
      <c r="BD1118" s="91"/>
      <c r="BE1118" s="91"/>
      <c r="BF1118" s="92"/>
    </row>
    <row r="1119" spans="1:58" s="82" customFormat="1" ht="12.75" customHeight="1">
      <c r="A1119" s="1003"/>
      <c r="B1119" s="953"/>
      <c r="C1119" s="1218"/>
      <c r="D1119" s="84">
        <v>2029</v>
      </c>
      <c r="E1119" s="85">
        <f>E1145+E1139</f>
        <v>1.712563300352</v>
      </c>
      <c r="F1119" s="85">
        <f>F1145+F1139</f>
        <v>1.712563300352</v>
      </c>
      <c r="G1119" s="85">
        <f>G1145</f>
        <v>0</v>
      </c>
      <c r="H1119" s="85">
        <f>H1145</f>
        <v>0</v>
      </c>
      <c r="I1119" s="85">
        <f>I1145</f>
        <v>0</v>
      </c>
      <c r="J1119" s="85">
        <f>J1145</f>
        <v>0</v>
      </c>
      <c r="K1119" s="148">
        <v>0</v>
      </c>
      <c r="L1119" s="497">
        <f t="shared" si="381"/>
        <v>1.712563300352</v>
      </c>
      <c r="M1119" s="99"/>
      <c r="N1119" s="88"/>
      <c r="O1119" s="89"/>
      <c r="P1119" s="477"/>
      <c r="Q1119" s="91"/>
      <c r="R1119" s="91"/>
      <c r="S1119" s="91"/>
      <c r="T1119" s="91"/>
      <c r="U1119" s="91"/>
      <c r="V1119" s="91"/>
      <c r="W1119" s="91"/>
      <c r="X1119" s="91"/>
      <c r="Y1119" s="91"/>
      <c r="Z1119" s="91"/>
      <c r="AA1119" s="91"/>
      <c r="AB1119" s="91"/>
      <c r="AC1119" s="91"/>
      <c r="AD1119" s="91"/>
      <c r="AE1119" s="91"/>
      <c r="AF1119" s="91"/>
      <c r="AG1119" s="91"/>
      <c r="AH1119" s="91"/>
      <c r="AI1119" s="91"/>
      <c r="AJ1119" s="91"/>
      <c r="AK1119" s="91"/>
      <c r="AL1119" s="91"/>
      <c r="AM1119" s="91"/>
      <c r="AN1119" s="91"/>
      <c r="AO1119" s="91"/>
      <c r="AP1119" s="91"/>
      <c r="AQ1119" s="91"/>
      <c r="AR1119" s="91"/>
      <c r="AS1119" s="91"/>
      <c r="AT1119" s="91"/>
      <c r="AU1119" s="91"/>
      <c r="AV1119" s="91"/>
      <c r="AW1119" s="91"/>
      <c r="AX1119" s="91"/>
      <c r="AY1119" s="91"/>
      <c r="AZ1119" s="91"/>
      <c r="BA1119" s="91"/>
      <c r="BB1119" s="91"/>
      <c r="BC1119" s="91"/>
      <c r="BD1119" s="91"/>
      <c r="BE1119" s="91"/>
      <c r="BF1119" s="92"/>
    </row>
    <row r="1120" spans="1:58" s="82" customFormat="1" ht="15.75" customHeight="1">
      <c r="A1120" s="1004"/>
      <c r="B1120" s="954"/>
      <c r="C1120" s="1219"/>
      <c r="D1120" s="84">
        <v>2030</v>
      </c>
      <c r="E1120" s="85">
        <f>F1120</f>
        <v>0.22106583236608005</v>
      </c>
      <c r="F1120" s="85">
        <f>F1140</f>
        <v>0.22106583236608005</v>
      </c>
      <c r="G1120" s="85">
        <f>H1120</f>
        <v>0</v>
      </c>
      <c r="H1120" s="85">
        <f>I1120</f>
        <v>0</v>
      </c>
      <c r="I1120" s="85">
        <f>J1120</f>
        <v>0</v>
      </c>
      <c r="J1120" s="85">
        <f>L1120</f>
        <v>0</v>
      </c>
      <c r="K1120" s="148">
        <v>0</v>
      </c>
      <c r="L1120" s="497"/>
      <c r="M1120" s="99"/>
      <c r="N1120" s="88"/>
      <c r="O1120" s="89"/>
      <c r="P1120" s="557"/>
      <c r="Q1120" s="91"/>
      <c r="R1120" s="91"/>
      <c r="S1120" s="91"/>
      <c r="T1120" s="91"/>
      <c r="U1120" s="91"/>
      <c r="V1120" s="91"/>
      <c r="W1120" s="91"/>
      <c r="X1120" s="91"/>
      <c r="Y1120" s="91"/>
      <c r="Z1120" s="91"/>
      <c r="AA1120" s="91"/>
      <c r="AB1120" s="91"/>
      <c r="AC1120" s="91"/>
      <c r="AD1120" s="91"/>
      <c r="AE1120" s="91"/>
      <c r="AF1120" s="91"/>
      <c r="AG1120" s="91"/>
      <c r="AH1120" s="91"/>
      <c r="AI1120" s="91"/>
      <c r="AJ1120" s="91"/>
      <c r="AK1120" s="91"/>
      <c r="AL1120" s="91"/>
      <c r="AM1120" s="91"/>
      <c r="AN1120" s="91"/>
      <c r="AO1120" s="91"/>
      <c r="AP1120" s="91"/>
      <c r="AQ1120" s="91"/>
      <c r="AR1120" s="91"/>
      <c r="AS1120" s="91"/>
      <c r="AT1120" s="91"/>
      <c r="AU1120" s="91"/>
      <c r="AV1120" s="91"/>
      <c r="AW1120" s="91"/>
      <c r="AX1120" s="91"/>
      <c r="AY1120" s="91"/>
      <c r="AZ1120" s="91"/>
      <c r="BA1120" s="91"/>
      <c r="BB1120" s="91"/>
      <c r="BC1120" s="91"/>
      <c r="BD1120" s="91"/>
      <c r="BE1120" s="91"/>
      <c r="BF1120" s="92"/>
    </row>
    <row r="1121" spans="1:58" s="82" customFormat="1" ht="14.25" customHeight="1">
      <c r="A1121" s="1128" t="s">
        <v>1040</v>
      </c>
      <c r="B1121" s="1256" t="s">
        <v>992</v>
      </c>
      <c r="C1121" s="1224" t="s">
        <v>1344</v>
      </c>
      <c r="D1121" s="84" t="s">
        <v>16</v>
      </c>
      <c r="E1121" s="85">
        <f t="shared" ref="E1121:J1121" si="385">E1122+E1124+E1123</f>
        <v>1.5</v>
      </c>
      <c r="F1121" s="85">
        <f t="shared" si="385"/>
        <v>1.5</v>
      </c>
      <c r="G1121" s="85">
        <f t="shared" si="385"/>
        <v>0</v>
      </c>
      <c r="H1121" s="85">
        <f t="shared" si="385"/>
        <v>0</v>
      </c>
      <c r="I1121" s="85">
        <f t="shared" si="385"/>
        <v>0</v>
      </c>
      <c r="J1121" s="85">
        <f t="shared" si="385"/>
        <v>0</v>
      </c>
      <c r="K1121" s="148">
        <v>0</v>
      </c>
      <c r="L1121" s="497">
        <f t="shared" ref="L1121:L1156" si="386">F1121+G1121+H1121+I1121+J1121</f>
        <v>1.5</v>
      </c>
      <c r="M1121" s="99"/>
      <c r="N1121" s="88"/>
      <c r="O1121" s="89"/>
      <c r="P1121" s="1286" t="s">
        <v>369</v>
      </c>
      <c r="Q1121" s="91"/>
      <c r="R1121" s="91"/>
      <c r="S1121" s="91"/>
      <c r="T1121" s="91"/>
      <c r="U1121" s="91"/>
      <c r="V1121" s="91"/>
      <c r="W1121" s="91"/>
      <c r="X1121" s="91"/>
      <c r="Y1121" s="91"/>
      <c r="Z1121" s="91"/>
      <c r="AA1121" s="91"/>
      <c r="AB1121" s="91"/>
      <c r="AC1121" s="91"/>
      <c r="AD1121" s="91"/>
      <c r="AE1121" s="91"/>
      <c r="AF1121" s="91"/>
      <c r="AG1121" s="91"/>
      <c r="AH1121" s="91"/>
      <c r="AI1121" s="91"/>
      <c r="AJ1121" s="91"/>
      <c r="AK1121" s="91"/>
      <c r="AL1121" s="91"/>
      <c r="AM1121" s="91"/>
      <c r="AN1121" s="91"/>
      <c r="AO1121" s="91"/>
      <c r="AP1121" s="91"/>
      <c r="AQ1121" s="91"/>
      <c r="AR1121" s="91"/>
      <c r="AS1121" s="91"/>
      <c r="AT1121" s="91"/>
      <c r="AU1121" s="91"/>
      <c r="AV1121" s="91"/>
      <c r="AW1121" s="91"/>
      <c r="AX1121" s="91"/>
      <c r="AY1121" s="91"/>
      <c r="AZ1121" s="91"/>
      <c r="BA1121" s="91"/>
      <c r="BB1121" s="91"/>
      <c r="BC1121" s="91"/>
      <c r="BD1121" s="91"/>
      <c r="BE1121" s="91"/>
      <c r="BF1121" s="92"/>
    </row>
    <row r="1122" spans="1:58" s="82" customFormat="1">
      <c r="A1122" s="1183"/>
      <c r="B1122" s="1257"/>
      <c r="C1122" s="1225"/>
      <c r="D1122" s="84">
        <v>2026</v>
      </c>
      <c r="E1122" s="85">
        <f t="shared" ref="E1122:F1124" si="387">E1125</f>
        <v>0.5</v>
      </c>
      <c r="F1122" s="85">
        <f t="shared" si="387"/>
        <v>0.5</v>
      </c>
      <c r="G1122" s="85">
        <v>0</v>
      </c>
      <c r="H1122" s="85">
        <v>0</v>
      </c>
      <c r="I1122" s="85">
        <v>0</v>
      </c>
      <c r="J1122" s="85">
        <v>0</v>
      </c>
      <c r="K1122" s="148">
        <v>0</v>
      </c>
      <c r="L1122" s="497">
        <f t="shared" si="386"/>
        <v>0.5</v>
      </c>
      <c r="M1122" s="99"/>
      <c r="N1122" s="88"/>
      <c r="O1122" s="89"/>
      <c r="P1122" s="1300"/>
      <c r="Q1122" s="91"/>
      <c r="R1122" s="91"/>
      <c r="S1122" s="91"/>
      <c r="T1122" s="91"/>
      <c r="U1122" s="91"/>
      <c r="V1122" s="91"/>
      <c r="W1122" s="91"/>
      <c r="X1122" s="91"/>
      <c r="Y1122" s="91"/>
      <c r="Z1122" s="91"/>
      <c r="AA1122" s="91"/>
      <c r="AB1122" s="91"/>
      <c r="AC1122" s="91"/>
      <c r="AD1122" s="91"/>
      <c r="AE1122" s="91"/>
      <c r="AF1122" s="91"/>
      <c r="AG1122" s="91"/>
      <c r="AH1122" s="91"/>
      <c r="AI1122" s="91"/>
      <c r="AJ1122" s="91"/>
      <c r="AK1122" s="91"/>
      <c r="AL1122" s="91"/>
      <c r="AM1122" s="91"/>
      <c r="AN1122" s="91"/>
      <c r="AO1122" s="91"/>
      <c r="AP1122" s="91"/>
      <c r="AQ1122" s="91"/>
      <c r="AR1122" s="91"/>
      <c r="AS1122" s="91"/>
      <c r="AT1122" s="91"/>
      <c r="AU1122" s="91"/>
      <c r="AV1122" s="91"/>
      <c r="AW1122" s="91"/>
      <c r="AX1122" s="91"/>
      <c r="AY1122" s="91"/>
      <c r="AZ1122" s="91"/>
      <c r="BA1122" s="91"/>
      <c r="BB1122" s="91"/>
      <c r="BC1122" s="91"/>
      <c r="BD1122" s="91"/>
      <c r="BE1122" s="91"/>
      <c r="BF1122" s="92"/>
    </row>
    <row r="1123" spans="1:58" s="82" customFormat="1">
      <c r="A1123" s="1183"/>
      <c r="B1123" s="1257"/>
      <c r="C1123" s="1225"/>
      <c r="D1123" s="84">
        <v>2027</v>
      </c>
      <c r="E1123" s="85">
        <f t="shared" si="387"/>
        <v>0.5</v>
      </c>
      <c r="F1123" s="85">
        <f t="shared" si="387"/>
        <v>0.5</v>
      </c>
      <c r="G1123" s="85">
        <f t="shared" ref="G1123:J1124" si="388">G1126</f>
        <v>0</v>
      </c>
      <c r="H1123" s="85">
        <f t="shared" si="388"/>
        <v>0</v>
      </c>
      <c r="I1123" s="85">
        <f t="shared" si="388"/>
        <v>0</v>
      </c>
      <c r="J1123" s="85">
        <f t="shared" si="388"/>
        <v>0</v>
      </c>
      <c r="K1123" s="148">
        <v>0</v>
      </c>
      <c r="L1123" s="497">
        <f t="shared" si="386"/>
        <v>0.5</v>
      </c>
      <c r="M1123" s="99"/>
      <c r="N1123" s="88"/>
      <c r="O1123" s="89"/>
      <c r="P1123" s="1300"/>
      <c r="Q1123" s="91"/>
      <c r="R1123" s="91"/>
      <c r="S1123" s="91"/>
      <c r="T1123" s="91"/>
      <c r="U1123" s="91"/>
      <c r="V1123" s="91"/>
      <c r="W1123" s="91"/>
      <c r="X1123" s="91"/>
      <c r="Y1123" s="91"/>
      <c r="Z1123" s="91"/>
      <c r="AA1123" s="91"/>
      <c r="AB1123" s="91"/>
      <c r="AC1123" s="91"/>
      <c r="AD1123" s="91"/>
      <c r="AE1123" s="91"/>
      <c r="AF1123" s="91"/>
      <c r="AG1123" s="91"/>
      <c r="AH1123" s="91"/>
      <c r="AI1123" s="91"/>
      <c r="AJ1123" s="91"/>
      <c r="AK1123" s="91"/>
      <c r="AL1123" s="91"/>
      <c r="AM1123" s="91"/>
      <c r="AN1123" s="91"/>
      <c r="AO1123" s="91"/>
      <c r="AP1123" s="91"/>
      <c r="AQ1123" s="91"/>
      <c r="AR1123" s="91"/>
      <c r="AS1123" s="91"/>
      <c r="AT1123" s="91"/>
      <c r="AU1123" s="91"/>
      <c r="AV1123" s="91"/>
      <c r="AW1123" s="91"/>
      <c r="AX1123" s="91"/>
      <c r="AY1123" s="91"/>
      <c r="AZ1123" s="91"/>
      <c r="BA1123" s="91"/>
      <c r="BB1123" s="91"/>
      <c r="BC1123" s="91"/>
      <c r="BD1123" s="91"/>
      <c r="BE1123" s="91"/>
      <c r="BF1123" s="92"/>
    </row>
    <row r="1124" spans="1:58" s="82" customFormat="1" ht="29.25" customHeight="1">
      <c r="A1124" s="1183"/>
      <c r="B1124" s="1257"/>
      <c r="C1124" s="1225"/>
      <c r="D1124" s="84">
        <v>2028</v>
      </c>
      <c r="E1124" s="85">
        <f t="shared" si="387"/>
        <v>0.5</v>
      </c>
      <c r="F1124" s="85">
        <f t="shared" si="387"/>
        <v>0.5</v>
      </c>
      <c r="G1124" s="85">
        <f t="shared" si="388"/>
        <v>0</v>
      </c>
      <c r="H1124" s="85">
        <f t="shared" si="388"/>
        <v>0</v>
      </c>
      <c r="I1124" s="85">
        <f t="shared" si="388"/>
        <v>0</v>
      </c>
      <c r="J1124" s="85">
        <f t="shared" si="388"/>
        <v>0</v>
      </c>
      <c r="K1124" s="148">
        <v>0</v>
      </c>
      <c r="L1124" s="497">
        <f t="shared" si="386"/>
        <v>0.5</v>
      </c>
      <c r="M1124" s="99"/>
      <c r="N1124" s="88"/>
      <c r="O1124" s="89"/>
      <c r="P1124" s="1300"/>
      <c r="Q1124" s="91"/>
      <c r="R1124" s="91"/>
      <c r="S1124" s="91"/>
      <c r="T1124" s="91"/>
      <c r="U1124" s="91"/>
      <c r="V1124" s="91"/>
      <c r="W1124" s="91"/>
      <c r="X1124" s="91"/>
      <c r="Y1124" s="91"/>
      <c r="Z1124" s="91"/>
      <c r="AA1124" s="91"/>
      <c r="AB1124" s="91"/>
      <c r="AC1124" s="91"/>
      <c r="AD1124" s="91"/>
      <c r="AE1124" s="91"/>
      <c r="AF1124" s="91"/>
      <c r="AG1124" s="91"/>
      <c r="AH1124" s="91"/>
      <c r="AI1124" s="91"/>
      <c r="AJ1124" s="91"/>
      <c r="AK1124" s="91"/>
      <c r="AL1124" s="91"/>
      <c r="AM1124" s="91"/>
      <c r="AN1124" s="91"/>
      <c r="AO1124" s="91"/>
      <c r="AP1124" s="91"/>
      <c r="AQ1124" s="91"/>
      <c r="AR1124" s="91"/>
      <c r="AS1124" s="91"/>
      <c r="AT1124" s="91"/>
      <c r="AU1124" s="91"/>
      <c r="AV1124" s="91"/>
      <c r="AW1124" s="91"/>
      <c r="AX1124" s="91"/>
      <c r="AY1124" s="91"/>
      <c r="AZ1124" s="91"/>
      <c r="BA1124" s="91"/>
      <c r="BB1124" s="91"/>
      <c r="BC1124" s="91"/>
      <c r="BD1124" s="91"/>
      <c r="BE1124" s="91"/>
      <c r="BF1124" s="92"/>
    </row>
    <row r="1125" spans="1:58" s="82" customFormat="1" ht="23.25" customHeight="1">
      <c r="A1125" s="567" t="s">
        <v>1042</v>
      </c>
      <c r="B1125" s="646" t="s">
        <v>995</v>
      </c>
      <c r="C1125" s="1225"/>
      <c r="D1125" s="84">
        <v>2026</v>
      </c>
      <c r="E1125" s="85">
        <f>F1125+G1125+H1125+I1125+J1125</f>
        <v>0.5</v>
      </c>
      <c r="F1125" s="85">
        <v>0.5</v>
      </c>
      <c r="G1125" s="85">
        <v>0</v>
      </c>
      <c r="H1125" s="85">
        <v>0</v>
      </c>
      <c r="I1125" s="85">
        <v>0</v>
      </c>
      <c r="J1125" s="85">
        <v>0</v>
      </c>
      <c r="K1125" s="148">
        <v>0</v>
      </c>
      <c r="L1125" s="497">
        <f t="shared" si="386"/>
        <v>0.5</v>
      </c>
      <c r="M1125" s="99"/>
      <c r="N1125" s="88"/>
      <c r="O1125" s="89"/>
      <c r="P1125" s="1218"/>
      <c r="Q1125" s="91"/>
      <c r="R1125" s="91"/>
      <c r="S1125" s="91"/>
      <c r="T1125" s="91"/>
      <c r="U1125" s="91"/>
      <c r="V1125" s="91"/>
      <c r="W1125" s="91"/>
      <c r="X1125" s="91"/>
      <c r="Y1125" s="91"/>
      <c r="Z1125" s="91"/>
      <c r="AA1125" s="91"/>
      <c r="AB1125" s="91"/>
      <c r="AC1125" s="91"/>
      <c r="AD1125" s="91"/>
      <c r="AE1125" s="91"/>
      <c r="AF1125" s="91"/>
      <c r="AG1125" s="91"/>
      <c r="AH1125" s="91"/>
      <c r="AI1125" s="91"/>
      <c r="AJ1125" s="91"/>
      <c r="AK1125" s="91"/>
      <c r="AL1125" s="91"/>
      <c r="AM1125" s="91"/>
      <c r="AN1125" s="91"/>
      <c r="AO1125" s="91"/>
      <c r="AP1125" s="91"/>
      <c r="AQ1125" s="91"/>
      <c r="AR1125" s="91"/>
      <c r="AS1125" s="91"/>
      <c r="AT1125" s="91"/>
      <c r="AU1125" s="91"/>
      <c r="AV1125" s="91"/>
      <c r="AW1125" s="91"/>
      <c r="AX1125" s="91"/>
      <c r="AY1125" s="91"/>
      <c r="AZ1125" s="91"/>
      <c r="BA1125" s="91"/>
      <c r="BB1125" s="91"/>
      <c r="BC1125" s="91"/>
      <c r="BD1125" s="91"/>
      <c r="BE1125" s="91"/>
      <c r="BF1125" s="92"/>
    </row>
    <row r="1126" spans="1:58" s="82" customFormat="1" ht="23.25" customHeight="1">
      <c r="A1126" s="567" t="s">
        <v>1044</v>
      </c>
      <c r="B1126" s="646" t="s">
        <v>997</v>
      </c>
      <c r="C1126" s="1225"/>
      <c r="D1126" s="84">
        <v>2027</v>
      </c>
      <c r="E1126" s="85">
        <f>F1126+G1126+H1126+I1126+J1126</f>
        <v>0.5</v>
      </c>
      <c r="F1126" s="85">
        <v>0.5</v>
      </c>
      <c r="G1126" s="85">
        <v>0</v>
      </c>
      <c r="H1126" s="85">
        <v>0</v>
      </c>
      <c r="I1126" s="85">
        <v>0</v>
      </c>
      <c r="J1126" s="85">
        <v>0</v>
      </c>
      <c r="K1126" s="148">
        <v>0</v>
      </c>
      <c r="L1126" s="497">
        <f t="shared" si="386"/>
        <v>0.5</v>
      </c>
      <c r="M1126" s="99"/>
      <c r="N1126" s="88"/>
      <c r="O1126" s="89"/>
      <c r="P1126" s="1218"/>
      <c r="Q1126" s="91"/>
      <c r="R1126" s="91"/>
      <c r="S1126" s="91"/>
      <c r="T1126" s="91"/>
      <c r="U1126" s="91"/>
      <c r="V1126" s="91"/>
      <c r="W1126" s="91"/>
      <c r="X1126" s="91"/>
      <c r="Y1126" s="91"/>
      <c r="Z1126" s="91"/>
      <c r="AA1126" s="91"/>
      <c r="AB1126" s="91"/>
      <c r="AC1126" s="91"/>
      <c r="AD1126" s="91"/>
      <c r="AE1126" s="91"/>
      <c r="AF1126" s="91"/>
      <c r="AG1126" s="91"/>
      <c r="AH1126" s="91"/>
      <c r="AI1126" s="91"/>
      <c r="AJ1126" s="91"/>
      <c r="AK1126" s="91"/>
      <c r="AL1126" s="91"/>
      <c r="AM1126" s="91"/>
      <c r="AN1126" s="91"/>
      <c r="AO1126" s="91"/>
      <c r="AP1126" s="91"/>
      <c r="AQ1126" s="91"/>
      <c r="AR1126" s="91"/>
      <c r="AS1126" s="91"/>
      <c r="AT1126" s="91"/>
      <c r="AU1126" s="91"/>
      <c r="AV1126" s="91"/>
      <c r="AW1126" s="91"/>
      <c r="AX1126" s="91"/>
      <c r="AY1126" s="91"/>
      <c r="AZ1126" s="91"/>
      <c r="BA1126" s="91"/>
      <c r="BB1126" s="91"/>
      <c r="BC1126" s="91"/>
      <c r="BD1126" s="91"/>
      <c r="BE1126" s="91"/>
      <c r="BF1126" s="92"/>
    </row>
    <row r="1127" spans="1:58" s="82" customFormat="1" ht="23.25" customHeight="1">
      <c r="A1127" s="567" t="s">
        <v>1046</v>
      </c>
      <c r="B1127" s="646" t="s">
        <v>999</v>
      </c>
      <c r="C1127" s="1226"/>
      <c r="D1127" s="84">
        <v>2028</v>
      </c>
      <c r="E1127" s="85">
        <f>F1127+G1127+H1127+I1127+J1127</f>
        <v>0.5</v>
      </c>
      <c r="F1127" s="85">
        <v>0.5</v>
      </c>
      <c r="G1127" s="85">
        <v>0</v>
      </c>
      <c r="H1127" s="85">
        <v>0</v>
      </c>
      <c r="I1127" s="85">
        <v>0</v>
      </c>
      <c r="J1127" s="85">
        <v>0</v>
      </c>
      <c r="K1127" s="148">
        <v>0</v>
      </c>
      <c r="L1127" s="497">
        <f t="shared" si="386"/>
        <v>0.5</v>
      </c>
      <c r="M1127" s="99"/>
      <c r="N1127" s="88"/>
      <c r="O1127" s="89"/>
      <c r="P1127" s="1218"/>
      <c r="Q1127" s="91"/>
      <c r="R1127" s="91"/>
      <c r="S1127" s="91"/>
      <c r="T1127" s="91"/>
      <c r="U1127" s="91"/>
      <c r="V1127" s="91"/>
      <c r="W1127" s="91"/>
      <c r="X1127" s="91"/>
      <c r="Y1127" s="91"/>
      <c r="Z1127" s="91"/>
      <c r="AA1127" s="91"/>
      <c r="AB1127" s="91"/>
      <c r="AC1127" s="91"/>
      <c r="AD1127" s="91"/>
      <c r="AE1127" s="91"/>
      <c r="AF1127" s="91"/>
      <c r="AG1127" s="91"/>
      <c r="AH1127" s="91"/>
      <c r="AI1127" s="91"/>
      <c r="AJ1127" s="91"/>
      <c r="AK1127" s="91"/>
      <c r="AL1127" s="91"/>
      <c r="AM1127" s="91"/>
      <c r="AN1127" s="91"/>
      <c r="AO1127" s="91"/>
      <c r="AP1127" s="91"/>
      <c r="AQ1127" s="91"/>
      <c r="AR1127" s="91"/>
      <c r="AS1127" s="91"/>
      <c r="AT1127" s="91"/>
      <c r="AU1127" s="91"/>
      <c r="AV1127" s="91"/>
      <c r="AW1127" s="91"/>
      <c r="AX1127" s="91"/>
      <c r="AY1127" s="91"/>
      <c r="AZ1127" s="91"/>
      <c r="BA1127" s="91"/>
      <c r="BB1127" s="91"/>
      <c r="BC1127" s="91"/>
      <c r="BD1127" s="91"/>
      <c r="BE1127" s="91"/>
      <c r="BF1127" s="92"/>
    </row>
    <row r="1128" spans="1:58" s="82" customFormat="1" ht="21" customHeight="1">
      <c r="A1128" s="1284" t="s">
        <v>1345</v>
      </c>
      <c r="B1128" s="1256" t="s">
        <v>1001</v>
      </c>
      <c r="C1128" s="1224" t="s">
        <v>993</v>
      </c>
      <c r="D1128" s="84" t="s">
        <v>429</v>
      </c>
      <c r="E1128" s="85">
        <f t="shared" ref="E1128:J1128" si="389">E1129+E1130+E1131+E1132+E1133+E1134+E1135+E1136+E1137+E1138+E1139+E1140</f>
        <v>1.5799116415180803</v>
      </c>
      <c r="F1128" s="85">
        <f t="shared" si="389"/>
        <v>1.5799116415180803</v>
      </c>
      <c r="G1128" s="85">
        <f t="shared" si="389"/>
        <v>0</v>
      </c>
      <c r="H1128" s="85">
        <f t="shared" si="389"/>
        <v>0</v>
      </c>
      <c r="I1128" s="85">
        <f t="shared" si="389"/>
        <v>0</v>
      </c>
      <c r="J1128" s="85">
        <f t="shared" si="389"/>
        <v>0</v>
      </c>
      <c r="K1128" s="148">
        <v>0</v>
      </c>
      <c r="L1128" s="497">
        <f t="shared" si="386"/>
        <v>1.5799116415180803</v>
      </c>
      <c r="M1128" s="99"/>
      <c r="N1128" s="88"/>
      <c r="O1128" s="89"/>
      <c r="P1128" s="1218"/>
      <c r="Q1128" s="91"/>
      <c r="R1128" s="91"/>
      <c r="S1128" s="91"/>
      <c r="T1128" s="91"/>
      <c r="U1128" s="91"/>
      <c r="V1128" s="91"/>
      <c r="W1128" s="91"/>
      <c r="X1128" s="91"/>
      <c r="Y1128" s="91"/>
      <c r="Z1128" s="91"/>
      <c r="AA1128" s="91"/>
      <c r="AB1128" s="91"/>
      <c r="AC1128" s="91"/>
      <c r="AD1128" s="91"/>
      <c r="AE1128" s="91"/>
      <c r="AF1128" s="91"/>
      <c r="AG1128" s="91"/>
      <c r="AH1128" s="91"/>
      <c r="AI1128" s="91"/>
      <c r="AJ1128" s="91"/>
      <c r="AK1128" s="91"/>
      <c r="AL1128" s="91"/>
      <c r="AM1128" s="91"/>
      <c r="AN1128" s="91"/>
      <c r="AO1128" s="91"/>
      <c r="AP1128" s="91"/>
      <c r="AQ1128" s="91"/>
      <c r="AR1128" s="91"/>
      <c r="AS1128" s="91"/>
      <c r="AT1128" s="91"/>
      <c r="AU1128" s="91"/>
      <c r="AV1128" s="91"/>
      <c r="AW1128" s="91"/>
      <c r="AX1128" s="91"/>
      <c r="AY1128" s="91"/>
      <c r="AZ1128" s="91"/>
      <c r="BA1128" s="91"/>
      <c r="BB1128" s="91"/>
      <c r="BC1128" s="91"/>
      <c r="BD1128" s="91"/>
      <c r="BE1128" s="91"/>
      <c r="BF1128" s="92"/>
    </row>
    <row r="1129" spans="1:58" s="82" customFormat="1">
      <c r="A1129" s="1296"/>
      <c r="B1129" s="1259"/>
      <c r="C1129" s="1225"/>
      <c r="D1129" s="84">
        <v>2019</v>
      </c>
      <c r="E1129" s="85">
        <f t="shared" ref="E1129:E1140" si="390">F1129+G1129+H1129+I1129+J1129</f>
        <v>0.05</v>
      </c>
      <c r="F1129" s="85">
        <v>0.05</v>
      </c>
      <c r="G1129" s="85">
        <v>0</v>
      </c>
      <c r="H1129" s="85">
        <v>0</v>
      </c>
      <c r="I1129" s="85">
        <v>0</v>
      </c>
      <c r="J1129" s="85">
        <v>0</v>
      </c>
      <c r="K1129" s="148">
        <v>0</v>
      </c>
      <c r="L1129" s="497">
        <f t="shared" si="386"/>
        <v>0.05</v>
      </c>
      <c r="M1129" s="99"/>
      <c r="N1129" s="88"/>
      <c r="O1129" s="89"/>
      <c r="P1129" s="1218"/>
      <c r="Q1129" s="91"/>
      <c r="R1129" s="91"/>
      <c r="S1129" s="91"/>
      <c r="T1129" s="91"/>
      <c r="U1129" s="91"/>
      <c r="V1129" s="91"/>
      <c r="W1129" s="91"/>
      <c r="X1129" s="91"/>
      <c r="Y1129" s="91"/>
      <c r="Z1129" s="91"/>
      <c r="AA1129" s="91"/>
      <c r="AB1129" s="91"/>
      <c r="AC1129" s="91"/>
      <c r="AD1129" s="91"/>
      <c r="AE1129" s="91"/>
      <c r="AF1129" s="91"/>
      <c r="AG1129" s="91"/>
      <c r="AH1129" s="91"/>
      <c r="AI1129" s="91"/>
      <c r="AJ1129" s="91"/>
      <c r="AK1129" s="91"/>
      <c r="AL1129" s="91"/>
      <c r="AM1129" s="91"/>
      <c r="AN1129" s="91"/>
      <c r="AO1129" s="91"/>
      <c r="AP1129" s="91"/>
      <c r="AQ1129" s="91"/>
      <c r="AR1129" s="91"/>
      <c r="AS1129" s="91"/>
      <c r="AT1129" s="91"/>
      <c r="AU1129" s="91"/>
      <c r="AV1129" s="91"/>
      <c r="AW1129" s="91"/>
      <c r="AX1129" s="91"/>
      <c r="AY1129" s="91"/>
      <c r="AZ1129" s="91"/>
      <c r="BA1129" s="91"/>
      <c r="BB1129" s="91"/>
      <c r="BC1129" s="91"/>
      <c r="BD1129" s="91"/>
      <c r="BE1129" s="91"/>
      <c r="BF1129" s="92"/>
    </row>
    <row r="1130" spans="1:58" s="82" customFormat="1">
      <c r="A1130" s="1296"/>
      <c r="B1130" s="1259"/>
      <c r="C1130" s="1225"/>
      <c r="D1130" s="84">
        <v>2020</v>
      </c>
      <c r="E1130" s="85">
        <f t="shared" si="390"/>
        <v>0</v>
      </c>
      <c r="F1130" s="85">
        <v>0</v>
      </c>
      <c r="G1130" s="85">
        <v>0</v>
      </c>
      <c r="H1130" s="85">
        <v>0</v>
      </c>
      <c r="I1130" s="85">
        <v>0</v>
      </c>
      <c r="J1130" s="85">
        <v>0</v>
      </c>
      <c r="K1130" s="148">
        <v>0</v>
      </c>
      <c r="L1130" s="497">
        <f t="shared" si="386"/>
        <v>0</v>
      </c>
      <c r="M1130" s="99"/>
      <c r="N1130" s="88"/>
      <c r="O1130" s="89"/>
      <c r="P1130" s="1218"/>
      <c r="Q1130" s="91"/>
      <c r="R1130" s="91"/>
      <c r="S1130" s="91"/>
      <c r="T1130" s="91"/>
      <c r="U1130" s="91"/>
      <c r="V1130" s="91"/>
      <c r="W1130" s="91"/>
      <c r="X1130" s="91"/>
      <c r="Y1130" s="91"/>
      <c r="Z1130" s="91"/>
      <c r="AA1130" s="91"/>
      <c r="AB1130" s="91"/>
      <c r="AC1130" s="91"/>
      <c r="AD1130" s="91"/>
      <c r="AE1130" s="91"/>
      <c r="AF1130" s="91"/>
      <c r="AG1130" s="91"/>
      <c r="AH1130" s="91"/>
      <c r="AI1130" s="91"/>
      <c r="AJ1130" s="91"/>
      <c r="AK1130" s="91"/>
      <c r="AL1130" s="91"/>
      <c r="AM1130" s="91"/>
      <c r="AN1130" s="91"/>
      <c r="AO1130" s="91"/>
      <c r="AP1130" s="91"/>
      <c r="AQ1130" s="91"/>
      <c r="AR1130" s="91"/>
      <c r="AS1130" s="91"/>
      <c r="AT1130" s="91"/>
      <c r="AU1130" s="91"/>
      <c r="AV1130" s="91"/>
      <c r="AW1130" s="91"/>
      <c r="AX1130" s="91"/>
      <c r="AY1130" s="91"/>
      <c r="AZ1130" s="91"/>
      <c r="BA1130" s="91"/>
      <c r="BB1130" s="91"/>
      <c r="BC1130" s="91"/>
      <c r="BD1130" s="91"/>
      <c r="BE1130" s="91"/>
      <c r="BF1130" s="92"/>
    </row>
    <row r="1131" spans="1:58" s="82" customFormat="1">
      <c r="A1131" s="1296"/>
      <c r="B1131" s="1259"/>
      <c r="C1131" s="1225"/>
      <c r="D1131" s="84">
        <v>2021</v>
      </c>
      <c r="E1131" s="85">
        <f t="shared" si="390"/>
        <v>0.05</v>
      </c>
      <c r="F1131" s="85">
        <v>0.05</v>
      </c>
      <c r="G1131" s="85">
        <v>0</v>
      </c>
      <c r="H1131" s="85">
        <v>0</v>
      </c>
      <c r="I1131" s="85">
        <v>0</v>
      </c>
      <c r="J1131" s="85">
        <v>0</v>
      </c>
      <c r="K1131" s="148">
        <v>0</v>
      </c>
      <c r="L1131" s="497">
        <f t="shared" si="386"/>
        <v>0.05</v>
      </c>
      <c r="M1131" s="99"/>
      <c r="N1131" s="88"/>
      <c r="O1131" s="89"/>
      <c r="P1131" s="1218"/>
      <c r="Q1131" s="91"/>
      <c r="R1131" s="91"/>
      <c r="S1131" s="91"/>
      <c r="T1131" s="91"/>
      <c r="U1131" s="91"/>
      <c r="V1131" s="91"/>
      <c r="W1131" s="91"/>
      <c r="X1131" s="91"/>
      <c r="Y1131" s="91"/>
      <c r="Z1131" s="91"/>
      <c r="AA1131" s="91"/>
      <c r="AB1131" s="91"/>
      <c r="AC1131" s="91"/>
      <c r="AD1131" s="91"/>
      <c r="AE1131" s="91"/>
      <c r="AF1131" s="91"/>
      <c r="AG1131" s="91"/>
      <c r="AH1131" s="91"/>
      <c r="AI1131" s="91"/>
      <c r="AJ1131" s="91"/>
      <c r="AK1131" s="91"/>
      <c r="AL1131" s="91"/>
      <c r="AM1131" s="91"/>
      <c r="AN1131" s="91"/>
      <c r="AO1131" s="91"/>
      <c r="AP1131" s="91"/>
      <c r="AQ1131" s="91"/>
      <c r="AR1131" s="91"/>
      <c r="AS1131" s="91"/>
      <c r="AT1131" s="91"/>
      <c r="AU1131" s="91"/>
      <c r="AV1131" s="91"/>
      <c r="AW1131" s="91"/>
      <c r="AX1131" s="91"/>
      <c r="AY1131" s="91"/>
      <c r="AZ1131" s="91"/>
      <c r="BA1131" s="91"/>
      <c r="BB1131" s="91"/>
      <c r="BC1131" s="91"/>
      <c r="BD1131" s="91"/>
      <c r="BE1131" s="91"/>
      <c r="BF1131" s="92"/>
    </row>
    <row r="1132" spans="1:58" s="82" customFormat="1">
      <c r="A1132" s="1296"/>
      <c r="B1132" s="1259"/>
      <c r="C1132" s="1225"/>
      <c r="D1132" s="84">
        <v>2022</v>
      </c>
      <c r="E1132" s="85">
        <f t="shared" si="390"/>
        <v>0.05</v>
      </c>
      <c r="F1132" s="85">
        <v>0.05</v>
      </c>
      <c r="G1132" s="85">
        <v>0</v>
      </c>
      <c r="H1132" s="85">
        <v>0</v>
      </c>
      <c r="I1132" s="85">
        <v>0</v>
      </c>
      <c r="J1132" s="85">
        <v>0</v>
      </c>
      <c r="K1132" s="148">
        <v>0</v>
      </c>
      <c r="L1132" s="497">
        <f t="shared" si="386"/>
        <v>0.05</v>
      </c>
      <c r="M1132" s="99"/>
      <c r="N1132" s="88"/>
      <c r="O1132" s="89"/>
      <c r="P1132" s="1218"/>
      <c r="Q1132" s="91"/>
      <c r="R1132" s="91"/>
      <c r="S1132" s="91"/>
      <c r="T1132" s="91"/>
      <c r="U1132" s="91"/>
      <c r="V1132" s="91"/>
      <c r="W1132" s="91"/>
      <c r="X1132" s="91"/>
      <c r="Y1132" s="91"/>
      <c r="Z1132" s="91"/>
      <c r="AA1132" s="91"/>
      <c r="AB1132" s="91"/>
      <c r="AC1132" s="91"/>
      <c r="AD1132" s="91"/>
      <c r="AE1132" s="91"/>
      <c r="AF1132" s="91"/>
      <c r="AG1132" s="91"/>
      <c r="AH1132" s="91"/>
      <c r="AI1132" s="91"/>
      <c r="AJ1132" s="91"/>
      <c r="AK1132" s="91"/>
      <c r="AL1132" s="91"/>
      <c r="AM1132" s="91"/>
      <c r="AN1132" s="91"/>
      <c r="AO1132" s="91"/>
      <c r="AP1132" s="91"/>
      <c r="AQ1132" s="91"/>
      <c r="AR1132" s="91"/>
      <c r="AS1132" s="91"/>
      <c r="AT1132" s="91"/>
      <c r="AU1132" s="91"/>
      <c r="AV1132" s="91"/>
      <c r="AW1132" s="91"/>
      <c r="AX1132" s="91"/>
      <c r="AY1132" s="91"/>
      <c r="AZ1132" s="91"/>
      <c r="BA1132" s="91"/>
      <c r="BB1132" s="91"/>
      <c r="BC1132" s="91"/>
      <c r="BD1132" s="91"/>
      <c r="BE1132" s="91"/>
      <c r="BF1132" s="92"/>
    </row>
    <row r="1133" spans="1:58" s="82" customFormat="1">
      <c r="A1133" s="1296"/>
      <c r="B1133" s="1259"/>
      <c r="C1133" s="1225"/>
      <c r="D1133" s="84">
        <v>2023</v>
      </c>
      <c r="E1133" s="85">
        <f t="shared" si="390"/>
        <v>0.05</v>
      </c>
      <c r="F1133" s="85">
        <v>0.05</v>
      </c>
      <c r="G1133" s="85">
        <v>0</v>
      </c>
      <c r="H1133" s="85">
        <v>0</v>
      </c>
      <c r="I1133" s="85">
        <v>0</v>
      </c>
      <c r="J1133" s="85">
        <v>0</v>
      </c>
      <c r="K1133" s="148">
        <v>0</v>
      </c>
      <c r="L1133" s="497">
        <f t="shared" si="386"/>
        <v>0.05</v>
      </c>
      <c r="M1133" s="99"/>
      <c r="N1133" s="88"/>
      <c r="O1133" s="89"/>
      <c r="P1133" s="1218"/>
      <c r="Q1133" s="91"/>
      <c r="R1133" s="91"/>
      <c r="S1133" s="91"/>
      <c r="T1133" s="91"/>
      <c r="U1133" s="91"/>
      <c r="V1133" s="91"/>
      <c r="W1133" s="91"/>
      <c r="X1133" s="91"/>
      <c r="Y1133" s="91"/>
      <c r="Z1133" s="91"/>
      <c r="AA1133" s="91"/>
      <c r="AB1133" s="91"/>
      <c r="AC1133" s="91"/>
      <c r="AD1133" s="91"/>
      <c r="AE1133" s="91"/>
      <c r="AF1133" s="91"/>
      <c r="AG1133" s="91"/>
      <c r="AH1133" s="91"/>
      <c r="AI1133" s="91"/>
      <c r="AJ1133" s="91"/>
      <c r="AK1133" s="91"/>
      <c r="AL1133" s="91"/>
      <c r="AM1133" s="91"/>
      <c r="AN1133" s="91"/>
      <c r="AO1133" s="91"/>
      <c r="AP1133" s="91"/>
      <c r="AQ1133" s="91"/>
      <c r="AR1133" s="91"/>
      <c r="AS1133" s="91"/>
      <c r="AT1133" s="91"/>
      <c r="AU1133" s="91"/>
      <c r="AV1133" s="91"/>
      <c r="AW1133" s="91"/>
      <c r="AX1133" s="91"/>
      <c r="AY1133" s="91"/>
      <c r="AZ1133" s="91"/>
      <c r="BA1133" s="91"/>
      <c r="BB1133" s="91"/>
      <c r="BC1133" s="91"/>
      <c r="BD1133" s="91"/>
      <c r="BE1133" s="91"/>
      <c r="BF1133" s="92"/>
    </row>
    <row r="1134" spans="1:58" s="82" customFormat="1">
      <c r="A1134" s="1296"/>
      <c r="B1134" s="1259"/>
      <c r="C1134" s="1225"/>
      <c r="D1134" s="84">
        <v>2024</v>
      </c>
      <c r="E1134" s="85">
        <f t="shared" si="390"/>
        <v>0.17469999999999999</v>
      </c>
      <c r="F1134" s="85">
        <v>0.17469999999999999</v>
      </c>
      <c r="G1134" s="85">
        <v>0</v>
      </c>
      <c r="H1134" s="85">
        <v>0</v>
      </c>
      <c r="I1134" s="85">
        <v>0</v>
      </c>
      <c r="J1134" s="85">
        <v>0</v>
      </c>
      <c r="K1134" s="148">
        <v>0</v>
      </c>
      <c r="L1134" s="497">
        <f t="shared" si="386"/>
        <v>0.17469999999999999</v>
      </c>
      <c r="M1134" s="99"/>
      <c r="N1134" s="88"/>
      <c r="O1134" s="89"/>
      <c r="P1134" s="1218"/>
      <c r="Q1134" s="91"/>
      <c r="R1134" s="91"/>
      <c r="S1134" s="91"/>
      <c r="T1134" s="91"/>
      <c r="U1134" s="91"/>
      <c r="V1134" s="91"/>
      <c r="W1134" s="91"/>
      <c r="X1134" s="91"/>
      <c r="Y1134" s="91"/>
      <c r="Z1134" s="91"/>
      <c r="AA1134" s="91"/>
      <c r="AB1134" s="91"/>
      <c r="AC1134" s="91"/>
      <c r="AD1134" s="91"/>
      <c r="AE1134" s="91"/>
      <c r="AF1134" s="91"/>
      <c r="AG1134" s="91"/>
      <c r="AH1134" s="91"/>
      <c r="AI1134" s="91"/>
      <c r="AJ1134" s="91"/>
      <c r="AK1134" s="91"/>
      <c r="AL1134" s="91"/>
      <c r="AM1134" s="91"/>
      <c r="AN1134" s="91"/>
      <c r="AO1134" s="91"/>
      <c r="AP1134" s="91"/>
      <c r="AQ1134" s="91"/>
      <c r="AR1134" s="91"/>
      <c r="AS1134" s="91"/>
      <c r="AT1134" s="91"/>
      <c r="AU1134" s="91"/>
      <c r="AV1134" s="91"/>
      <c r="AW1134" s="91"/>
      <c r="AX1134" s="91"/>
      <c r="AY1134" s="91"/>
      <c r="AZ1134" s="91"/>
      <c r="BA1134" s="91"/>
      <c r="BB1134" s="91"/>
      <c r="BC1134" s="91"/>
      <c r="BD1134" s="91"/>
      <c r="BE1134" s="91"/>
      <c r="BF1134" s="92"/>
    </row>
    <row r="1135" spans="1:58" s="82" customFormat="1">
      <c r="A1135" s="1296"/>
      <c r="B1135" s="1259"/>
      <c r="C1135" s="1226"/>
      <c r="D1135" s="84">
        <v>2025</v>
      </c>
      <c r="E1135" s="85">
        <f t="shared" si="390"/>
        <v>0.1817</v>
      </c>
      <c r="F1135" s="85">
        <v>0.1817</v>
      </c>
      <c r="G1135" s="85">
        <v>0</v>
      </c>
      <c r="H1135" s="85">
        <v>0</v>
      </c>
      <c r="I1135" s="85">
        <v>0</v>
      </c>
      <c r="J1135" s="85">
        <v>0</v>
      </c>
      <c r="K1135" s="148">
        <v>0</v>
      </c>
      <c r="L1135" s="497">
        <f t="shared" si="386"/>
        <v>0.1817</v>
      </c>
      <c r="M1135" s="99"/>
      <c r="N1135" s="88"/>
      <c r="O1135" s="89"/>
      <c r="P1135" s="1218"/>
      <c r="Q1135" s="91"/>
      <c r="R1135" s="91"/>
      <c r="S1135" s="91"/>
      <c r="T1135" s="91"/>
      <c r="U1135" s="91"/>
      <c r="V1135" s="91"/>
      <c r="W1135" s="91"/>
      <c r="X1135" s="91"/>
      <c r="Y1135" s="91"/>
      <c r="Z1135" s="91"/>
      <c r="AA1135" s="91"/>
      <c r="AB1135" s="91"/>
      <c r="AC1135" s="91"/>
      <c r="AD1135" s="91"/>
      <c r="AE1135" s="91"/>
      <c r="AF1135" s="91"/>
      <c r="AG1135" s="91"/>
      <c r="AH1135" s="91"/>
      <c r="AI1135" s="91"/>
      <c r="AJ1135" s="91"/>
      <c r="AK1135" s="91"/>
      <c r="AL1135" s="91"/>
      <c r="AM1135" s="91"/>
      <c r="AN1135" s="91"/>
      <c r="AO1135" s="91"/>
      <c r="AP1135" s="91"/>
      <c r="AQ1135" s="91"/>
      <c r="AR1135" s="91"/>
      <c r="AS1135" s="91"/>
      <c r="AT1135" s="91"/>
      <c r="AU1135" s="91"/>
      <c r="AV1135" s="91"/>
      <c r="AW1135" s="91"/>
      <c r="AX1135" s="91"/>
      <c r="AY1135" s="91"/>
      <c r="AZ1135" s="91"/>
      <c r="BA1135" s="91"/>
      <c r="BB1135" s="91"/>
      <c r="BC1135" s="91"/>
      <c r="BD1135" s="91"/>
      <c r="BE1135" s="91"/>
      <c r="BF1135" s="92"/>
    </row>
    <row r="1136" spans="1:58" s="82" customFormat="1" ht="12.75" customHeight="1">
      <c r="A1136" s="670"/>
      <c r="B1136" s="644"/>
      <c r="C1136" s="1224" t="s">
        <v>1002</v>
      </c>
      <c r="D1136" s="84">
        <v>2026</v>
      </c>
      <c r="E1136" s="85">
        <f t="shared" si="390"/>
        <v>0.188968</v>
      </c>
      <c r="F1136" s="85">
        <f t="shared" ref="F1136:J1140" si="391">F1135*1.04</f>
        <v>0.188968</v>
      </c>
      <c r="G1136" s="85">
        <f t="shared" si="391"/>
        <v>0</v>
      </c>
      <c r="H1136" s="85">
        <f t="shared" si="391"/>
        <v>0</v>
      </c>
      <c r="I1136" s="85">
        <f t="shared" si="391"/>
        <v>0</v>
      </c>
      <c r="J1136" s="85">
        <f t="shared" si="391"/>
        <v>0</v>
      </c>
      <c r="K1136" s="148">
        <v>0</v>
      </c>
      <c r="L1136" s="497">
        <f t="shared" si="386"/>
        <v>0.188968</v>
      </c>
      <c r="M1136" s="99"/>
      <c r="N1136" s="88"/>
      <c r="O1136" s="89"/>
      <c r="P1136" s="1218"/>
      <c r="Q1136" s="91"/>
      <c r="R1136" s="91"/>
      <c r="S1136" s="91"/>
      <c r="T1136" s="91"/>
      <c r="U1136" s="91"/>
      <c r="V1136" s="91"/>
      <c r="W1136" s="91"/>
      <c r="X1136" s="91"/>
      <c r="Y1136" s="91"/>
      <c r="Z1136" s="91"/>
      <c r="AA1136" s="91"/>
      <c r="AB1136" s="91"/>
      <c r="AC1136" s="91"/>
      <c r="AD1136" s="91"/>
      <c r="AE1136" s="91"/>
      <c r="AF1136" s="91"/>
      <c r="AG1136" s="91"/>
      <c r="AH1136" s="91"/>
      <c r="AI1136" s="91"/>
      <c r="AJ1136" s="91"/>
      <c r="AK1136" s="91"/>
      <c r="AL1136" s="91"/>
      <c r="AM1136" s="91"/>
      <c r="AN1136" s="91"/>
      <c r="AO1136" s="91"/>
      <c r="AP1136" s="91"/>
      <c r="AQ1136" s="91"/>
      <c r="AR1136" s="91"/>
      <c r="AS1136" s="91"/>
      <c r="AT1136" s="91"/>
      <c r="AU1136" s="91"/>
      <c r="AV1136" s="91"/>
      <c r="AW1136" s="91"/>
      <c r="AX1136" s="91"/>
      <c r="AY1136" s="91"/>
      <c r="AZ1136" s="91"/>
      <c r="BA1136" s="91"/>
      <c r="BB1136" s="91"/>
      <c r="BC1136" s="91"/>
      <c r="BD1136" s="91"/>
      <c r="BE1136" s="91"/>
      <c r="BF1136" s="92"/>
    </row>
    <row r="1137" spans="1:58" s="82" customFormat="1">
      <c r="A1137" s="670"/>
      <c r="B1137" s="644"/>
      <c r="C1137" s="1225"/>
      <c r="D1137" s="84">
        <v>2027</v>
      </c>
      <c r="E1137" s="85">
        <f t="shared" si="390"/>
        <v>0.19652672000000002</v>
      </c>
      <c r="F1137" s="85">
        <f t="shared" si="391"/>
        <v>0.19652672000000002</v>
      </c>
      <c r="G1137" s="85">
        <f t="shared" si="391"/>
        <v>0</v>
      </c>
      <c r="H1137" s="85">
        <f t="shared" si="391"/>
        <v>0</v>
      </c>
      <c r="I1137" s="85">
        <f t="shared" si="391"/>
        <v>0</v>
      </c>
      <c r="J1137" s="85">
        <f t="shared" si="391"/>
        <v>0</v>
      </c>
      <c r="K1137" s="148">
        <v>0</v>
      </c>
      <c r="L1137" s="497">
        <f t="shared" si="386"/>
        <v>0.19652672000000002</v>
      </c>
      <c r="M1137" s="99"/>
      <c r="N1137" s="88"/>
      <c r="O1137" s="89"/>
      <c r="P1137" s="1218"/>
      <c r="Q1137" s="91"/>
      <c r="R1137" s="91"/>
      <c r="S1137" s="91"/>
      <c r="T1137" s="91"/>
      <c r="U1137" s="91"/>
      <c r="V1137" s="91"/>
      <c r="W1137" s="91"/>
      <c r="X1137" s="91"/>
      <c r="Y1137" s="91"/>
      <c r="Z1137" s="91"/>
      <c r="AA1137" s="91"/>
      <c r="AB1137" s="91"/>
      <c r="AC1137" s="91"/>
      <c r="AD1137" s="91"/>
      <c r="AE1137" s="91"/>
      <c r="AF1137" s="91"/>
      <c r="AG1137" s="91"/>
      <c r="AH1137" s="91"/>
      <c r="AI1137" s="91"/>
      <c r="AJ1137" s="91"/>
      <c r="AK1137" s="91"/>
      <c r="AL1137" s="91"/>
      <c r="AM1137" s="91"/>
      <c r="AN1137" s="91"/>
      <c r="AO1137" s="91"/>
      <c r="AP1137" s="91"/>
      <c r="AQ1137" s="91"/>
      <c r="AR1137" s="91"/>
      <c r="AS1137" s="91"/>
      <c r="AT1137" s="91"/>
      <c r="AU1137" s="91"/>
      <c r="AV1137" s="91"/>
      <c r="AW1137" s="91"/>
      <c r="AX1137" s="91"/>
      <c r="AY1137" s="91"/>
      <c r="AZ1137" s="91"/>
      <c r="BA1137" s="91"/>
      <c r="BB1137" s="91"/>
      <c r="BC1137" s="91"/>
      <c r="BD1137" s="91"/>
      <c r="BE1137" s="91"/>
      <c r="BF1137" s="92"/>
    </row>
    <row r="1138" spans="1:58" s="82" customFormat="1">
      <c r="A1138" s="670"/>
      <c r="B1138" s="644"/>
      <c r="C1138" s="1225"/>
      <c r="D1138" s="84">
        <v>2028</v>
      </c>
      <c r="E1138" s="85">
        <f t="shared" si="390"/>
        <v>0.20438778880000003</v>
      </c>
      <c r="F1138" s="85">
        <f t="shared" si="391"/>
        <v>0.20438778880000003</v>
      </c>
      <c r="G1138" s="85">
        <f t="shared" si="391"/>
        <v>0</v>
      </c>
      <c r="H1138" s="85">
        <f t="shared" si="391"/>
        <v>0</v>
      </c>
      <c r="I1138" s="85">
        <f t="shared" si="391"/>
        <v>0</v>
      </c>
      <c r="J1138" s="85">
        <f t="shared" si="391"/>
        <v>0</v>
      </c>
      <c r="K1138" s="148">
        <v>0</v>
      </c>
      <c r="L1138" s="497">
        <f t="shared" si="386"/>
        <v>0.20438778880000003</v>
      </c>
      <c r="M1138" s="99"/>
      <c r="N1138" s="88"/>
      <c r="O1138" s="89"/>
      <c r="P1138" s="1218"/>
      <c r="Q1138" s="91"/>
      <c r="R1138" s="91"/>
      <c r="S1138" s="91"/>
      <c r="T1138" s="91"/>
      <c r="U1138" s="91"/>
      <c r="V1138" s="91"/>
      <c r="W1138" s="91"/>
      <c r="X1138" s="91"/>
      <c r="Y1138" s="91"/>
      <c r="Z1138" s="91"/>
      <c r="AA1138" s="91"/>
      <c r="AB1138" s="91"/>
      <c r="AC1138" s="91"/>
      <c r="AD1138" s="91"/>
      <c r="AE1138" s="91"/>
      <c r="AF1138" s="91"/>
      <c r="AG1138" s="91"/>
      <c r="AH1138" s="91"/>
      <c r="AI1138" s="91"/>
      <c r="AJ1138" s="91"/>
      <c r="AK1138" s="91"/>
      <c r="AL1138" s="91"/>
      <c r="AM1138" s="91"/>
      <c r="AN1138" s="91"/>
      <c r="AO1138" s="91"/>
      <c r="AP1138" s="91"/>
      <c r="AQ1138" s="91"/>
      <c r="AR1138" s="91"/>
      <c r="AS1138" s="91"/>
      <c r="AT1138" s="91"/>
      <c r="AU1138" s="91"/>
      <c r="AV1138" s="91"/>
      <c r="AW1138" s="91"/>
      <c r="AX1138" s="91"/>
      <c r="AY1138" s="91"/>
      <c r="AZ1138" s="91"/>
      <c r="BA1138" s="91"/>
      <c r="BB1138" s="91"/>
      <c r="BC1138" s="91"/>
      <c r="BD1138" s="91"/>
      <c r="BE1138" s="91"/>
      <c r="BF1138" s="92"/>
    </row>
    <row r="1139" spans="1:58" s="82" customFormat="1">
      <c r="A1139" s="670"/>
      <c r="B1139" s="644"/>
      <c r="C1139" s="1225"/>
      <c r="D1139" s="84">
        <v>2029</v>
      </c>
      <c r="E1139" s="85">
        <f t="shared" si="390"/>
        <v>0.21256330035200002</v>
      </c>
      <c r="F1139" s="85">
        <f t="shared" si="391"/>
        <v>0.21256330035200002</v>
      </c>
      <c r="G1139" s="85">
        <f t="shared" si="391"/>
        <v>0</v>
      </c>
      <c r="H1139" s="85">
        <f t="shared" si="391"/>
        <v>0</v>
      </c>
      <c r="I1139" s="85">
        <f t="shared" si="391"/>
        <v>0</v>
      </c>
      <c r="J1139" s="85">
        <f t="shared" si="391"/>
        <v>0</v>
      </c>
      <c r="K1139" s="148">
        <v>0</v>
      </c>
      <c r="L1139" s="497">
        <f t="shared" si="386"/>
        <v>0.21256330035200002</v>
      </c>
      <c r="M1139" s="99"/>
      <c r="N1139" s="88"/>
      <c r="O1139" s="89"/>
      <c r="P1139" s="1218"/>
      <c r="Q1139" s="91"/>
      <c r="R1139" s="91"/>
      <c r="S1139" s="91"/>
      <c r="T1139" s="91"/>
      <c r="U1139" s="91"/>
      <c r="V1139" s="91"/>
      <c r="W1139" s="91"/>
      <c r="X1139" s="91"/>
      <c r="Y1139" s="91"/>
      <c r="Z1139" s="91"/>
      <c r="AA1139" s="91"/>
      <c r="AB1139" s="91"/>
      <c r="AC1139" s="91"/>
      <c r="AD1139" s="91"/>
      <c r="AE1139" s="91"/>
      <c r="AF1139" s="91"/>
      <c r="AG1139" s="91"/>
      <c r="AH1139" s="91"/>
      <c r="AI1139" s="91"/>
      <c r="AJ1139" s="91"/>
      <c r="AK1139" s="91"/>
      <c r="AL1139" s="91"/>
      <c r="AM1139" s="91"/>
      <c r="AN1139" s="91"/>
      <c r="AO1139" s="91"/>
      <c r="AP1139" s="91"/>
      <c r="AQ1139" s="91"/>
      <c r="AR1139" s="91"/>
      <c r="AS1139" s="91"/>
      <c r="AT1139" s="91"/>
      <c r="AU1139" s="91"/>
      <c r="AV1139" s="91"/>
      <c r="AW1139" s="91"/>
      <c r="AX1139" s="91"/>
      <c r="AY1139" s="91"/>
      <c r="AZ1139" s="91"/>
      <c r="BA1139" s="91"/>
      <c r="BB1139" s="91"/>
      <c r="BC1139" s="91"/>
      <c r="BD1139" s="91"/>
      <c r="BE1139" s="91"/>
      <c r="BF1139" s="92"/>
    </row>
    <row r="1140" spans="1:58" s="82" customFormat="1">
      <c r="A1140" s="670"/>
      <c r="B1140" s="644"/>
      <c r="C1140" s="1225"/>
      <c r="D1140" s="84">
        <v>2030</v>
      </c>
      <c r="E1140" s="85">
        <f t="shared" si="390"/>
        <v>0.22106583236608005</v>
      </c>
      <c r="F1140" s="85">
        <f t="shared" si="391"/>
        <v>0.22106583236608005</v>
      </c>
      <c r="G1140" s="85">
        <f t="shared" si="391"/>
        <v>0</v>
      </c>
      <c r="H1140" s="85">
        <f t="shared" si="391"/>
        <v>0</v>
      </c>
      <c r="I1140" s="85">
        <f t="shared" si="391"/>
        <v>0</v>
      </c>
      <c r="J1140" s="85">
        <f t="shared" si="391"/>
        <v>0</v>
      </c>
      <c r="K1140" s="148">
        <v>0</v>
      </c>
      <c r="L1140" s="497">
        <f t="shared" si="386"/>
        <v>0.22106583236608005</v>
      </c>
      <c r="M1140" s="99"/>
      <c r="N1140" s="88"/>
      <c r="O1140" s="89"/>
      <c r="P1140" s="1218"/>
      <c r="Q1140" s="91"/>
      <c r="R1140" s="91"/>
      <c r="S1140" s="91"/>
      <c r="T1140" s="91"/>
      <c r="U1140" s="91"/>
      <c r="V1140" s="91"/>
      <c r="W1140" s="91"/>
      <c r="X1140" s="91"/>
      <c r="Y1140" s="91"/>
      <c r="Z1140" s="91"/>
      <c r="AA1140" s="91"/>
      <c r="AB1140" s="91"/>
      <c r="AC1140" s="91"/>
      <c r="AD1140" s="91"/>
      <c r="AE1140" s="91"/>
      <c r="AF1140" s="91"/>
      <c r="AG1140" s="91"/>
      <c r="AH1140" s="91"/>
      <c r="AI1140" s="91"/>
      <c r="AJ1140" s="91"/>
      <c r="AK1140" s="91"/>
      <c r="AL1140" s="91"/>
      <c r="AM1140" s="91"/>
      <c r="AN1140" s="91"/>
      <c r="AO1140" s="91"/>
      <c r="AP1140" s="91"/>
      <c r="AQ1140" s="91"/>
      <c r="AR1140" s="91"/>
      <c r="AS1140" s="91"/>
      <c r="AT1140" s="91"/>
      <c r="AU1140" s="91"/>
      <c r="AV1140" s="91"/>
      <c r="AW1140" s="91"/>
      <c r="AX1140" s="91"/>
      <c r="AY1140" s="91"/>
      <c r="AZ1140" s="91"/>
      <c r="BA1140" s="91"/>
      <c r="BB1140" s="91"/>
      <c r="BC1140" s="91"/>
      <c r="BD1140" s="91"/>
      <c r="BE1140" s="91"/>
      <c r="BF1140" s="92"/>
    </row>
    <row r="1141" spans="1:58" s="82" customFormat="1" ht="12.75" customHeight="1">
      <c r="A1141" s="1190" t="s">
        <v>1346</v>
      </c>
      <c r="B1141" s="1256" t="s">
        <v>1004</v>
      </c>
      <c r="C1141" s="1224" t="s">
        <v>1002</v>
      </c>
      <c r="D1141" s="84" t="s">
        <v>16</v>
      </c>
      <c r="E1141" s="85">
        <f t="shared" ref="E1141:J1141" si="392">E1142+E1143+E1144+E1145</f>
        <v>6</v>
      </c>
      <c r="F1141" s="85">
        <f t="shared" si="392"/>
        <v>6</v>
      </c>
      <c r="G1141" s="85">
        <f t="shared" si="392"/>
        <v>0</v>
      </c>
      <c r="H1141" s="85">
        <f t="shared" si="392"/>
        <v>0</v>
      </c>
      <c r="I1141" s="85">
        <f t="shared" si="392"/>
        <v>0</v>
      </c>
      <c r="J1141" s="85">
        <f t="shared" si="392"/>
        <v>0</v>
      </c>
      <c r="K1141" s="148">
        <v>0</v>
      </c>
      <c r="L1141" s="497">
        <f t="shared" si="386"/>
        <v>6</v>
      </c>
      <c r="M1141" s="99"/>
      <c r="N1141" s="88"/>
      <c r="O1141" s="89"/>
      <c r="P1141" s="1218"/>
      <c r="Q1141" s="91"/>
      <c r="R1141" s="91"/>
      <c r="S1141" s="91"/>
      <c r="T1141" s="91"/>
      <c r="U1141" s="91"/>
      <c r="V1141" s="91"/>
      <c r="W1141" s="91"/>
      <c r="X1141" s="91"/>
      <c r="Y1141" s="91"/>
      <c r="Z1141" s="91"/>
      <c r="AA1141" s="91"/>
      <c r="AB1141" s="91"/>
      <c r="AC1141" s="91"/>
      <c r="AD1141" s="91"/>
      <c r="AE1141" s="91"/>
      <c r="AF1141" s="91"/>
      <c r="AG1141" s="91"/>
      <c r="AH1141" s="91"/>
      <c r="AI1141" s="91"/>
      <c r="AJ1141" s="91"/>
      <c r="AK1141" s="91"/>
      <c r="AL1141" s="91"/>
      <c r="AM1141" s="91"/>
      <c r="AN1141" s="91"/>
      <c r="AO1141" s="91"/>
      <c r="AP1141" s="91"/>
      <c r="AQ1141" s="91"/>
      <c r="AR1141" s="91"/>
      <c r="AS1141" s="91"/>
      <c r="AT1141" s="91"/>
      <c r="AU1141" s="91"/>
      <c r="AV1141" s="91"/>
      <c r="AW1141" s="91"/>
      <c r="AX1141" s="91"/>
      <c r="AY1141" s="91"/>
      <c r="AZ1141" s="91"/>
      <c r="BA1141" s="91"/>
      <c r="BB1141" s="91"/>
      <c r="BC1141" s="91"/>
      <c r="BD1141" s="91"/>
      <c r="BE1141" s="91"/>
      <c r="BF1141" s="92"/>
    </row>
    <row r="1142" spans="1:58" s="82" customFormat="1">
      <c r="A1142" s="1191"/>
      <c r="B1142" s="1259"/>
      <c r="C1142" s="1225"/>
      <c r="D1142" s="84">
        <v>2026</v>
      </c>
      <c r="E1142" s="85">
        <f t="shared" ref="E1142:J1142" si="393">E1147</f>
        <v>1.5</v>
      </c>
      <c r="F1142" s="85">
        <f t="shared" si="393"/>
        <v>1.5</v>
      </c>
      <c r="G1142" s="85">
        <f t="shared" si="393"/>
        <v>0</v>
      </c>
      <c r="H1142" s="85">
        <f t="shared" si="393"/>
        <v>0</v>
      </c>
      <c r="I1142" s="85">
        <f t="shared" si="393"/>
        <v>0</v>
      </c>
      <c r="J1142" s="85">
        <f t="shared" si="393"/>
        <v>0</v>
      </c>
      <c r="K1142" s="148">
        <v>0</v>
      </c>
      <c r="L1142" s="497">
        <f t="shared" si="386"/>
        <v>1.5</v>
      </c>
      <c r="M1142" s="99"/>
      <c r="N1142" s="88"/>
      <c r="O1142" s="89"/>
      <c r="P1142" s="1218"/>
      <c r="Q1142" s="91"/>
      <c r="R1142" s="91"/>
      <c r="S1142" s="91"/>
      <c r="T1142" s="91"/>
      <c r="U1142" s="91"/>
      <c r="V1142" s="91"/>
      <c r="W1142" s="91"/>
      <c r="X1142" s="91"/>
      <c r="Y1142" s="91"/>
      <c r="Z1142" s="91"/>
      <c r="AA1142" s="91"/>
      <c r="AB1142" s="91"/>
      <c r="AC1142" s="91"/>
      <c r="AD1142" s="91"/>
      <c r="AE1142" s="91"/>
      <c r="AF1142" s="91"/>
      <c r="AG1142" s="91"/>
      <c r="AH1142" s="91"/>
      <c r="AI1142" s="91"/>
      <c r="AJ1142" s="91"/>
      <c r="AK1142" s="91"/>
      <c r="AL1142" s="91"/>
      <c r="AM1142" s="91"/>
      <c r="AN1142" s="91"/>
      <c r="AO1142" s="91"/>
      <c r="AP1142" s="91"/>
      <c r="AQ1142" s="91"/>
      <c r="AR1142" s="91"/>
      <c r="AS1142" s="91"/>
      <c r="AT1142" s="91"/>
      <c r="AU1142" s="91"/>
      <c r="AV1142" s="91"/>
      <c r="AW1142" s="91"/>
      <c r="AX1142" s="91"/>
      <c r="AY1142" s="91"/>
      <c r="AZ1142" s="91"/>
      <c r="BA1142" s="91"/>
      <c r="BB1142" s="91"/>
      <c r="BC1142" s="91"/>
      <c r="BD1142" s="91"/>
      <c r="BE1142" s="91"/>
      <c r="BF1142" s="92"/>
    </row>
    <row r="1143" spans="1:58" s="82" customFormat="1">
      <c r="A1143" s="1191"/>
      <c r="B1143" s="1259"/>
      <c r="C1143" s="1225"/>
      <c r="D1143" s="533">
        <v>2027</v>
      </c>
      <c r="E1143" s="85">
        <f t="shared" ref="E1143:J1143" si="394">E1153</f>
        <v>1.5</v>
      </c>
      <c r="F1143" s="85">
        <f t="shared" si="394"/>
        <v>1.5</v>
      </c>
      <c r="G1143" s="85">
        <f t="shared" si="394"/>
        <v>0</v>
      </c>
      <c r="H1143" s="85">
        <f t="shared" si="394"/>
        <v>0</v>
      </c>
      <c r="I1143" s="85">
        <f t="shared" si="394"/>
        <v>0</v>
      </c>
      <c r="J1143" s="85">
        <f t="shared" si="394"/>
        <v>0</v>
      </c>
      <c r="K1143" s="148">
        <v>0</v>
      </c>
      <c r="L1143" s="497">
        <f t="shared" si="386"/>
        <v>1.5</v>
      </c>
      <c r="M1143" s="99"/>
      <c r="N1143" s="88"/>
      <c r="O1143" s="89"/>
      <c r="P1143" s="1218"/>
      <c r="Q1143" s="91"/>
      <c r="R1143" s="91"/>
      <c r="S1143" s="91"/>
      <c r="T1143" s="91"/>
      <c r="U1143" s="91"/>
      <c r="V1143" s="91"/>
      <c r="W1143" s="91"/>
      <c r="X1143" s="91"/>
      <c r="Y1143" s="91"/>
      <c r="Z1143" s="91"/>
      <c r="AA1143" s="91"/>
      <c r="AB1143" s="91"/>
      <c r="AC1143" s="91"/>
      <c r="AD1143" s="91"/>
      <c r="AE1143" s="91"/>
      <c r="AF1143" s="91"/>
      <c r="AG1143" s="91"/>
      <c r="AH1143" s="91"/>
      <c r="AI1143" s="91"/>
      <c r="AJ1143" s="91"/>
      <c r="AK1143" s="91"/>
      <c r="AL1143" s="91"/>
      <c r="AM1143" s="91"/>
      <c r="AN1143" s="91"/>
      <c r="AO1143" s="91"/>
      <c r="AP1143" s="91"/>
      <c r="AQ1143" s="91"/>
      <c r="AR1143" s="91"/>
      <c r="AS1143" s="91"/>
      <c r="AT1143" s="91"/>
      <c r="AU1143" s="91"/>
      <c r="AV1143" s="91"/>
      <c r="AW1143" s="91"/>
      <c r="AX1143" s="91"/>
      <c r="AY1143" s="91"/>
      <c r="AZ1143" s="91"/>
      <c r="BA1143" s="91"/>
      <c r="BB1143" s="91"/>
      <c r="BC1143" s="91"/>
      <c r="BD1143" s="91"/>
      <c r="BE1143" s="91"/>
      <c r="BF1143" s="92"/>
    </row>
    <row r="1144" spans="1:58" s="82" customFormat="1">
      <c r="A1144" s="1191"/>
      <c r="B1144" s="1259"/>
      <c r="C1144" s="1225"/>
      <c r="D1144" s="84">
        <v>2028</v>
      </c>
      <c r="E1144" s="85">
        <f t="shared" ref="E1144:J1144" si="395">E1151</f>
        <v>1.5</v>
      </c>
      <c r="F1144" s="85">
        <f t="shared" si="395"/>
        <v>1.5</v>
      </c>
      <c r="G1144" s="85">
        <f t="shared" si="395"/>
        <v>0</v>
      </c>
      <c r="H1144" s="85">
        <f t="shared" si="395"/>
        <v>0</v>
      </c>
      <c r="I1144" s="85">
        <f t="shared" si="395"/>
        <v>0</v>
      </c>
      <c r="J1144" s="85">
        <f t="shared" si="395"/>
        <v>0</v>
      </c>
      <c r="K1144" s="148">
        <v>0</v>
      </c>
      <c r="L1144" s="497">
        <f t="shared" si="386"/>
        <v>1.5</v>
      </c>
      <c r="M1144" s="99"/>
      <c r="N1144" s="88"/>
      <c r="O1144" s="89"/>
      <c r="P1144" s="1218"/>
      <c r="Q1144" s="91"/>
      <c r="R1144" s="91"/>
      <c r="S1144" s="91"/>
      <c r="T1144" s="91"/>
      <c r="U1144" s="91"/>
      <c r="V1144" s="91"/>
      <c r="W1144" s="91"/>
      <c r="X1144" s="91"/>
      <c r="Y1144" s="91"/>
      <c r="Z1144" s="91"/>
      <c r="AA1144" s="91"/>
      <c r="AB1144" s="91"/>
      <c r="AC1144" s="91"/>
      <c r="AD1144" s="91"/>
      <c r="AE1144" s="91"/>
      <c r="AF1144" s="91"/>
      <c r="AG1144" s="91"/>
      <c r="AH1144" s="91"/>
      <c r="AI1144" s="91"/>
      <c r="AJ1144" s="91"/>
      <c r="AK1144" s="91"/>
      <c r="AL1144" s="91"/>
      <c r="AM1144" s="91"/>
      <c r="AN1144" s="91"/>
      <c r="AO1144" s="91"/>
      <c r="AP1144" s="91"/>
      <c r="AQ1144" s="91"/>
      <c r="AR1144" s="91"/>
      <c r="AS1144" s="91"/>
      <c r="AT1144" s="91"/>
      <c r="AU1144" s="91"/>
      <c r="AV1144" s="91"/>
      <c r="AW1144" s="91"/>
      <c r="AX1144" s="91"/>
      <c r="AY1144" s="91"/>
      <c r="AZ1144" s="91"/>
      <c r="BA1144" s="91"/>
      <c r="BB1144" s="91"/>
      <c r="BC1144" s="91"/>
      <c r="BD1144" s="91"/>
      <c r="BE1144" s="91"/>
      <c r="BF1144" s="92"/>
    </row>
    <row r="1145" spans="1:58" s="82" customFormat="1">
      <c r="A1145" s="1192"/>
      <c r="B1145" s="1260"/>
      <c r="C1145" s="1225"/>
      <c r="D1145" s="84">
        <v>2029</v>
      </c>
      <c r="E1145" s="85">
        <f t="shared" ref="E1145:J1145" si="396">E1149</f>
        <v>1.5</v>
      </c>
      <c r="F1145" s="85">
        <f t="shared" si="396"/>
        <v>1.5</v>
      </c>
      <c r="G1145" s="85">
        <f t="shared" si="396"/>
        <v>0</v>
      </c>
      <c r="H1145" s="85">
        <f t="shared" si="396"/>
        <v>0</v>
      </c>
      <c r="I1145" s="85">
        <f t="shared" si="396"/>
        <v>0</v>
      </c>
      <c r="J1145" s="85">
        <f t="shared" si="396"/>
        <v>0</v>
      </c>
      <c r="K1145" s="148">
        <v>0</v>
      </c>
      <c r="L1145" s="497">
        <f t="shared" si="386"/>
        <v>1.5</v>
      </c>
      <c r="M1145" s="99"/>
      <c r="N1145" s="88"/>
      <c r="O1145" s="89"/>
      <c r="P1145" s="1218"/>
      <c r="Q1145" s="91"/>
      <c r="R1145" s="91"/>
      <c r="S1145" s="91"/>
      <c r="T1145" s="91"/>
      <c r="U1145" s="91"/>
      <c r="V1145" s="91"/>
      <c r="W1145" s="91"/>
      <c r="X1145" s="91"/>
      <c r="Y1145" s="91"/>
      <c r="Z1145" s="91"/>
      <c r="AA1145" s="91"/>
      <c r="AB1145" s="91"/>
      <c r="AC1145" s="91"/>
      <c r="AD1145" s="91"/>
      <c r="AE1145" s="91"/>
      <c r="AF1145" s="91"/>
      <c r="AG1145" s="91"/>
      <c r="AH1145" s="91"/>
      <c r="AI1145" s="91"/>
      <c r="AJ1145" s="91"/>
      <c r="AK1145" s="91"/>
      <c r="AL1145" s="91"/>
      <c r="AM1145" s="91"/>
      <c r="AN1145" s="91"/>
      <c r="AO1145" s="91"/>
      <c r="AP1145" s="91"/>
      <c r="AQ1145" s="91"/>
      <c r="AR1145" s="91"/>
      <c r="AS1145" s="91"/>
      <c r="AT1145" s="91"/>
      <c r="AU1145" s="91"/>
      <c r="AV1145" s="91"/>
      <c r="AW1145" s="91"/>
      <c r="AX1145" s="91"/>
      <c r="AY1145" s="91"/>
      <c r="AZ1145" s="91"/>
      <c r="BA1145" s="91"/>
      <c r="BB1145" s="91"/>
      <c r="BC1145" s="91"/>
      <c r="BD1145" s="91"/>
      <c r="BE1145" s="91"/>
      <c r="BF1145" s="92"/>
    </row>
    <row r="1146" spans="1:58" s="82" customFormat="1">
      <c r="A1146" s="1190" t="s">
        <v>1347</v>
      </c>
      <c r="B1146" s="1256" t="s">
        <v>1006</v>
      </c>
      <c r="C1146" s="1225"/>
      <c r="D1146" s="84" t="s">
        <v>16</v>
      </c>
      <c r="E1146" s="85">
        <f t="shared" ref="E1146:J1146" si="397">E1147</f>
        <v>1.5</v>
      </c>
      <c r="F1146" s="85">
        <f t="shared" si="397"/>
        <v>1.5</v>
      </c>
      <c r="G1146" s="85">
        <f t="shared" si="397"/>
        <v>0</v>
      </c>
      <c r="H1146" s="85">
        <f t="shared" si="397"/>
        <v>0</v>
      </c>
      <c r="I1146" s="85">
        <f t="shared" si="397"/>
        <v>0</v>
      </c>
      <c r="J1146" s="85">
        <f t="shared" si="397"/>
        <v>0</v>
      </c>
      <c r="K1146" s="148">
        <v>0</v>
      </c>
      <c r="L1146" s="497">
        <f t="shared" si="386"/>
        <v>1.5</v>
      </c>
      <c r="M1146" s="99"/>
      <c r="N1146" s="88"/>
      <c r="O1146" s="89"/>
      <c r="P1146" s="1218"/>
      <c r="Q1146" s="91"/>
      <c r="R1146" s="91"/>
      <c r="S1146" s="91"/>
      <c r="T1146" s="91"/>
      <c r="U1146" s="91"/>
      <c r="V1146" s="91"/>
      <c r="W1146" s="91"/>
      <c r="X1146" s="91"/>
      <c r="Y1146" s="91"/>
      <c r="Z1146" s="91"/>
      <c r="AA1146" s="91"/>
      <c r="AB1146" s="91"/>
      <c r="AC1146" s="91"/>
      <c r="AD1146" s="91"/>
      <c r="AE1146" s="91"/>
      <c r="AF1146" s="91"/>
      <c r="AG1146" s="91"/>
      <c r="AH1146" s="91"/>
      <c r="AI1146" s="91"/>
      <c r="AJ1146" s="91"/>
      <c r="AK1146" s="91"/>
      <c r="AL1146" s="91"/>
      <c r="AM1146" s="91"/>
      <c r="AN1146" s="91"/>
      <c r="AO1146" s="91"/>
      <c r="AP1146" s="91"/>
      <c r="AQ1146" s="91"/>
      <c r="AR1146" s="91"/>
      <c r="AS1146" s="91"/>
      <c r="AT1146" s="91"/>
      <c r="AU1146" s="91"/>
      <c r="AV1146" s="91"/>
      <c r="AW1146" s="91"/>
      <c r="AX1146" s="91"/>
      <c r="AY1146" s="91"/>
      <c r="AZ1146" s="91"/>
      <c r="BA1146" s="91"/>
      <c r="BB1146" s="91"/>
      <c r="BC1146" s="91"/>
      <c r="BD1146" s="91"/>
      <c r="BE1146" s="91"/>
      <c r="BF1146" s="92"/>
    </row>
    <row r="1147" spans="1:58" s="82" customFormat="1">
      <c r="A1147" s="1192"/>
      <c r="B1147" s="1260"/>
      <c r="C1147" s="1225"/>
      <c r="D1147" s="84">
        <v>2026</v>
      </c>
      <c r="E1147" s="85">
        <f>F1147</f>
        <v>1.5</v>
      </c>
      <c r="F1147" s="85">
        <v>1.5</v>
      </c>
      <c r="G1147" s="85">
        <v>0</v>
      </c>
      <c r="H1147" s="85">
        <v>0</v>
      </c>
      <c r="I1147" s="85">
        <v>0</v>
      </c>
      <c r="J1147" s="85">
        <v>0</v>
      </c>
      <c r="K1147" s="148">
        <v>0</v>
      </c>
      <c r="L1147" s="497">
        <f t="shared" si="386"/>
        <v>1.5</v>
      </c>
      <c r="M1147" s="99"/>
      <c r="N1147" s="88"/>
      <c r="O1147" s="89"/>
      <c r="P1147" s="1218"/>
      <c r="Q1147" s="91"/>
      <c r="R1147" s="91"/>
      <c r="S1147" s="91"/>
      <c r="T1147" s="91"/>
      <c r="U1147" s="91"/>
      <c r="V1147" s="91"/>
      <c r="W1147" s="91"/>
      <c r="X1147" s="91"/>
      <c r="Y1147" s="91"/>
      <c r="Z1147" s="91"/>
      <c r="AA1147" s="91"/>
      <c r="AB1147" s="91"/>
      <c r="AC1147" s="91"/>
      <c r="AD1147" s="91"/>
      <c r="AE1147" s="91"/>
      <c r="AF1147" s="91"/>
      <c r="AG1147" s="91"/>
      <c r="AH1147" s="91"/>
      <c r="AI1147" s="91"/>
      <c r="AJ1147" s="91"/>
      <c r="AK1147" s="91"/>
      <c r="AL1147" s="91"/>
      <c r="AM1147" s="91"/>
      <c r="AN1147" s="91"/>
      <c r="AO1147" s="91"/>
      <c r="AP1147" s="91"/>
      <c r="AQ1147" s="91"/>
      <c r="AR1147" s="91"/>
      <c r="AS1147" s="91"/>
      <c r="AT1147" s="91"/>
      <c r="AU1147" s="91"/>
      <c r="AV1147" s="91"/>
      <c r="AW1147" s="91"/>
      <c r="AX1147" s="91"/>
      <c r="AY1147" s="91"/>
      <c r="AZ1147" s="91"/>
      <c r="BA1147" s="91"/>
      <c r="BB1147" s="91"/>
      <c r="BC1147" s="91"/>
      <c r="BD1147" s="91"/>
      <c r="BE1147" s="91"/>
      <c r="BF1147" s="92"/>
    </row>
    <row r="1148" spans="1:58" s="82" customFormat="1">
      <c r="A1148" s="1190" t="s">
        <v>1348</v>
      </c>
      <c r="B1148" s="1256" t="s">
        <v>1008</v>
      </c>
      <c r="C1148" s="1225"/>
      <c r="D1148" s="84" t="s">
        <v>16</v>
      </c>
      <c r="E1148" s="85">
        <f t="shared" ref="E1148:J1148" si="398">E1149</f>
        <v>1.5</v>
      </c>
      <c r="F1148" s="85">
        <f t="shared" si="398"/>
        <v>1.5</v>
      </c>
      <c r="G1148" s="85">
        <f t="shared" si="398"/>
        <v>0</v>
      </c>
      <c r="H1148" s="85">
        <f t="shared" si="398"/>
        <v>0</v>
      </c>
      <c r="I1148" s="85">
        <f t="shared" si="398"/>
        <v>0</v>
      </c>
      <c r="J1148" s="85">
        <f t="shared" si="398"/>
        <v>0</v>
      </c>
      <c r="K1148" s="148">
        <v>0</v>
      </c>
      <c r="L1148" s="497">
        <f t="shared" si="386"/>
        <v>1.5</v>
      </c>
      <c r="M1148" s="99"/>
      <c r="N1148" s="88"/>
      <c r="O1148" s="89"/>
      <c r="P1148" s="1218"/>
      <c r="Q1148" s="91"/>
      <c r="R1148" s="91"/>
      <c r="S1148" s="91"/>
      <c r="T1148" s="91"/>
      <c r="U1148" s="91"/>
      <c r="V1148" s="91"/>
      <c r="W1148" s="91"/>
      <c r="X1148" s="91"/>
      <c r="Y1148" s="91"/>
      <c r="Z1148" s="91"/>
      <c r="AA1148" s="91"/>
      <c r="AB1148" s="91"/>
      <c r="AC1148" s="91"/>
      <c r="AD1148" s="91"/>
      <c r="AE1148" s="91"/>
      <c r="AF1148" s="91"/>
      <c r="AG1148" s="91"/>
      <c r="AH1148" s="91"/>
      <c r="AI1148" s="91"/>
      <c r="AJ1148" s="91"/>
      <c r="AK1148" s="91"/>
      <c r="AL1148" s="91"/>
      <c r="AM1148" s="91"/>
      <c r="AN1148" s="91"/>
      <c r="AO1148" s="91"/>
      <c r="AP1148" s="91"/>
      <c r="AQ1148" s="91"/>
      <c r="AR1148" s="91"/>
      <c r="AS1148" s="91"/>
      <c r="AT1148" s="91"/>
      <c r="AU1148" s="91"/>
      <c r="AV1148" s="91"/>
      <c r="AW1148" s="91"/>
      <c r="AX1148" s="91"/>
      <c r="AY1148" s="91"/>
      <c r="AZ1148" s="91"/>
      <c r="BA1148" s="91"/>
      <c r="BB1148" s="91"/>
      <c r="BC1148" s="91"/>
      <c r="BD1148" s="91"/>
      <c r="BE1148" s="91"/>
      <c r="BF1148" s="92"/>
    </row>
    <row r="1149" spans="1:58" s="82" customFormat="1">
      <c r="A1149" s="1192"/>
      <c r="B1149" s="1260"/>
      <c r="C1149" s="1225"/>
      <c r="D1149" s="84">
        <v>2029</v>
      </c>
      <c r="E1149" s="85">
        <f>F1149</f>
        <v>1.5</v>
      </c>
      <c r="F1149" s="85">
        <v>1.5</v>
      </c>
      <c r="G1149" s="85">
        <v>0</v>
      </c>
      <c r="H1149" s="85">
        <v>0</v>
      </c>
      <c r="I1149" s="85">
        <v>0</v>
      </c>
      <c r="J1149" s="85">
        <v>0</v>
      </c>
      <c r="K1149" s="148">
        <v>0</v>
      </c>
      <c r="L1149" s="497">
        <f t="shared" si="386"/>
        <v>1.5</v>
      </c>
      <c r="M1149" s="99"/>
      <c r="N1149" s="88"/>
      <c r="O1149" s="89"/>
      <c r="P1149" s="1218"/>
      <c r="Q1149" s="91"/>
      <c r="R1149" s="91"/>
      <c r="S1149" s="91"/>
      <c r="T1149" s="91"/>
      <c r="U1149" s="91"/>
      <c r="V1149" s="91"/>
      <c r="W1149" s="91"/>
      <c r="X1149" s="91"/>
      <c r="Y1149" s="91"/>
      <c r="Z1149" s="91"/>
      <c r="AA1149" s="91"/>
      <c r="AB1149" s="91"/>
      <c r="AC1149" s="91"/>
      <c r="AD1149" s="91"/>
      <c r="AE1149" s="91"/>
      <c r="AF1149" s="91"/>
      <c r="AG1149" s="91"/>
      <c r="AH1149" s="91"/>
      <c r="AI1149" s="91"/>
      <c r="AJ1149" s="91"/>
      <c r="AK1149" s="91"/>
      <c r="AL1149" s="91"/>
      <c r="AM1149" s="91"/>
      <c r="AN1149" s="91"/>
      <c r="AO1149" s="91"/>
      <c r="AP1149" s="91"/>
      <c r="AQ1149" s="91"/>
      <c r="AR1149" s="91"/>
      <c r="AS1149" s="91"/>
      <c r="AT1149" s="91"/>
      <c r="AU1149" s="91"/>
      <c r="AV1149" s="91"/>
      <c r="AW1149" s="91"/>
      <c r="AX1149" s="91"/>
      <c r="AY1149" s="91"/>
      <c r="AZ1149" s="91"/>
      <c r="BA1149" s="91"/>
      <c r="BB1149" s="91"/>
      <c r="BC1149" s="91"/>
      <c r="BD1149" s="91"/>
      <c r="BE1149" s="91"/>
      <c r="BF1149" s="92"/>
    </row>
    <row r="1150" spans="1:58" s="82" customFormat="1">
      <c r="A1150" s="1190" t="s">
        <v>1349</v>
      </c>
      <c r="B1150" s="1256" t="s">
        <v>1010</v>
      </c>
      <c r="C1150" s="1225"/>
      <c r="D1150" s="84" t="s">
        <v>16</v>
      </c>
      <c r="E1150" s="85">
        <f t="shared" ref="E1150:J1150" si="399">E1151</f>
        <v>1.5</v>
      </c>
      <c r="F1150" s="85">
        <f t="shared" si="399"/>
        <v>1.5</v>
      </c>
      <c r="G1150" s="85">
        <f t="shared" si="399"/>
        <v>0</v>
      </c>
      <c r="H1150" s="85">
        <f t="shared" si="399"/>
        <v>0</v>
      </c>
      <c r="I1150" s="85">
        <f t="shared" si="399"/>
        <v>0</v>
      </c>
      <c r="J1150" s="85">
        <f t="shared" si="399"/>
        <v>0</v>
      </c>
      <c r="K1150" s="148">
        <v>0</v>
      </c>
      <c r="L1150" s="497">
        <f t="shared" si="386"/>
        <v>1.5</v>
      </c>
      <c r="M1150" s="99"/>
      <c r="N1150" s="88"/>
      <c r="O1150" s="89"/>
      <c r="P1150" s="1218"/>
      <c r="Q1150" s="91"/>
      <c r="R1150" s="91"/>
      <c r="S1150" s="91"/>
      <c r="T1150" s="91"/>
      <c r="U1150" s="91"/>
      <c r="V1150" s="91"/>
      <c r="W1150" s="91"/>
      <c r="X1150" s="91"/>
      <c r="Y1150" s="91"/>
      <c r="Z1150" s="91"/>
      <c r="AA1150" s="91"/>
      <c r="AB1150" s="91"/>
      <c r="AC1150" s="91"/>
      <c r="AD1150" s="91"/>
      <c r="AE1150" s="91"/>
      <c r="AF1150" s="91"/>
      <c r="AG1150" s="91"/>
      <c r="AH1150" s="91"/>
      <c r="AI1150" s="91"/>
      <c r="AJ1150" s="91"/>
      <c r="AK1150" s="91"/>
      <c r="AL1150" s="91"/>
      <c r="AM1150" s="91"/>
      <c r="AN1150" s="91"/>
      <c r="AO1150" s="91"/>
      <c r="AP1150" s="91"/>
      <c r="AQ1150" s="91"/>
      <c r="AR1150" s="91"/>
      <c r="AS1150" s="91"/>
      <c r="AT1150" s="91"/>
      <c r="AU1150" s="91"/>
      <c r="AV1150" s="91"/>
      <c r="AW1150" s="91"/>
      <c r="AX1150" s="91"/>
      <c r="AY1150" s="91"/>
      <c r="AZ1150" s="91"/>
      <c r="BA1150" s="91"/>
      <c r="BB1150" s="91"/>
      <c r="BC1150" s="91"/>
      <c r="BD1150" s="91"/>
      <c r="BE1150" s="91"/>
      <c r="BF1150" s="92"/>
    </row>
    <row r="1151" spans="1:58" s="82" customFormat="1">
      <c r="A1151" s="1192"/>
      <c r="B1151" s="1260"/>
      <c r="C1151" s="1225"/>
      <c r="D1151" s="84">
        <v>2028</v>
      </c>
      <c r="E1151" s="85">
        <f>F1151</f>
        <v>1.5</v>
      </c>
      <c r="F1151" s="85">
        <v>1.5</v>
      </c>
      <c r="G1151" s="85">
        <v>0</v>
      </c>
      <c r="H1151" s="85">
        <v>0</v>
      </c>
      <c r="I1151" s="85">
        <v>0</v>
      </c>
      <c r="J1151" s="85">
        <v>0</v>
      </c>
      <c r="K1151" s="148">
        <v>0</v>
      </c>
      <c r="L1151" s="497">
        <f t="shared" si="386"/>
        <v>1.5</v>
      </c>
      <c r="M1151" s="99"/>
      <c r="N1151" s="88"/>
      <c r="O1151" s="89"/>
      <c r="P1151" s="1218"/>
      <c r="Q1151" s="91"/>
      <c r="R1151" s="91"/>
      <c r="S1151" s="91"/>
      <c r="T1151" s="91"/>
      <c r="U1151" s="91"/>
      <c r="V1151" s="91"/>
      <c r="W1151" s="91"/>
      <c r="X1151" s="91"/>
      <c r="Y1151" s="91"/>
      <c r="Z1151" s="91"/>
      <c r="AA1151" s="91"/>
      <c r="AB1151" s="91"/>
      <c r="AC1151" s="91"/>
      <c r="AD1151" s="91"/>
      <c r="AE1151" s="91"/>
      <c r="AF1151" s="91"/>
      <c r="AG1151" s="91"/>
      <c r="AH1151" s="91"/>
      <c r="AI1151" s="91"/>
      <c r="AJ1151" s="91"/>
      <c r="AK1151" s="91"/>
      <c r="AL1151" s="91"/>
      <c r="AM1151" s="91"/>
      <c r="AN1151" s="91"/>
      <c r="AO1151" s="91"/>
      <c r="AP1151" s="91"/>
      <c r="AQ1151" s="91"/>
      <c r="AR1151" s="91"/>
      <c r="AS1151" s="91"/>
      <c r="AT1151" s="91"/>
      <c r="AU1151" s="91"/>
      <c r="AV1151" s="91"/>
      <c r="AW1151" s="91"/>
      <c r="AX1151" s="91"/>
      <c r="AY1151" s="91"/>
      <c r="AZ1151" s="91"/>
      <c r="BA1151" s="91"/>
      <c r="BB1151" s="91"/>
      <c r="BC1151" s="91"/>
      <c r="BD1151" s="91"/>
      <c r="BE1151" s="91"/>
      <c r="BF1151" s="92"/>
    </row>
    <row r="1152" spans="1:58" s="82" customFormat="1">
      <c r="A1152" s="1190" t="s">
        <v>1350</v>
      </c>
      <c r="B1152" s="1256" t="s">
        <v>997</v>
      </c>
      <c r="C1152" s="1225"/>
      <c r="D1152" s="84" t="s">
        <v>16</v>
      </c>
      <c r="E1152" s="85">
        <f t="shared" ref="E1152:J1152" si="400">E1153</f>
        <v>1.5</v>
      </c>
      <c r="F1152" s="85">
        <f t="shared" si="400"/>
        <v>1.5</v>
      </c>
      <c r="G1152" s="85">
        <f t="shared" si="400"/>
        <v>0</v>
      </c>
      <c r="H1152" s="85">
        <f t="shared" si="400"/>
        <v>0</v>
      </c>
      <c r="I1152" s="85">
        <f t="shared" si="400"/>
        <v>0</v>
      </c>
      <c r="J1152" s="85">
        <f t="shared" si="400"/>
        <v>0</v>
      </c>
      <c r="K1152" s="148">
        <v>0</v>
      </c>
      <c r="L1152" s="497">
        <f t="shared" si="386"/>
        <v>1.5</v>
      </c>
      <c r="M1152" s="99"/>
      <c r="N1152" s="88"/>
      <c r="O1152" s="89"/>
      <c r="P1152" s="1218"/>
      <c r="Q1152" s="91"/>
      <c r="R1152" s="91"/>
      <c r="S1152" s="91"/>
      <c r="T1152" s="91"/>
      <c r="U1152" s="91"/>
      <c r="V1152" s="91"/>
      <c r="W1152" s="91"/>
      <c r="X1152" s="91"/>
      <c r="Y1152" s="91"/>
      <c r="Z1152" s="91"/>
      <c r="AA1152" s="91"/>
      <c r="AB1152" s="91"/>
      <c r="AC1152" s="91"/>
      <c r="AD1152" s="91"/>
      <c r="AE1152" s="91"/>
      <c r="AF1152" s="91"/>
      <c r="AG1152" s="91"/>
      <c r="AH1152" s="91"/>
      <c r="AI1152" s="91"/>
      <c r="AJ1152" s="91"/>
      <c r="AK1152" s="91"/>
      <c r="AL1152" s="91"/>
      <c r="AM1152" s="91"/>
      <c r="AN1152" s="91"/>
      <c r="AO1152" s="91"/>
      <c r="AP1152" s="91"/>
      <c r="AQ1152" s="91"/>
      <c r="AR1152" s="91"/>
      <c r="AS1152" s="91"/>
      <c r="AT1152" s="91"/>
      <c r="AU1152" s="91"/>
      <c r="AV1152" s="91"/>
      <c r="AW1152" s="91"/>
      <c r="AX1152" s="91"/>
      <c r="AY1152" s="91"/>
      <c r="AZ1152" s="91"/>
      <c r="BA1152" s="91"/>
      <c r="BB1152" s="91"/>
      <c r="BC1152" s="91"/>
      <c r="BD1152" s="91"/>
      <c r="BE1152" s="91"/>
      <c r="BF1152" s="92"/>
    </row>
    <row r="1153" spans="1:58" s="82" customFormat="1">
      <c r="A1153" s="1191"/>
      <c r="B1153" s="1259"/>
      <c r="C1153" s="1226"/>
      <c r="D1153" s="84">
        <v>2027</v>
      </c>
      <c r="E1153" s="85">
        <f>F1153</f>
        <v>1.5</v>
      </c>
      <c r="F1153" s="85">
        <v>1.5</v>
      </c>
      <c r="G1153" s="85">
        <v>0</v>
      </c>
      <c r="H1153" s="85">
        <v>0</v>
      </c>
      <c r="I1153" s="85">
        <v>0</v>
      </c>
      <c r="J1153" s="85">
        <v>0</v>
      </c>
      <c r="K1153" s="148">
        <v>0</v>
      </c>
      <c r="L1153" s="497">
        <f t="shared" si="386"/>
        <v>1.5</v>
      </c>
      <c r="M1153" s="99"/>
      <c r="N1153" s="88"/>
      <c r="O1153" s="89"/>
      <c r="P1153" s="1219"/>
      <c r="Q1153" s="91"/>
      <c r="R1153" s="91"/>
      <c r="S1153" s="91"/>
      <c r="T1153" s="91"/>
      <c r="U1153" s="91"/>
      <c r="V1153" s="91"/>
      <c r="W1153" s="91"/>
      <c r="X1153" s="91"/>
      <c r="Y1153" s="91"/>
      <c r="Z1153" s="91"/>
      <c r="AA1153" s="91"/>
      <c r="AB1153" s="91"/>
      <c r="AC1153" s="91"/>
      <c r="AD1153" s="91"/>
      <c r="AE1153" s="91"/>
      <c r="AF1153" s="91"/>
      <c r="AG1153" s="91"/>
      <c r="AH1153" s="91"/>
      <c r="AI1153" s="91"/>
      <c r="AJ1153" s="91"/>
      <c r="AK1153" s="91"/>
      <c r="AL1153" s="91"/>
      <c r="AM1153" s="91"/>
      <c r="AN1153" s="91"/>
      <c r="AO1153" s="91"/>
      <c r="AP1153" s="91"/>
      <c r="AQ1153" s="91"/>
      <c r="AR1153" s="91"/>
      <c r="AS1153" s="91"/>
      <c r="AT1153" s="91"/>
      <c r="AU1153" s="91"/>
      <c r="AV1153" s="91"/>
      <c r="AW1153" s="91"/>
      <c r="AX1153" s="91"/>
      <c r="AY1153" s="91"/>
      <c r="AZ1153" s="91"/>
      <c r="BA1153" s="91"/>
      <c r="BB1153" s="91"/>
      <c r="BC1153" s="91"/>
      <c r="BD1153" s="91"/>
      <c r="BE1153" s="91"/>
      <c r="BF1153" s="92"/>
    </row>
    <row r="1154" spans="1:58" s="82" customFormat="1" ht="12.75" customHeight="1">
      <c r="A1154" s="1190" t="s">
        <v>1351</v>
      </c>
      <c r="B1154" s="1262" t="s">
        <v>1352</v>
      </c>
      <c r="C1154" s="1262" t="s">
        <v>1438</v>
      </c>
      <c r="D1154" s="84" t="s">
        <v>16</v>
      </c>
      <c r="E1154" s="85">
        <f t="shared" ref="E1154:J1154" si="401">E1155</f>
        <v>0.17510000000000001</v>
      </c>
      <c r="F1154" s="85">
        <f t="shared" si="401"/>
        <v>0.17510000000000001</v>
      </c>
      <c r="G1154" s="85">
        <f t="shared" si="401"/>
        <v>0</v>
      </c>
      <c r="H1154" s="85">
        <f t="shared" si="401"/>
        <v>0</v>
      </c>
      <c r="I1154" s="85">
        <f t="shared" si="401"/>
        <v>0</v>
      </c>
      <c r="J1154" s="85">
        <f t="shared" si="401"/>
        <v>0</v>
      </c>
      <c r="K1154" s="148">
        <v>0</v>
      </c>
      <c r="L1154" s="497">
        <f t="shared" si="386"/>
        <v>0.17510000000000001</v>
      </c>
      <c r="M1154" s="99"/>
      <c r="N1154" s="88"/>
      <c r="O1154" s="89"/>
      <c r="P1154" s="1262" t="s">
        <v>1014</v>
      </c>
      <c r="Q1154" s="91"/>
      <c r="R1154" s="91"/>
      <c r="S1154" s="91"/>
      <c r="T1154" s="91"/>
      <c r="U1154" s="91"/>
      <c r="V1154" s="91"/>
      <c r="W1154" s="91"/>
      <c r="X1154" s="91"/>
      <c r="Y1154" s="91"/>
      <c r="Z1154" s="91"/>
      <c r="AA1154" s="91"/>
      <c r="AB1154" s="91"/>
      <c r="AC1154" s="91"/>
      <c r="AD1154" s="91"/>
      <c r="AE1154" s="91"/>
      <c r="AF1154" s="91"/>
      <c r="AG1154" s="91"/>
      <c r="AH1154" s="91"/>
      <c r="AI1154" s="91"/>
      <c r="AJ1154" s="91"/>
      <c r="AK1154" s="91"/>
      <c r="AL1154" s="91"/>
      <c r="AM1154" s="91"/>
      <c r="AN1154" s="91"/>
      <c r="AO1154" s="91"/>
      <c r="AP1154" s="91"/>
      <c r="AQ1154" s="91"/>
      <c r="AR1154" s="91"/>
      <c r="AS1154" s="91"/>
      <c r="AT1154" s="91"/>
      <c r="AU1154" s="91"/>
      <c r="AV1154" s="91"/>
      <c r="AW1154" s="91"/>
      <c r="AX1154" s="91"/>
      <c r="AY1154" s="91"/>
      <c r="AZ1154" s="91"/>
      <c r="BA1154" s="91"/>
      <c r="BB1154" s="91"/>
      <c r="BC1154" s="91"/>
      <c r="BD1154" s="91"/>
      <c r="BE1154" s="91"/>
      <c r="BF1154" s="92"/>
    </row>
    <row r="1155" spans="1:58" s="82" customFormat="1" ht="30" customHeight="1">
      <c r="A1155" s="1191"/>
      <c r="B1155" s="1263"/>
      <c r="C1155" s="1263"/>
      <c r="D1155" s="84">
        <v>2023</v>
      </c>
      <c r="E1155" s="85">
        <f>F1155+G1155+H1155+I1155+J1155</f>
        <v>0.17510000000000001</v>
      </c>
      <c r="F1155" s="85">
        <v>0.17510000000000001</v>
      </c>
      <c r="G1155" s="85">
        <v>0</v>
      </c>
      <c r="H1155" s="85">
        <v>0</v>
      </c>
      <c r="I1155" s="85">
        <v>0</v>
      </c>
      <c r="J1155" s="85">
        <v>0</v>
      </c>
      <c r="K1155" s="148">
        <v>0</v>
      </c>
      <c r="L1155" s="497">
        <f t="shared" si="386"/>
        <v>0.17510000000000001</v>
      </c>
      <c r="M1155" s="99"/>
      <c r="N1155" s="88"/>
      <c r="O1155" s="89"/>
      <c r="P1155" s="1263"/>
      <c r="Q1155" s="91"/>
      <c r="R1155" s="91"/>
      <c r="S1155" s="91"/>
      <c r="T1155" s="91"/>
      <c r="U1155" s="91"/>
      <c r="V1155" s="91"/>
      <c r="W1155" s="91"/>
      <c r="X1155" s="91"/>
      <c r="Y1155" s="91"/>
      <c r="Z1155" s="91"/>
      <c r="AA1155" s="91"/>
      <c r="AB1155" s="91"/>
      <c r="AC1155" s="91"/>
      <c r="AD1155" s="91"/>
      <c r="AE1155" s="91"/>
      <c r="AF1155" s="91"/>
      <c r="AG1155" s="91"/>
      <c r="AH1155" s="91"/>
      <c r="AI1155" s="91"/>
      <c r="AJ1155" s="91"/>
      <c r="AK1155" s="91"/>
      <c r="AL1155" s="91"/>
      <c r="AM1155" s="91"/>
      <c r="AN1155" s="91"/>
      <c r="AO1155" s="91"/>
      <c r="AP1155" s="91"/>
      <c r="AQ1155" s="91"/>
      <c r="AR1155" s="91"/>
      <c r="AS1155" s="91"/>
      <c r="AT1155" s="91"/>
      <c r="AU1155" s="91"/>
      <c r="AV1155" s="91"/>
      <c r="AW1155" s="91"/>
      <c r="AX1155" s="91"/>
      <c r="AY1155" s="91"/>
      <c r="AZ1155" s="91"/>
      <c r="BA1155" s="91"/>
      <c r="BB1155" s="91"/>
      <c r="BC1155" s="91"/>
      <c r="BD1155" s="91"/>
      <c r="BE1155" s="91"/>
      <c r="BF1155" s="92"/>
    </row>
    <row r="1156" spans="1:58" s="82" customFormat="1" ht="18" customHeight="1">
      <c r="A1156" s="1190" t="s">
        <v>1353</v>
      </c>
      <c r="B1156" s="1256" t="s">
        <v>1016</v>
      </c>
      <c r="C1156" s="1263"/>
      <c r="D1156" s="84" t="s">
        <v>16</v>
      </c>
      <c r="E1156" s="85">
        <f>F1156</f>
        <v>1.1846999999999999</v>
      </c>
      <c r="F1156" s="85">
        <f>F1157+F1158+F1159+F1160+F1161</f>
        <v>1.1846999999999999</v>
      </c>
      <c r="G1156" s="85">
        <v>0</v>
      </c>
      <c r="H1156" s="85">
        <v>0</v>
      </c>
      <c r="I1156" s="85">
        <v>0</v>
      </c>
      <c r="J1156" s="85">
        <v>0</v>
      </c>
      <c r="K1156" s="148">
        <v>0</v>
      </c>
      <c r="L1156" s="497">
        <f t="shared" si="386"/>
        <v>1.1846999999999999</v>
      </c>
      <c r="M1156" s="99"/>
      <c r="N1156" s="88"/>
      <c r="O1156" s="89"/>
      <c r="P1156" s="1263"/>
      <c r="Q1156" s="91"/>
      <c r="R1156" s="91"/>
      <c r="S1156" s="91"/>
      <c r="T1156" s="91"/>
      <c r="U1156" s="91"/>
      <c r="V1156" s="91"/>
      <c r="W1156" s="91"/>
      <c r="X1156" s="91"/>
      <c r="Y1156" s="91"/>
      <c r="Z1156" s="91"/>
      <c r="AA1156" s="91"/>
      <c r="AB1156" s="91"/>
      <c r="AC1156" s="91"/>
      <c r="AD1156" s="91"/>
      <c r="AE1156" s="91"/>
      <c r="AF1156" s="91"/>
      <c r="AG1156" s="91"/>
      <c r="AH1156" s="91"/>
      <c r="AI1156" s="91"/>
      <c r="AJ1156" s="91"/>
      <c r="AK1156" s="91"/>
      <c r="AL1156" s="91"/>
      <c r="AM1156" s="91"/>
      <c r="AN1156" s="91"/>
      <c r="AO1156" s="91"/>
      <c r="AP1156" s="91"/>
      <c r="AQ1156" s="91"/>
      <c r="AR1156" s="91"/>
      <c r="AS1156" s="91"/>
      <c r="AT1156" s="91"/>
      <c r="AU1156" s="91"/>
      <c r="AV1156" s="91"/>
      <c r="AW1156" s="91"/>
      <c r="AX1156" s="91"/>
      <c r="AY1156" s="91"/>
      <c r="AZ1156" s="91"/>
      <c r="BA1156" s="91"/>
      <c r="BB1156" s="91"/>
      <c r="BC1156" s="91"/>
      <c r="BD1156" s="91"/>
      <c r="BE1156" s="91"/>
      <c r="BF1156" s="92"/>
    </row>
    <row r="1157" spans="1:58" s="82" customFormat="1" ht="18" customHeight="1">
      <c r="A1157" s="1191"/>
      <c r="B1157" s="1259"/>
      <c r="C1157" s="1263"/>
      <c r="D1157" s="84">
        <v>2020</v>
      </c>
      <c r="E1157" s="85">
        <v>7.2400000000000006E-2</v>
      </c>
      <c r="F1157" s="85">
        <v>7.2400000000000006E-2</v>
      </c>
      <c r="G1157" s="85">
        <v>0</v>
      </c>
      <c r="H1157" s="85">
        <v>0</v>
      </c>
      <c r="I1157" s="85">
        <v>0</v>
      </c>
      <c r="J1157" s="85">
        <v>0</v>
      </c>
      <c r="K1157" s="148">
        <v>0</v>
      </c>
      <c r="L1157" s="497"/>
      <c r="M1157" s="99"/>
      <c r="N1157" s="88"/>
      <c r="O1157" s="89"/>
      <c r="P1157" s="1263"/>
      <c r="Q1157" s="91"/>
      <c r="R1157" s="91"/>
      <c r="S1157" s="91"/>
      <c r="T1157" s="91"/>
      <c r="U1157" s="91"/>
      <c r="V1157" s="91"/>
      <c r="W1157" s="91"/>
      <c r="X1157" s="91"/>
      <c r="Y1157" s="91"/>
      <c r="Z1157" s="91"/>
      <c r="AA1157" s="91"/>
      <c r="AB1157" s="91"/>
      <c r="AC1157" s="91"/>
      <c r="AD1157" s="91"/>
      <c r="AE1157" s="91"/>
      <c r="AF1157" s="91"/>
      <c r="AG1157" s="91"/>
      <c r="AH1157" s="91"/>
      <c r="AI1157" s="91"/>
      <c r="AJ1157" s="91"/>
      <c r="AK1157" s="91"/>
      <c r="AL1157" s="91"/>
      <c r="AM1157" s="91"/>
      <c r="AN1157" s="91"/>
      <c r="AO1157" s="91"/>
      <c r="AP1157" s="91"/>
      <c r="AQ1157" s="91"/>
      <c r="AR1157" s="91"/>
      <c r="AS1157" s="91"/>
      <c r="AT1157" s="91"/>
      <c r="AU1157" s="91"/>
      <c r="AV1157" s="91"/>
      <c r="AW1157" s="91"/>
      <c r="AX1157" s="91"/>
      <c r="AY1157" s="91"/>
      <c r="AZ1157" s="91"/>
      <c r="BA1157" s="91"/>
      <c r="BB1157" s="91"/>
      <c r="BC1157" s="91"/>
      <c r="BD1157" s="91"/>
      <c r="BE1157" s="91"/>
      <c r="BF1157" s="92"/>
    </row>
    <row r="1158" spans="1:58" s="82" customFormat="1" ht="17.25" customHeight="1">
      <c r="A1158" s="1191"/>
      <c r="B1158" s="1259"/>
      <c r="C1158" s="1263"/>
      <c r="D1158" s="84">
        <v>2021</v>
      </c>
      <c r="E1158" s="85">
        <f>F1158</f>
        <v>0.52349999999999997</v>
      </c>
      <c r="F1158" s="85">
        <v>0.52349999999999997</v>
      </c>
      <c r="G1158" s="85">
        <v>0</v>
      </c>
      <c r="H1158" s="85">
        <v>0</v>
      </c>
      <c r="I1158" s="85">
        <v>0</v>
      </c>
      <c r="J1158" s="85">
        <v>0</v>
      </c>
      <c r="K1158" s="148">
        <v>0</v>
      </c>
      <c r="L1158" s="497">
        <f>F1158+G1158+H1158+I1158+J1158</f>
        <v>0.52349999999999997</v>
      </c>
      <c r="M1158" s="99"/>
      <c r="N1158" s="88"/>
      <c r="O1158" s="89"/>
      <c r="P1158" s="1263"/>
      <c r="Q1158" s="91"/>
      <c r="R1158" s="91"/>
      <c r="S1158" s="91"/>
      <c r="T1158" s="91"/>
      <c r="U1158" s="91"/>
      <c r="V1158" s="91"/>
      <c r="W1158" s="91"/>
      <c r="X1158" s="91"/>
      <c r="Y1158" s="91"/>
      <c r="Z1158" s="91"/>
      <c r="AA1158" s="91"/>
      <c r="AB1158" s="91"/>
      <c r="AC1158" s="91"/>
      <c r="AD1158" s="91"/>
      <c r="AE1158" s="91"/>
      <c r="AF1158" s="91"/>
      <c r="AG1158" s="91"/>
      <c r="AH1158" s="91"/>
      <c r="AI1158" s="91"/>
      <c r="AJ1158" s="91"/>
      <c r="AK1158" s="91"/>
      <c r="AL1158" s="91"/>
      <c r="AM1158" s="91"/>
      <c r="AN1158" s="91"/>
      <c r="AO1158" s="91"/>
      <c r="AP1158" s="91"/>
      <c r="AQ1158" s="91"/>
      <c r="AR1158" s="91"/>
      <c r="AS1158" s="91"/>
      <c r="AT1158" s="91"/>
      <c r="AU1158" s="91"/>
      <c r="AV1158" s="91"/>
      <c r="AW1158" s="91"/>
      <c r="AX1158" s="91"/>
      <c r="AY1158" s="91"/>
      <c r="AZ1158" s="91"/>
      <c r="BA1158" s="91"/>
      <c r="BB1158" s="91"/>
      <c r="BC1158" s="91"/>
      <c r="BD1158" s="91"/>
      <c r="BE1158" s="91"/>
      <c r="BF1158" s="92"/>
    </row>
    <row r="1159" spans="1:58" s="82" customFormat="1" ht="17.25" customHeight="1">
      <c r="A1159" s="1191"/>
      <c r="B1159" s="1259"/>
      <c r="C1159" s="1263"/>
      <c r="D1159" s="533">
        <v>2022</v>
      </c>
      <c r="E1159" s="85">
        <f>F1159</f>
        <v>0</v>
      </c>
      <c r="F1159" s="85">
        <v>0</v>
      </c>
      <c r="G1159" s="85">
        <v>0</v>
      </c>
      <c r="H1159" s="85">
        <v>0</v>
      </c>
      <c r="I1159" s="85">
        <v>0</v>
      </c>
      <c r="J1159" s="85">
        <v>0</v>
      </c>
      <c r="K1159" s="148">
        <v>0</v>
      </c>
      <c r="L1159" s="497">
        <f>F1159+G1159+H1159+I1159+J1159</f>
        <v>0</v>
      </c>
      <c r="M1159" s="99"/>
      <c r="N1159" s="88"/>
      <c r="O1159" s="89"/>
      <c r="P1159" s="1263"/>
      <c r="Q1159" s="91"/>
      <c r="R1159" s="91"/>
      <c r="S1159" s="91"/>
      <c r="T1159" s="91"/>
      <c r="U1159" s="91"/>
      <c r="V1159" s="91"/>
      <c r="W1159" s="91"/>
      <c r="X1159" s="91"/>
      <c r="Y1159" s="91"/>
      <c r="Z1159" s="91"/>
      <c r="AA1159" s="91"/>
      <c r="AB1159" s="91"/>
      <c r="AC1159" s="91"/>
      <c r="AD1159" s="91"/>
      <c r="AE1159" s="91"/>
      <c r="AF1159" s="91"/>
      <c r="AG1159" s="91"/>
      <c r="AH1159" s="91"/>
      <c r="AI1159" s="91"/>
      <c r="AJ1159" s="91"/>
      <c r="AK1159" s="91"/>
      <c r="AL1159" s="91"/>
      <c r="AM1159" s="91"/>
      <c r="AN1159" s="91"/>
      <c r="AO1159" s="91"/>
      <c r="AP1159" s="91"/>
      <c r="AQ1159" s="91"/>
      <c r="AR1159" s="91"/>
      <c r="AS1159" s="91"/>
      <c r="AT1159" s="91"/>
      <c r="AU1159" s="91"/>
      <c r="AV1159" s="91"/>
      <c r="AW1159" s="91"/>
      <c r="AX1159" s="91"/>
      <c r="AY1159" s="91"/>
      <c r="AZ1159" s="91"/>
      <c r="BA1159" s="91"/>
      <c r="BB1159" s="91"/>
      <c r="BC1159" s="91"/>
      <c r="BD1159" s="91"/>
      <c r="BE1159" s="91"/>
      <c r="BF1159" s="92"/>
    </row>
    <row r="1160" spans="1:58" s="82" customFormat="1" ht="17.25" customHeight="1">
      <c r="A1160" s="1191"/>
      <c r="B1160" s="1259"/>
      <c r="C1160" s="1263"/>
      <c r="D1160" s="533">
        <v>2023</v>
      </c>
      <c r="E1160" s="85">
        <f>F1160</f>
        <v>0</v>
      </c>
      <c r="F1160" s="85">
        <v>0</v>
      </c>
      <c r="G1160" s="85">
        <v>0</v>
      </c>
      <c r="H1160" s="85">
        <v>0</v>
      </c>
      <c r="I1160" s="85">
        <v>0</v>
      </c>
      <c r="J1160" s="85">
        <v>0</v>
      </c>
      <c r="K1160" s="148">
        <v>0</v>
      </c>
      <c r="L1160" s="497">
        <f>F1160+G1160+H1160+I1160+J1160</f>
        <v>0</v>
      </c>
      <c r="M1160" s="99"/>
      <c r="N1160" s="88"/>
      <c r="O1160" s="89"/>
      <c r="P1160" s="1263"/>
      <c r="Q1160" s="91"/>
      <c r="R1160" s="91"/>
      <c r="S1160" s="91"/>
      <c r="T1160" s="91"/>
      <c r="U1160" s="91"/>
      <c r="V1160" s="91"/>
      <c r="W1160" s="91"/>
      <c r="X1160" s="91"/>
      <c r="Y1160" s="91"/>
      <c r="Z1160" s="91"/>
      <c r="AA1160" s="91"/>
      <c r="AB1160" s="91"/>
      <c r="AC1160" s="91"/>
      <c r="AD1160" s="91"/>
      <c r="AE1160" s="91"/>
      <c r="AF1160" s="91"/>
      <c r="AG1160" s="91"/>
      <c r="AH1160" s="91"/>
      <c r="AI1160" s="91"/>
      <c r="AJ1160" s="91"/>
      <c r="AK1160" s="91"/>
      <c r="AL1160" s="91"/>
      <c r="AM1160" s="91"/>
      <c r="AN1160" s="91"/>
      <c r="AO1160" s="91"/>
      <c r="AP1160" s="91"/>
      <c r="AQ1160" s="91"/>
      <c r="AR1160" s="91"/>
      <c r="AS1160" s="91"/>
      <c r="AT1160" s="91"/>
      <c r="AU1160" s="91"/>
      <c r="AV1160" s="91"/>
      <c r="AW1160" s="91"/>
      <c r="AX1160" s="91"/>
      <c r="AY1160" s="91"/>
      <c r="AZ1160" s="91"/>
      <c r="BA1160" s="91"/>
      <c r="BB1160" s="91"/>
      <c r="BC1160" s="91"/>
      <c r="BD1160" s="91"/>
      <c r="BE1160" s="91"/>
      <c r="BF1160" s="92"/>
    </row>
    <row r="1161" spans="1:58" s="82" customFormat="1" ht="17.25" customHeight="1">
      <c r="A1161" s="1192"/>
      <c r="B1161" s="1260"/>
      <c r="C1161" s="1263"/>
      <c r="D1161" s="533">
        <v>2024</v>
      </c>
      <c r="E1161" s="85">
        <f>F1161</f>
        <v>0.58879999999999999</v>
      </c>
      <c r="F1161" s="85">
        <v>0.58879999999999999</v>
      </c>
      <c r="G1161" s="85">
        <v>0</v>
      </c>
      <c r="H1161" s="85">
        <v>0</v>
      </c>
      <c r="I1161" s="85">
        <v>0</v>
      </c>
      <c r="J1161" s="85">
        <v>0</v>
      </c>
      <c r="K1161" s="148">
        <v>0</v>
      </c>
      <c r="L1161" s="497">
        <f>F1161+G1161+H1161+I1161+J1161</f>
        <v>0.58879999999999999</v>
      </c>
      <c r="M1161" s="99"/>
      <c r="N1161" s="88"/>
      <c r="O1161" s="89"/>
      <c r="P1161" s="1263"/>
      <c r="Q1161" s="91"/>
      <c r="R1161" s="91"/>
      <c r="S1161" s="91"/>
      <c r="T1161" s="91"/>
      <c r="U1161" s="91"/>
      <c r="V1161" s="91"/>
      <c r="W1161" s="91"/>
      <c r="X1161" s="91"/>
      <c r="Y1161" s="91"/>
      <c r="Z1161" s="91"/>
      <c r="AA1161" s="91"/>
      <c r="AB1161" s="91"/>
      <c r="AC1161" s="91"/>
      <c r="AD1161" s="91"/>
      <c r="AE1161" s="91"/>
      <c r="AF1161" s="91"/>
      <c r="AG1161" s="91"/>
      <c r="AH1161" s="91"/>
      <c r="AI1161" s="91"/>
      <c r="AJ1161" s="91"/>
      <c r="AK1161" s="91"/>
      <c r="AL1161" s="91"/>
      <c r="AM1161" s="91"/>
      <c r="AN1161" s="91"/>
      <c r="AO1161" s="91"/>
      <c r="AP1161" s="91"/>
      <c r="AQ1161" s="91"/>
      <c r="AR1161" s="91"/>
      <c r="AS1161" s="91"/>
      <c r="AT1161" s="91"/>
      <c r="AU1161" s="91"/>
      <c r="AV1161" s="91"/>
      <c r="AW1161" s="91"/>
      <c r="AX1161" s="91"/>
      <c r="AY1161" s="91"/>
      <c r="AZ1161" s="91"/>
      <c r="BA1161" s="91"/>
      <c r="BB1161" s="91"/>
      <c r="BC1161" s="91"/>
      <c r="BD1161" s="91"/>
      <c r="BE1161" s="91"/>
      <c r="BF1161" s="92"/>
    </row>
    <row r="1162" spans="1:58" s="82" customFormat="1">
      <c r="A1162" s="1190" t="s">
        <v>1354</v>
      </c>
      <c r="B1162" s="1262" t="s">
        <v>1355</v>
      </c>
      <c r="C1162" s="621"/>
      <c r="D1162" s="84" t="s">
        <v>429</v>
      </c>
      <c r="E1162" s="85">
        <f>E1163</f>
        <v>9.4E-2</v>
      </c>
      <c r="F1162" s="85">
        <f>F1163</f>
        <v>9.4E-2</v>
      </c>
      <c r="G1162" s="85">
        <v>0</v>
      </c>
      <c r="H1162" s="85">
        <v>0</v>
      </c>
      <c r="I1162" s="85">
        <v>0</v>
      </c>
      <c r="J1162" s="85">
        <v>0</v>
      </c>
      <c r="K1162" s="148">
        <v>0</v>
      </c>
      <c r="L1162" s="497"/>
      <c r="M1162" s="99"/>
      <c r="N1162" s="88"/>
      <c r="O1162" s="89"/>
      <c r="P1162" s="647"/>
      <c r="Q1162" s="91"/>
      <c r="R1162" s="91"/>
      <c r="S1162" s="91"/>
      <c r="T1162" s="91"/>
      <c r="U1162" s="91"/>
      <c r="V1162" s="91"/>
      <c r="W1162" s="91"/>
      <c r="X1162" s="91"/>
      <c r="Y1162" s="91"/>
      <c r="Z1162" s="91"/>
      <c r="AA1162" s="91"/>
      <c r="AB1162" s="91"/>
      <c r="AC1162" s="91"/>
      <c r="AD1162" s="91"/>
      <c r="AE1162" s="91"/>
      <c r="AF1162" s="91"/>
      <c r="AG1162" s="91"/>
      <c r="AH1162" s="91"/>
      <c r="AI1162" s="91"/>
      <c r="AJ1162" s="91"/>
      <c r="AK1162" s="91"/>
      <c r="AL1162" s="91"/>
      <c r="AM1162" s="91"/>
      <c r="AN1162" s="91"/>
      <c r="AO1162" s="91"/>
      <c r="AP1162" s="91"/>
      <c r="AQ1162" s="91"/>
      <c r="AR1162" s="91"/>
      <c r="AS1162" s="91"/>
      <c r="AT1162" s="91"/>
      <c r="AU1162" s="91"/>
      <c r="AV1162" s="91"/>
      <c r="AW1162" s="91"/>
      <c r="AX1162" s="91"/>
      <c r="AY1162" s="91"/>
      <c r="AZ1162" s="91"/>
      <c r="BA1162" s="91"/>
      <c r="BB1162" s="91"/>
      <c r="BC1162" s="91"/>
      <c r="BD1162" s="91"/>
      <c r="BE1162" s="91"/>
      <c r="BF1162" s="92"/>
    </row>
    <row r="1163" spans="1:58" s="82" customFormat="1" ht="30.75" customHeight="1">
      <c r="A1163" s="1192"/>
      <c r="B1163" s="1274"/>
      <c r="C1163" s="621"/>
      <c r="D1163" s="84">
        <v>2021</v>
      </c>
      <c r="E1163" s="85">
        <v>9.4E-2</v>
      </c>
      <c r="F1163" s="85">
        <v>9.4E-2</v>
      </c>
      <c r="G1163" s="85">
        <v>0</v>
      </c>
      <c r="H1163" s="85">
        <v>0</v>
      </c>
      <c r="I1163" s="85">
        <v>0</v>
      </c>
      <c r="J1163" s="85">
        <v>0</v>
      </c>
      <c r="K1163" s="148">
        <v>0</v>
      </c>
      <c r="L1163" s="497"/>
      <c r="M1163" s="99"/>
      <c r="N1163" s="88"/>
      <c r="O1163" s="89"/>
      <c r="P1163" s="647"/>
      <c r="Q1163" s="91"/>
      <c r="R1163" s="91"/>
      <c r="S1163" s="91"/>
      <c r="T1163" s="91"/>
      <c r="U1163" s="91"/>
      <c r="V1163" s="91"/>
      <c r="W1163" s="91"/>
      <c r="X1163" s="91"/>
      <c r="Y1163" s="91"/>
      <c r="Z1163" s="91"/>
      <c r="AA1163" s="91"/>
      <c r="AB1163" s="91"/>
      <c r="AC1163" s="91"/>
      <c r="AD1163" s="91"/>
      <c r="AE1163" s="91"/>
      <c r="AF1163" s="91"/>
      <c r="AG1163" s="91"/>
      <c r="AH1163" s="91"/>
      <c r="AI1163" s="91"/>
      <c r="AJ1163" s="91"/>
      <c r="AK1163" s="91"/>
      <c r="AL1163" s="91"/>
      <c r="AM1163" s="91"/>
      <c r="AN1163" s="91"/>
      <c r="AO1163" s="91"/>
      <c r="AP1163" s="91"/>
      <c r="AQ1163" s="91"/>
      <c r="AR1163" s="91"/>
      <c r="AS1163" s="91"/>
      <c r="AT1163" s="91"/>
      <c r="AU1163" s="91"/>
      <c r="AV1163" s="91"/>
      <c r="AW1163" s="91"/>
      <c r="AX1163" s="91"/>
      <c r="AY1163" s="91"/>
      <c r="AZ1163" s="91"/>
      <c r="BA1163" s="91"/>
      <c r="BB1163" s="91"/>
      <c r="BC1163" s="91"/>
      <c r="BD1163" s="91"/>
      <c r="BE1163" s="91"/>
      <c r="BF1163" s="92"/>
    </row>
    <row r="1164" spans="1:58" s="82" customFormat="1">
      <c r="A1164" s="1190" t="s">
        <v>1356</v>
      </c>
      <c r="B1164" s="1262" t="s">
        <v>1357</v>
      </c>
      <c r="C1164" s="621"/>
      <c r="D1164" s="84" t="s">
        <v>429</v>
      </c>
      <c r="E1164" s="85">
        <f t="shared" ref="E1164:E1169" si="402">F1164</f>
        <v>4.1290999999999993</v>
      </c>
      <c r="F1164" s="85">
        <f>F1165+F1166+F1167+F1168+F1169</f>
        <v>4.1290999999999993</v>
      </c>
      <c r="G1164" s="85">
        <v>0</v>
      </c>
      <c r="H1164" s="85">
        <v>0</v>
      </c>
      <c r="I1164" s="85">
        <v>0</v>
      </c>
      <c r="J1164" s="85">
        <v>0</v>
      </c>
      <c r="K1164" s="148">
        <v>0</v>
      </c>
      <c r="L1164" s="497"/>
      <c r="M1164" s="99"/>
      <c r="N1164" s="88"/>
      <c r="O1164" s="89"/>
      <c r="P1164" s="647"/>
      <c r="Q1164" s="91"/>
      <c r="R1164" s="91"/>
      <c r="S1164" s="91"/>
      <c r="T1164" s="91"/>
      <c r="U1164" s="91"/>
      <c r="V1164" s="91"/>
      <c r="W1164" s="91"/>
      <c r="X1164" s="91"/>
      <c r="Y1164" s="91"/>
      <c r="Z1164" s="91"/>
      <c r="AA1164" s="91"/>
      <c r="AB1164" s="91"/>
      <c r="AC1164" s="91"/>
      <c r="AD1164" s="91"/>
      <c r="AE1164" s="91"/>
      <c r="AF1164" s="91"/>
      <c r="AG1164" s="91"/>
      <c r="AH1164" s="91"/>
      <c r="AI1164" s="91"/>
      <c r="AJ1164" s="91"/>
      <c r="AK1164" s="91"/>
      <c r="AL1164" s="91"/>
      <c r="AM1164" s="91"/>
      <c r="AN1164" s="91"/>
      <c r="AO1164" s="91"/>
      <c r="AP1164" s="91"/>
      <c r="AQ1164" s="91"/>
      <c r="AR1164" s="91"/>
      <c r="AS1164" s="91"/>
      <c r="AT1164" s="91"/>
      <c r="AU1164" s="91"/>
      <c r="AV1164" s="91"/>
      <c r="AW1164" s="91"/>
      <c r="AX1164" s="91"/>
      <c r="AY1164" s="91"/>
      <c r="AZ1164" s="91"/>
      <c r="BA1164" s="91"/>
      <c r="BB1164" s="91"/>
      <c r="BC1164" s="91"/>
      <c r="BD1164" s="91"/>
      <c r="BE1164" s="91"/>
      <c r="BF1164" s="92"/>
    </row>
    <row r="1165" spans="1:58" s="82" customFormat="1">
      <c r="A1165" s="1191"/>
      <c r="B1165" s="1263"/>
      <c r="C1165" s="621"/>
      <c r="D1165" s="84">
        <v>2021</v>
      </c>
      <c r="E1165" s="85">
        <f t="shared" si="402"/>
        <v>0.47</v>
      </c>
      <c r="F1165" s="85">
        <v>0.47</v>
      </c>
      <c r="G1165" s="85">
        <v>0</v>
      </c>
      <c r="H1165" s="85">
        <v>0</v>
      </c>
      <c r="I1165" s="85">
        <v>0</v>
      </c>
      <c r="J1165" s="85">
        <v>0</v>
      </c>
      <c r="K1165" s="148">
        <v>0</v>
      </c>
      <c r="L1165" s="497"/>
      <c r="M1165" s="99"/>
      <c r="N1165" s="88"/>
      <c r="O1165" s="89"/>
      <c r="P1165" s="647"/>
      <c r="Q1165" s="91"/>
      <c r="R1165" s="91"/>
      <c r="S1165" s="91"/>
      <c r="T1165" s="91"/>
      <c r="U1165" s="91"/>
      <c r="V1165" s="91"/>
      <c r="W1165" s="91"/>
      <c r="X1165" s="91"/>
      <c r="Y1165" s="91"/>
      <c r="Z1165" s="91"/>
      <c r="AA1165" s="91"/>
      <c r="AB1165" s="91"/>
      <c r="AC1165" s="91"/>
      <c r="AD1165" s="91"/>
      <c r="AE1165" s="91"/>
      <c r="AF1165" s="91"/>
      <c r="AG1165" s="91"/>
      <c r="AH1165" s="91"/>
      <c r="AI1165" s="91"/>
      <c r="AJ1165" s="91"/>
      <c r="AK1165" s="91"/>
      <c r="AL1165" s="91"/>
      <c r="AM1165" s="91"/>
      <c r="AN1165" s="91"/>
      <c r="AO1165" s="91"/>
      <c r="AP1165" s="91"/>
      <c r="AQ1165" s="91"/>
      <c r="AR1165" s="91"/>
      <c r="AS1165" s="91"/>
      <c r="AT1165" s="91"/>
      <c r="AU1165" s="91"/>
      <c r="AV1165" s="91"/>
      <c r="AW1165" s="91"/>
      <c r="AX1165" s="91"/>
      <c r="AY1165" s="91"/>
      <c r="AZ1165" s="91"/>
      <c r="BA1165" s="91"/>
      <c r="BB1165" s="91"/>
      <c r="BC1165" s="91"/>
      <c r="BD1165" s="91"/>
      <c r="BE1165" s="91"/>
      <c r="BF1165" s="92"/>
    </row>
    <row r="1166" spans="1:58" s="82" customFormat="1" ht="12.75" customHeight="1">
      <c r="A1166" s="1191"/>
      <c r="B1166" s="1263"/>
      <c r="C1166" s="621"/>
      <c r="D1166" s="84">
        <v>2022</v>
      </c>
      <c r="E1166" s="85">
        <f t="shared" si="402"/>
        <v>0.98799999999999999</v>
      </c>
      <c r="F1166" s="85">
        <v>0.98799999999999999</v>
      </c>
      <c r="G1166" s="85">
        <v>0</v>
      </c>
      <c r="H1166" s="85">
        <v>0</v>
      </c>
      <c r="I1166" s="85">
        <v>0</v>
      </c>
      <c r="J1166" s="85">
        <v>0</v>
      </c>
      <c r="K1166" s="148">
        <v>0</v>
      </c>
      <c r="L1166" s="497"/>
      <c r="M1166" s="99"/>
      <c r="N1166" s="88"/>
      <c r="O1166" s="89"/>
      <c r="P1166" s="647"/>
      <c r="Q1166" s="91"/>
      <c r="R1166" s="91"/>
      <c r="S1166" s="91"/>
      <c r="T1166" s="91"/>
      <c r="U1166" s="91"/>
      <c r="V1166" s="91"/>
      <c r="W1166" s="91"/>
      <c r="X1166" s="91"/>
      <c r="Y1166" s="91"/>
      <c r="Z1166" s="91"/>
      <c r="AA1166" s="91"/>
      <c r="AB1166" s="91"/>
      <c r="AC1166" s="91"/>
      <c r="AD1166" s="91"/>
      <c r="AE1166" s="91"/>
      <c r="AF1166" s="91"/>
      <c r="AG1166" s="91"/>
      <c r="AH1166" s="91"/>
      <c r="AI1166" s="91"/>
      <c r="AJ1166" s="91"/>
      <c r="AK1166" s="91"/>
      <c r="AL1166" s="91"/>
      <c r="AM1166" s="91"/>
      <c r="AN1166" s="91"/>
      <c r="AO1166" s="91"/>
      <c r="AP1166" s="91"/>
      <c r="AQ1166" s="91"/>
      <c r="AR1166" s="91"/>
      <c r="AS1166" s="91"/>
      <c r="AT1166" s="91"/>
      <c r="AU1166" s="91"/>
      <c r="AV1166" s="91"/>
      <c r="AW1166" s="91"/>
      <c r="AX1166" s="91"/>
      <c r="AY1166" s="91"/>
      <c r="AZ1166" s="91"/>
      <c r="BA1166" s="91"/>
      <c r="BB1166" s="91"/>
      <c r="BC1166" s="91"/>
      <c r="BD1166" s="91"/>
      <c r="BE1166" s="91"/>
      <c r="BF1166" s="92"/>
    </row>
    <row r="1167" spans="1:58" s="82" customFormat="1">
      <c r="A1167" s="1191"/>
      <c r="B1167" s="1263"/>
      <c r="C1167" s="621"/>
      <c r="D1167" s="84">
        <v>2023</v>
      </c>
      <c r="E1167" s="85">
        <f t="shared" si="402"/>
        <v>0.83989999999999998</v>
      </c>
      <c r="F1167" s="85">
        <v>0.83989999999999998</v>
      </c>
      <c r="G1167" s="85">
        <v>0</v>
      </c>
      <c r="H1167" s="85">
        <v>0</v>
      </c>
      <c r="I1167" s="85">
        <v>0</v>
      </c>
      <c r="J1167" s="85">
        <v>0</v>
      </c>
      <c r="K1167" s="148">
        <v>0</v>
      </c>
      <c r="L1167" s="497"/>
      <c r="M1167" s="99"/>
      <c r="N1167" s="88"/>
      <c r="O1167" s="89"/>
      <c r="P1167" s="647"/>
      <c r="Q1167" s="91"/>
      <c r="R1167" s="91"/>
      <c r="S1167" s="91"/>
      <c r="T1167" s="91"/>
      <c r="U1167" s="91"/>
      <c r="V1167" s="91"/>
      <c r="W1167" s="91"/>
      <c r="X1167" s="91"/>
      <c r="Y1167" s="91"/>
      <c r="Z1167" s="91"/>
      <c r="AA1167" s="91"/>
      <c r="AB1167" s="91"/>
      <c r="AC1167" s="91"/>
      <c r="AD1167" s="91"/>
      <c r="AE1167" s="91"/>
      <c r="AF1167" s="91"/>
      <c r="AG1167" s="91"/>
      <c r="AH1167" s="91"/>
      <c r="AI1167" s="91"/>
      <c r="AJ1167" s="91"/>
      <c r="AK1167" s="91"/>
      <c r="AL1167" s="91"/>
      <c r="AM1167" s="91"/>
      <c r="AN1167" s="91"/>
      <c r="AO1167" s="91"/>
      <c r="AP1167" s="91"/>
      <c r="AQ1167" s="91"/>
      <c r="AR1167" s="91"/>
      <c r="AS1167" s="91"/>
      <c r="AT1167" s="91"/>
      <c r="AU1167" s="91"/>
      <c r="AV1167" s="91"/>
      <c r="AW1167" s="91"/>
      <c r="AX1167" s="91"/>
      <c r="AY1167" s="91"/>
      <c r="AZ1167" s="91"/>
      <c r="BA1167" s="91"/>
      <c r="BB1167" s="91"/>
      <c r="BC1167" s="91"/>
      <c r="BD1167" s="91"/>
      <c r="BE1167" s="91"/>
      <c r="BF1167" s="92"/>
    </row>
    <row r="1168" spans="1:58" s="82" customFormat="1">
      <c r="A1168" s="1191"/>
      <c r="B1168" s="1263"/>
      <c r="C1168" s="621"/>
      <c r="D1168" s="84">
        <v>2024</v>
      </c>
      <c r="E1168" s="85">
        <f t="shared" si="402"/>
        <v>0.89770000000000005</v>
      </c>
      <c r="F1168" s="85">
        <v>0.89770000000000005</v>
      </c>
      <c r="G1168" s="85">
        <v>0</v>
      </c>
      <c r="H1168" s="85">
        <v>0</v>
      </c>
      <c r="I1168" s="85">
        <v>0</v>
      </c>
      <c r="J1168" s="85">
        <v>0</v>
      </c>
      <c r="K1168" s="148">
        <v>0</v>
      </c>
      <c r="L1168" s="497"/>
      <c r="M1168" s="99"/>
      <c r="N1168" s="88"/>
      <c r="O1168" s="89"/>
      <c r="P1168" s="647"/>
      <c r="Q1168" s="91"/>
      <c r="R1168" s="91"/>
      <c r="S1168" s="91"/>
      <c r="T1168" s="91"/>
      <c r="U1168" s="91"/>
      <c r="V1168" s="91"/>
      <c r="W1168" s="91"/>
      <c r="X1168" s="91"/>
      <c r="Y1168" s="91"/>
      <c r="Z1168" s="91"/>
      <c r="AA1168" s="91"/>
      <c r="AB1168" s="91"/>
      <c r="AC1168" s="91"/>
      <c r="AD1168" s="91"/>
      <c r="AE1168" s="91"/>
      <c r="AF1168" s="91"/>
      <c r="AG1168" s="91"/>
      <c r="AH1168" s="91"/>
      <c r="AI1168" s="91"/>
      <c r="AJ1168" s="91"/>
      <c r="AK1168" s="91"/>
      <c r="AL1168" s="91"/>
      <c r="AM1168" s="91"/>
      <c r="AN1168" s="91"/>
      <c r="AO1168" s="91"/>
      <c r="AP1168" s="91"/>
      <c r="AQ1168" s="91"/>
      <c r="AR1168" s="91"/>
      <c r="AS1168" s="91"/>
      <c r="AT1168" s="91"/>
      <c r="AU1168" s="91"/>
      <c r="AV1168" s="91"/>
      <c r="AW1168" s="91"/>
      <c r="AX1168" s="91"/>
      <c r="AY1168" s="91"/>
      <c r="AZ1168" s="91"/>
      <c r="BA1168" s="91"/>
      <c r="BB1168" s="91"/>
      <c r="BC1168" s="91"/>
      <c r="BD1168" s="91"/>
      <c r="BE1168" s="91"/>
      <c r="BF1168" s="92"/>
    </row>
    <row r="1169" spans="1:58" s="82" customFormat="1">
      <c r="A1169" s="1192"/>
      <c r="B1169" s="1274"/>
      <c r="C1169" s="621"/>
      <c r="D1169" s="84">
        <v>2025</v>
      </c>
      <c r="E1169" s="85">
        <f t="shared" si="402"/>
        <v>0.9335</v>
      </c>
      <c r="F1169" s="85">
        <v>0.9335</v>
      </c>
      <c r="G1169" s="85">
        <v>0</v>
      </c>
      <c r="H1169" s="85">
        <v>0</v>
      </c>
      <c r="I1169" s="85">
        <v>0</v>
      </c>
      <c r="J1169" s="85">
        <v>0</v>
      </c>
      <c r="K1169" s="148">
        <v>0</v>
      </c>
      <c r="L1169" s="497"/>
      <c r="M1169" s="99"/>
      <c r="N1169" s="88"/>
      <c r="O1169" s="89"/>
      <c r="P1169" s="647"/>
      <c r="Q1169" s="91"/>
      <c r="R1169" s="91"/>
      <c r="S1169" s="91"/>
      <c r="T1169" s="91"/>
      <c r="U1169" s="91"/>
      <c r="V1169" s="91"/>
      <c r="W1169" s="91"/>
      <c r="X1169" s="91"/>
      <c r="Y1169" s="91"/>
      <c r="Z1169" s="91"/>
      <c r="AA1169" s="91"/>
      <c r="AB1169" s="91"/>
      <c r="AC1169" s="91"/>
      <c r="AD1169" s="91"/>
      <c r="AE1169" s="91"/>
      <c r="AF1169" s="91"/>
      <c r="AG1169" s="91"/>
      <c r="AH1169" s="91"/>
      <c r="AI1169" s="91"/>
      <c r="AJ1169" s="91"/>
      <c r="AK1169" s="91"/>
      <c r="AL1169" s="91"/>
      <c r="AM1169" s="91"/>
      <c r="AN1169" s="91"/>
      <c r="AO1169" s="91"/>
      <c r="AP1169" s="91"/>
      <c r="AQ1169" s="91"/>
      <c r="AR1169" s="91"/>
      <c r="AS1169" s="91"/>
      <c r="AT1169" s="91"/>
      <c r="AU1169" s="91"/>
      <c r="AV1169" s="91"/>
      <c r="AW1169" s="91"/>
      <c r="AX1169" s="91"/>
      <c r="AY1169" s="91"/>
      <c r="AZ1169" s="91"/>
      <c r="BA1169" s="91"/>
      <c r="BB1169" s="91"/>
      <c r="BC1169" s="91"/>
      <c r="BD1169" s="91"/>
      <c r="BE1169" s="91"/>
      <c r="BF1169" s="92"/>
    </row>
    <row r="1170" spans="1:58" s="82" customFormat="1" ht="11.25" customHeight="1">
      <c r="A1170" s="1066" t="s">
        <v>1358</v>
      </c>
      <c r="B1170" s="929" t="s">
        <v>1038</v>
      </c>
      <c r="C1170" s="1334"/>
      <c r="D1170" s="84" t="s">
        <v>16</v>
      </c>
      <c r="E1170" s="313">
        <f>SUM(E1171:E1177)</f>
        <v>9.2238699999999998</v>
      </c>
      <c r="F1170" s="313">
        <f>SUM(F1171:F1177)</f>
        <v>9.2238699999999998</v>
      </c>
      <c r="G1170" s="313">
        <f>SUM(G1171:G1177)</f>
        <v>0</v>
      </c>
      <c r="H1170" s="313">
        <f>SUM(H1171:H1177)</f>
        <v>0</v>
      </c>
      <c r="I1170" s="313">
        <f>SUM(I1171:I1177)</f>
        <v>0</v>
      </c>
      <c r="J1170" s="313">
        <v>0</v>
      </c>
      <c r="K1170" s="148">
        <v>0</v>
      </c>
      <c r="L1170" s="497">
        <f>F1170+G1170+H1170+I1170+J1170</f>
        <v>9.2238699999999998</v>
      </c>
      <c r="M1170" s="136"/>
      <c r="N1170" s="88"/>
      <c r="O1170" s="89"/>
      <c r="P1170" s="1286" t="s">
        <v>360</v>
      </c>
      <c r="Q1170" s="91"/>
      <c r="R1170" s="91"/>
      <c r="S1170" s="91"/>
      <c r="T1170" s="91"/>
      <c r="U1170" s="91"/>
      <c r="V1170" s="91"/>
      <c r="W1170" s="91"/>
      <c r="X1170" s="91"/>
      <c r="Y1170" s="91"/>
      <c r="Z1170" s="91"/>
      <c r="AA1170" s="91"/>
      <c r="AB1170" s="91"/>
      <c r="AC1170" s="91"/>
      <c r="AD1170" s="91"/>
      <c r="AE1170" s="91"/>
      <c r="AF1170" s="91"/>
      <c r="AG1170" s="91"/>
      <c r="AH1170" s="91"/>
      <c r="AI1170" s="91"/>
      <c r="AJ1170" s="91"/>
      <c r="AK1170" s="91"/>
      <c r="AL1170" s="91"/>
      <c r="AM1170" s="91"/>
      <c r="AN1170" s="91"/>
      <c r="AO1170" s="91"/>
      <c r="AP1170" s="91"/>
      <c r="AQ1170" s="91"/>
      <c r="AR1170" s="91"/>
      <c r="AS1170" s="91"/>
      <c r="AT1170" s="91"/>
      <c r="AU1170" s="91"/>
      <c r="AV1170" s="91"/>
      <c r="AW1170" s="91"/>
      <c r="AX1170" s="91"/>
      <c r="AY1170" s="91"/>
      <c r="AZ1170" s="91"/>
      <c r="BA1170" s="91"/>
      <c r="BB1170" s="91"/>
      <c r="BC1170" s="91"/>
      <c r="BD1170" s="91"/>
      <c r="BE1170" s="91"/>
      <c r="BF1170" s="92"/>
    </row>
    <row r="1171" spans="1:58" s="82" customFormat="1">
      <c r="A1171" s="1067"/>
      <c r="B1171" s="953"/>
      <c r="C1171" s="1335"/>
      <c r="D1171" s="84">
        <v>2019</v>
      </c>
      <c r="E1171" s="136">
        <f>E1179+E1201+E1209</f>
        <v>1.7753899999999998</v>
      </c>
      <c r="F1171" s="136">
        <f>F1179+F1201+F1209</f>
        <v>1.7753899999999998</v>
      </c>
      <c r="G1171" s="136">
        <f t="shared" ref="G1171:J1173" si="403">G1179+G1201</f>
        <v>0</v>
      </c>
      <c r="H1171" s="136">
        <f t="shared" si="403"/>
        <v>0</v>
      </c>
      <c r="I1171" s="136">
        <f t="shared" si="403"/>
        <v>0</v>
      </c>
      <c r="J1171" s="313">
        <f t="shared" si="403"/>
        <v>0</v>
      </c>
      <c r="K1171" s="148">
        <v>0</v>
      </c>
      <c r="L1171" s="497">
        <f>F1171+G1171+H1171+I1171+J1171</f>
        <v>1.7753899999999998</v>
      </c>
      <c r="M1171" s="136"/>
      <c r="N1171" s="88"/>
      <c r="O1171" s="89"/>
      <c r="P1171" s="1218"/>
      <c r="Q1171" s="91"/>
      <c r="R1171" s="91"/>
      <c r="S1171" s="91"/>
      <c r="T1171" s="91"/>
      <c r="U1171" s="91"/>
      <c r="V1171" s="91"/>
      <c r="W1171" s="91"/>
      <c r="X1171" s="91"/>
      <c r="Y1171" s="91"/>
      <c r="Z1171" s="91"/>
      <c r="AA1171" s="91"/>
      <c r="AB1171" s="91"/>
      <c r="AC1171" s="91"/>
      <c r="AD1171" s="91"/>
      <c r="AE1171" s="91"/>
      <c r="AF1171" s="91"/>
      <c r="AG1171" s="91"/>
      <c r="AH1171" s="91"/>
      <c r="AI1171" s="91"/>
      <c r="AJ1171" s="91"/>
      <c r="AK1171" s="91"/>
      <c r="AL1171" s="91"/>
      <c r="AM1171" s="91"/>
      <c r="AN1171" s="91"/>
      <c r="AO1171" s="91"/>
      <c r="AP1171" s="91"/>
      <c r="AQ1171" s="91"/>
      <c r="AR1171" s="91"/>
      <c r="AS1171" s="91"/>
      <c r="AT1171" s="91"/>
      <c r="AU1171" s="91"/>
      <c r="AV1171" s="91"/>
      <c r="AW1171" s="91"/>
      <c r="AX1171" s="91"/>
      <c r="AY1171" s="91"/>
      <c r="AZ1171" s="91"/>
      <c r="BA1171" s="91"/>
      <c r="BB1171" s="91"/>
      <c r="BC1171" s="91"/>
      <c r="BD1171" s="91"/>
      <c r="BE1171" s="91"/>
      <c r="BF1171" s="92"/>
    </row>
    <row r="1172" spans="1:58" s="82" customFormat="1">
      <c r="A1172" s="1067"/>
      <c r="B1172" s="953"/>
      <c r="C1172" s="1335"/>
      <c r="D1172" s="84">
        <v>2020</v>
      </c>
      <c r="E1172" s="136">
        <f>E1180+E1195+E1210</f>
        <v>1.3309</v>
      </c>
      <c r="F1172" s="136">
        <f>F1180+F1195+F1210</f>
        <v>1.3309</v>
      </c>
      <c r="G1172" s="136">
        <f t="shared" si="403"/>
        <v>0</v>
      </c>
      <c r="H1172" s="136">
        <f t="shared" si="403"/>
        <v>0</v>
      </c>
      <c r="I1172" s="136">
        <f t="shared" si="403"/>
        <v>0</v>
      </c>
      <c r="J1172" s="313">
        <f t="shared" si="403"/>
        <v>0</v>
      </c>
      <c r="K1172" s="148">
        <v>0</v>
      </c>
      <c r="L1172" s="497">
        <f>F1172+G1172+H1172+I1172+J1172</f>
        <v>1.3309</v>
      </c>
      <c r="M1172" s="136"/>
      <c r="N1172" s="88"/>
      <c r="O1172" s="89"/>
      <c r="P1172" s="1218"/>
      <c r="Q1172" s="91"/>
      <c r="R1172" s="91"/>
      <c r="S1172" s="91"/>
      <c r="T1172" s="91"/>
      <c r="U1172" s="91"/>
      <c r="V1172" s="91"/>
      <c r="W1172" s="91"/>
      <c r="X1172" s="91"/>
      <c r="Y1172" s="91"/>
      <c r="Z1172" s="91"/>
      <c r="AA1172" s="91"/>
      <c r="AB1172" s="91"/>
      <c r="AC1172" s="91"/>
      <c r="AD1172" s="91"/>
      <c r="AE1172" s="91"/>
      <c r="AF1172" s="91"/>
      <c r="AG1172" s="91"/>
      <c r="AH1172" s="91"/>
      <c r="AI1172" s="91"/>
      <c r="AJ1172" s="91"/>
      <c r="AK1172" s="91"/>
      <c r="AL1172" s="91"/>
      <c r="AM1172" s="91"/>
      <c r="AN1172" s="91"/>
      <c r="AO1172" s="91"/>
      <c r="AP1172" s="91"/>
      <c r="AQ1172" s="91"/>
      <c r="AR1172" s="91"/>
      <c r="AS1172" s="91"/>
      <c r="AT1172" s="91"/>
      <c r="AU1172" s="91"/>
      <c r="AV1172" s="91"/>
      <c r="AW1172" s="91"/>
      <c r="AX1172" s="91"/>
      <c r="AY1172" s="91"/>
      <c r="AZ1172" s="91"/>
      <c r="BA1172" s="91"/>
      <c r="BB1172" s="91"/>
      <c r="BC1172" s="91"/>
      <c r="BD1172" s="91"/>
      <c r="BE1172" s="91"/>
      <c r="BF1172" s="92"/>
    </row>
    <row r="1173" spans="1:58" s="82" customFormat="1">
      <c r="A1173" s="1067"/>
      <c r="B1173" s="953"/>
      <c r="C1173" s="1335"/>
      <c r="D1173" s="84">
        <v>2021</v>
      </c>
      <c r="E1173" s="136">
        <f>E1181+E1203+E1211</f>
        <v>1.0168999999999999</v>
      </c>
      <c r="F1173" s="136">
        <f>F1181+F1203+F1211</f>
        <v>1.0168999999999999</v>
      </c>
      <c r="G1173" s="136">
        <f t="shared" si="403"/>
        <v>0</v>
      </c>
      <c r="H1173" s="136">
        <f t="shared" si="403"/>
        <v>0</v>
      </c>
      <c r="I1173" s="136">
        <f t="shared" si="403"/>
        <v>0</v>
      </c>
      <c r="J1173" s="313">
        <f t="shared" si="403"/>
        <v>0</v>
      </c>
      <c r="K1173" s="148">
        <v>0</v>
      </c>
      <c r="L1173" s="497">
        <f>F1173+G1173+H1173+I1173+J1173</f>
        <v>1.0168999999999999</v>
      </c>
      <c r="M1173" s="136"/>
      <c r="N1173" s="88"/>
      <c r="O1173" s="89"/>
      <c r="P1173" s="1218"/>
      <c r="Q1173" s="91"/>
      <c r="R1173" s="91"/>
      <c r="S1173" s="91"/>
      <c r="T1173" s="91"/>
      <c r="U1173" s="91"/>
      <c r="V1173" s="91"/>
      <c r="W1173" s="91"/>
      <c r="X1173" s="91"/>
      <c r="Y1173" s="91"/>
      <c r="Z1173" s="91"/>
      <c r="AA1173" s="91"/>
      <c r="AB1173" s="91"/>
      <c r="AC1173" s="91"/>
      <c r="AD1173" s="91"/>
      <c r="AE1173" s="91"/>
      <c r="AF1173" s="91"/>
      <c r="AG1173" s="91"/>
      <c r="AH1173" s="91"/>
      <c r="AI1173" s="91"/>
      <c r="AJ1173" s="91"/>
      <c r="AK1173" s="91"/>
      <c r="AL1173" s="91"/>
      <c r="AM1173" s="91"/>
      <c r="AN1173" s="91"/>
      <c r="AO1173" s="91"/>
      <c r="AP1173" s="91"/>
      <c r="AQ1173" s="91"/>
      <c r="AR1173" s="91"/>
      <c r="AS1173" s="91"/>
      <c r="AT1173" s="91"/>
      <c r="AU1173" s="91"/>
      <c r="AV1173" s="91"/>
      <c r="AW1173" s="91"/>
      <c r="AX1173" s="91"/>
      <c r="AY1173" s="91"/>
      <c r="AZ1173" s="91"/>
      <c r="BA1173" s="91"/>
      <c r="BB1173" s="91"/>
      <c r="BC1173" s="91"/>
      <c r="BD1173" s="91"/>
      <c r="BE1173" s="91"/>
      <c r="BF1173" s="92"/>
    </row>
    <row r="1174" spans="1:58" s="82" customFormat="1">
      <c r="A1174" s="1340"/>
      <c r="B1174" s="960"/>
      <c r="C1174" s="1335"/>
      <c r="D1174" s="84">
        <v>2022</v>
      </c>
      <c r="E1174" s="136">
        <f t="shared" ref="E1174:J1174" si="404">E1182+E1197+E1212</f>
        <v>0.94469999999999998</v>
      </c>
      <c r="F1174" s="136">
        <f t="shared" si="404"/>
        <v>0.94469999999999998</v>
      </c>
      <c r="G1174" s="136">
        <f t="shared" si="404"/>
        <v>0</v>
      </c>
      <c r="H1174" s="136">
        <f t="shared" si="404"/>
        <v>0</v>
      </c>
      <c r="I1174" s="136">
        <f t="shared" si="404"/>
        <v>0</v>
      </c>
      <c r="J1174" s="313">
        <f t="shared" si="404"/>
        <v>0</v>
      </c>
      <c r="K1174" s="148">
        <v>0</v>
      </c>
      <c r="L1174" s="474">
        <f>L1182+L1204+L1212</f>
        <v>0.94469999999999998</v>
      </c>
      <c r="M1174" s="136"/>
      <c r="N1174" s="88"/>
      <c r="O1174" s="89"/>
      <c r="P1174" s="1218"/>
      <c r="Q1174" s="91"/>
      <c r="R1174" s="91"/>
      <c r="S1174" s="91"/>
      <c r="T1174" s="91"/>
      <c r="U1174" s="91"/>
      <c r="V1174" s="91"/>
      <c r="W1174" s="91"/>
      <c r="X1174" s="91"/>
      <c r="Y1174" s="91"/>
      <c r="Z1174" s="91"/>
      <c r="AA1174" s="91"/>
      <c r="AB1174" s="91"/>
      <c r="AC1174" s="91"/>
      <c r="AD1174" s="91"/>
      <c r="AE1174" s="91"/>
      <c r="AF1174" s="91"/>
      <c r="AG1174" s="91"/>
      <c r="AH1174" s="91"/>
      <c r="AI1174" s="91"/>
      <c r="AJ1174" s="91"/>
      <c r="AK1174" s="91"/>
      <c r="AL1174" s="91"/>
      <c r="AM1174" s="91"/>
      <c r="AN1174" s="91"/>
      <c r="AO1174" s="91"/>
      <c r="AP1174" s="91"/>
      <c r="AQ1174" s="91"/>
      <c r="AR1174" s="91"/>
      <c r="AS1174" s="91"/>
      <c r="AT1174" s="91"/>
      <c r="AU1174" s="91"/>
      <c r="AV1174" s="91"/>
      <c r="AW1174" s="91"/>
      <c r="AX1174" s="91"/>
      <c r="AY1174" s="91"/>
      <c r="AZ1174" s="91"/>
      <c r="BA1174" s="91"/>
      <c r="BB1174" s="91"/>
      <c r="BC1174" s="91"/>
      <c r="BD1174" s="91"/>
      <c r="BE1174" s="91"/>
      <c r="BF1174" s="92"/>
    </row>
    <row r="1175" spans="1:58" s="82" customFormat="1">
      <c r="A1175" s="1340"/>
      <c r="B1175" s="960"/>
      <c r="C1175" s="1335"/>
      <c r="D1175" s="84">
        <v>2023</v>
      </c>
      <c r="E1175" s="136">
        <f t="shared" ref="E1175:J1177" si="405">E1183+E1205+E1213</f>
        <v>0.97899999999999998</v>
      </c>
      <c r="F1175" s="136">
        <f t="shared" si="405"/>
        <v>0.97899999999999998</v>
      </c>
      <c r="G1175" s="136">
        <f t="shared" si="405"/>
        <v>0</v>
      </c>
      <c r="H1175" s="136">
        <f t="shared" si="405"/>
        <v>0</v>
      </c>
      <c r="I1175" s="136">
        <f t="shared" si="405"/>
        <v>0</v>
      </c>
      <c r="J1175" s="313">
        <f t="shared" si="405"/>
        <v>0</v>
      </c>
      <c r="K1175" s="148">
        <v>0</v>
      </c>
      <c r="L1175" s="497">
        <f t="shared" ref="L1175:L1206" si="406">F1175+G1175+H1175+I1175+J1175</f>
        <v>0.97899999999999998</v>
      </c>
      <c r="M1175" s="136"/>
      <c r="N1175" s="88"/>
      <c r="O1175" s="89"/>
      <c r="P1175" s="1218"/>
      <c r="Q1175" s="91"/>
      <c r="R1175" s="91"/>
      <c r="S1175" s="91"/>
      <c r="T1175" s="91"/>
      <c r="U1175" s="91"/>
      <c r="V1175" s="91"/>
      <c r="W1175" s="91"/>
      <c r="X1175" s="91"/>
      <c r="Y1175" s="91"/>
      <c r="Z1175" s="91"/>
      <c r="AA1175" s="91"/>
      <c r="AB1175" s="91"/>
      <c r="AC1175" s="91"/>
      <c r="AD1175" s="91"/>
      <c r="AE1175" s="91"/>
      <c r="AF1175" s="91"/>
      <c r="AG1175" s="91"/>
      <c r="AH1175" s="91"/>
      <c r="AI1175" s="91"/>
      <c r="AJ1175" s="91"/>
      <c r="AK1175" s="91"/>
      <c r="AL1175" s="91"/>
      <c r="AM1175" s="91"/>
      <c r="AN1175" s="91"/>
      <c r="AO1175" s="91"/>
      <c r="AP1175" s="91"/>
      <c r="AQ1175" s="91"/>
      <c r="AR1175" s="91"/>
      <c r="AS1175" s="91"/>
      <c r="AT1175" s="91"/>
      <c r="AU1175" s="91"/>
      <c r="AV1175" s="91"/>
      <c r="AW1175" s="91"/>
      <c r="AX1175" s="91"/>
      <c r="AY1175" s="91"/>
      <c r="AZ1175" s="91"/>
      <c r="BA1175" s="91"/>
      <c r="BB1175" s="91"/>
      <c r="BC1175" s="91"/>
      <c r="BD1175" s="91"/>
      <c r="BE1175" s="91"/>
      <c r="BF1175" s="92"/>
    </row>
    <row r="1176" spans="1:58" s="82" customFormat="1">
      <c r="A1176" s="1340"/>
      <c r="B1176" s="960"/>
      <c r="C1176" s="1335"/>
      <c r="D1176" s="84">
        <v>2024</v>
      </c>
      <c r="E1176" s="136">
        <f t="shared" si="405"/>
        <v>1.5569999999999999</v>
      </c>
      <c r="F1176" s="136">
        <f t="shared" si="405"/>
        <v>1.5569999999999999</v>
      </c>
      <c r="G1176" s="136">
        <f t="shared" si="405"/>
        <v>0</v>
      </c>
      <c r="H1176" s="136">
        <f t="shared" si="405"/>
        <v>0</v>
      </c>
      <c r="I1176" s="136">
        <f t="shared" si="405"/>
        <v>0</v>
      </c>
      <c r="J1176" s="313">
        <f t="shared" si="405"/>
        <v>0</v>
      </c>
      <c r="K1176" s="148">
        <v>0</v>
      </c>
      <c r="L1176" s="497">
        <f t="shared" si="406"/>
        <v>1.5569999999999999</v>
      </c>
      <c r="M1176" s="136"/>
      <c r="N1176" s="88"/>
      <c r="O1176" s="89"/>
      <c r="P1176" s="1218"/>
      <c r="Q1176" s="91"/>
      <c r="R1176" s="91"/>
      <c r="S1176" s="91"/>
      <c r="T1176" s="91"/>
      <c r="U1176" s="91"/>
      <c r="V1176" s="91"/>
      <c r="W1176" s="91"/>
      <c r="X1176" s="91"/>
      <c r="Y1176" s="91"/>
      <c r="Z1176" s="91"/>
      <c r="AA1176" s="91"/>
      <c r="AB1176" s="91"/>
      <c r="AC1176" s="91"/>
      <c r="AD1176" s="91"/>
      <c r="AE1176" s="91"/>
      <c r="AF1176" s="91"/>
      <c r="AG1176" s="91"/>
      <c r="AH1176" s="91"/>
      <c r="AI1176" s="91"/>
      <c r="AJ1176" s="91"/>
      <c r="AK1176" s="91"/>
      <c r="AL1176" s="91"/>
      <c r="AM1176" s="91"/>
      <c r="AN1176" s="91"/>
      <c r="AO1176" s="91"/>
      <c r="AP1176" s="91"/>
      <c r="AQ1176" s="91"/>
      <c r="AR1176" s="91"/>
      <c r="AS1176" s="91"/>
      <c r="AT1176" s="91"/>
      <c r="AU1176" s="91"/>
      <c r="AV1176" s="91"/>
      <c r="AW1176" s="91"/>
      <c r="AX1176" s="91"/>
      <c r="AY1176" s="91"/>
      <c r="AZ1176" s="91"/>
      <c r="BA1176" s="91"/>
      <c r="BB1176" s="91"/>
      <c r="BC1176" s="91"/>
      <c r="BD1176" s="91"/>
      <c r="BE1176" s="91"/>
      <c r="BF1176" s="92"/>
    </row>
    <row r="1177" spans="1:58" s="82" customFormat="1">
      <c r="A1177" s="1340"/>
      <c r="B1177" s="960"/>
      <c r="C1177" s="1336"/>
      <c r="D1177" s="84">
        <v>2025</v>
      </c>
      <c r="E1177" s="136">
        <f t="shared" si="405"/>
        <v>1.6199800000000002</v>
      </c>
      <c r="F1177" s="136">
        <f t="shared" si="405"/>
        <v>1.6199800000000002</v>
      </c>
      <c r="G1177" s="136">
        <f t="shared" si="405"/>
        <v>0</v>
      </c>
      <c r="H1177" s="136">
        <f t="shared" si="405"/>
        <v>0</v>
      </c>
      <c r="I1177" s="136">
        <f t="shared" si="405"/>
        <v>0</v>
      </c>
      <c r="J1177" s="313">
        <f t="shared" si="405"/>
        <v>0</v>
      </c>
      <c r="K1177" s="148">
        <v>0</v>
      </c>
      <c r="L1177" s="497">
        <f t="shared" si="406"/>
        <v>1.6199800000000002</v>
      </c>
      <c r="M1177" s="136"/>
      <c r="N1177" s="88"/>
      <c r="O1177" s="89"/>
      <c r="P1177" s="1218"/>
      <c r="Q1177" s="91"/>
      <c r="R1177" s="91"/>
      <c r="S1177" s="91"/>
      <c r="T1177" s="91"/>
      <c r="U1177" s="91"/>
      <c r="V1177" s="91"/>
      <c r="W1177" s="91"/>
      <c r="X1177" s="91"/>
      <c r="Y1177" s="91"/>
      <c r="Z1177" s="91"/>
      <c r="AA1177" s="91"/>
      <c r="AB1177" s="91"/>
      <c r="AC1177" s="91"/>
      <c r="AD1177" s="91"/>
      <c r="AE1177" s="91"/>
      <c r="AF1177" s="91"/>
      <c r="AG1177" s="91"/>
      <c r="AH1177" s="91"/>
      <c r="AI1177" s="91"/>
      <c r="AJ1177" s="91"/>
      <c r="AK1177" s="91"/>
      <c r="AL1177" s="91"/>
      <c r="AM1177" s="91"/>
      <c r="AN1177" s="91"/>
      <c r="AO1177" s="91"/>
      <c r="AP1177" s="91"/>
      <c r="AQ1177" s="91"/>
      <c r="AR1177" s="91"/>
      <c r="AS1177" s="91"/>
      <c r="AT1177" s="91"/>
      <c r="AU1177" s="91"/>
      <c r="AV1177" s="91"/>
      <c r="AW1177" s="91"/>
      <c r="AX1177" s="91"/>
      <c r="AY1177" s="91"/>
      <c r="AZ1177" s="91"/>
      <c r="BA1177" s="91"/>
      <c r="BB1177" s="91"/>
      <c r="BC1177" s="91"/>
      <c r="BD1177" s="91"/>
      <c r="BE1177" s="91"/>
      <c r="BF1177" s="92"/>
    </row>
    <row r="1178" spans="1:58" s="82" customFormat="1" ht="19.5" customHeight="1">
      <c r="A1178" s="1337" t="s">
        <v>1359</v>
      </c>
      <c r="B1178" s="1080" t="s">
        <v>1041</v>
      </c>
      <c r="C1178" s="637"/>
      <c r="D1178" s="84" t="s">
        <v>16</v>
      </c>
      <c r="E1178" s="313">
        <f t="shared" ref="E1178:J1178" si="407">E1179+E1180+E1181+E1182+E1183+E1184+E1185</f>
        <v>2.51803</v>
      </c>
      <c r="F1178" s="313">
        <f t="shared" si="407"/>
        <v>2.51803</v>
      </c>
      <c r="G1178" s="313">
        <f t="shared" si="407"/>
        <v>0</v>
      </c>
      <c r="H1178" s="313">
        <f t="shared" si="407"/>
        <v>0</v>
      </c>
      <c r="I1178" s="313">
        <f t="shared" si="407"/>
        <v>0</v>
      </c>
      <c r="J1178" s="313">
        <f t="shared" si="407"/>
        <v>0</v>
      </c>
      <c r="K1178" s="148">
        <v>0</v>
      </c>
      <c r="L1178" s="497">
        <f t="shared" si="406"/>
        <v>2.51803</v>
      </c>
      <c r="M1178" s="136"/>
      <c r="N1178" s="88"/>
      <c r="O1178" s="89"/>
      <c r="P1178" s="1218"/>
      <c r="Q1178" s="91"/>
      <c r="R1178" s="91"/>
      <c r="S1178" s="91"/>
      <c r="T1178" s="91"/>
      <c r="U1178" s="91"/>
      <c r="V1178" s="91"/>
      <c r="W1178" s="91"/>
      <c r="X1178" s="91"/>
      <c r="Y1178" s="91"/>
      <c r="Z1178" s="91"/>
      <c r="AA1178" s="91"/>
      <c r="AB1178" s="91"/>
      <c r="AC1178" s="91"/>
      <c r="AD1178" s="91"/>
      <c r="AE1178" s="91"/>
      <c r="AF1178" s="91"/>
      <c r="AG1178" s="91"/>
      <c r="AH1178" s="91"/>
      <c r="AI1178" s="91"/>
      <c r="AJ1178" s="91"/>
      <c r="AK1178" s="91"/>
      <c r="AL1178" s="91"/>
      <c r="AM1178" s="91"/>
      <c r="AN1178" s="91"/>
      <c r="AO1178" s="91"/>
      <c r="AP1178" s="91"/>
      <c r="AQ1178" s="91"/>
      <c r="AR1178" s="91"/>
      <c r="AS1178" s="91"/>
      <c r="AT1178" s="91"/>
      <c r="AU1178" s="91"/>
      <c r="AV1178" s="91"/>
      <c r="AW1178" s="91"/>
      <c r="AX1178" s="91"/>
      <c r="AY1178" s="91"/>
      <c r="AZ1178" s="91"/>
      <c r="BA1178" s="91"/>
      <c r="BB1178" s="91"/>
      <c r="BC1178" s="91"/>
      <c r="BD1178" s="91"/>
      <c r="BE1178" s="91"/>
      <c r="BF1178" s="92"/>
    </row>
    <row r="1179" spans="1:58" s="82" customFormat="1" ht="12.75" customHeight="1">
      <c r="A1179" s="1338"/>
      <c r="B1179" s="960"/>
      <c r="C1179" s="637"/>
      <c r="D1179" s="84">
        <v>2019</v>
      </c>
      <c r="E1179" s="85">
        <f>F1179+G1179+H1179+I1179+J1179</f>
        <v>0.74209999999999998</v>
      </c>
      <c r="F1179" s="85">
        <f t="shared" ref="F1179:J1185" si="408">F1186</f>
        <v>0.74209999999999998</v>
      </c>
      <c r="G1179" s="85">
        <f t="shared" si="408"/>
        <v>0</v>
      </c>
      <c r="H1179" s="85">
        <f t="shared" si="408"/>
        <v>0</v>
      </c>
      <c r="I1179" s="85">
        <f t="shared" si="408"/>
        <v>0</v>
      </c>
      <c r="J1179" s="85">
        <f t="shared" si="408"/>
        <v>0</v>
      </c>
      <c r="K1179" s="148">
        <v>0</v>
      </c>
      <c r="L1179" s="497">
        <f t="shared" si="406"/>
        <v>0.74209999999999998</v>
      </c>
      <c r="M1179" s="216"/>
      <c r="N1179" s="88"/>
      <c r="O1179" s="89"/>
      <c r="P1179" s="1218"/>
      <c r="Q1179" s="91"/>
      <c r="R1179" s="91"/>
      <c r="S1179" s="91"/>
      <c r="T1179" s="91"/>
      <c r="U1179" s="91"/>
      <c r="V1179" s="91"/>
      <c r="W1179" s="91"/>
      <c r="X1179" s="91"/>
      <c r="Y1179" s="91"/>
      <c r="Z1179" s="91"/>
      <c r="AA1179" s="91"/>
      <c r="AB1179" s="91"/>
      <c r="AC1179" s="91"/>
      <c r="AD1179" s="91"/>
      <c r="AE1179" s="91"/>
      <c r="AF1179" s="91"/>
      <c r="AG1179" s="91"/>
      <c r="AH1179" s="91"/>
      <c r="AI1179" s="91"/>
      <c r="AJ1179" s="91"/>
      <c r="AK1179" s="91"/>
      <c r="AL1179" s="91"/>
      <c r="AM1179" s="91"/>
      <c r="AN1179" s="91"/>
      <c r="AO1179" s="91"/>
      <c r="AP1179" s="91"/>
      <c r="AQ1179" s="91"/>
      <c r="AR1179" s="91"/>
      <c r="AS1179" s="91"/>
      <c r="AT1179" s="91"/>
      <c r="AU1179" s="91"/>
      <c r="AV1179" s="91"/>
      <c r="AW1179" s="91"/>
      <c r="AX1179" s="91"/>
      <c r="AY1179" s="91"/>
      <c r="AZ1179" s="91"/>
      <c r="BA1179" s="91"/>
      <c r="BB1179" s="91"/>
      <c r="BC1179" s="91"/>
      <c r="BD1179" s="91"/>
      <c r="BE1179" s="91"/>
      <c r="BF1179" s="92"/>
    </row>
    <row r="1180" spans="1:58" s="82" customFormat="1" ht="12.75" customHeight="1">
      <c r="A1180" s="1338"/>
      <c r="B1180" s="960"/>
      <c r="C1180" s="637"/>
      <c r="D1180" s="84">
        <v>2020</v>
      </c>
      <c r="E1180" s="85">
        <f>F1180+G1180+H1180+I1180+J1180</f>
        <v>0.4511</v>
      </c>
      <c r="F1180" s="85">
        <f t="shared" si="408"/>
        <v>0.4511</v>
      </c>
      <c r="G1180" s="85">
        <f t="shared" si="408"/>
        <v>0</v>
      </c>
      <c r="H1180" s="85">
        <f t="shared" si="408"/>
        <v>0</v>
      </c>
      <c r="I1180" s="85">
        <f t="shared" si="408"/>
        <v>0</v>
      </c>
      <c r="J1180" s="85">
        <f t="shared" si="408"/>
        <v>0</v>
      </c>
      <c r="K1180" s="148">
        <v>0</v>
      </c>
      <c r="L1180" s="497">
        <f t="shared" si="406"/>
        <v>0.4511</v>
      </c>
      <c r="M1180" s="216"/>
      <c r="N1180" s="88"/>
      <c r="O1180" s="89"/>
      <c r="P1180" s="1218"/>
      <c r="Q1180" s="91"/>
      <c r="R1180" s="91"/>
      <c r="S1180" s="91"/>
      <c r="T1180" s="91"/>
      <c r="U1180" s="91"/>
      <c r="V1180" s="91"/>
      <c r="W1180" s="91"/>
      <c r="X1180" s="91"/>
      <c r="Y1180" s="91"/>
      <c r="Z1180" s="91"/>
      <c r="AA1180" s="91"/>
      <c r="AB1180" s="91"/>
      <c r="AC1180" s="91"/>
      <c r="AD1180" s="91"/>
      <c r="AE1180" s="91"/>
      <c r="AF1180" s="91"/>
      <c r="AG1180" s="91"/>
      <c r="AH1180" s="91"/>
      <c r="AI1180" s="91"/>
      <c r="AJ1180" s="91"/>
      <c r="AK1180" s="91"/>
      <c r="AL1180" s="91"/>
      <c r="AM1180" s="91"/>
      <c r="AN1180" s="91"/>
      <c r="AO1180" s="91"/>
      <c r="AP1180" s="91"/>
      <c r="AQ1180" s="91"/>
      <c r="AR1180" s="91"/>
      <c r="AS1180" s="91"/>
      <c r="AT1180" s="91"/>
      <c r="AU1180" s="91"/>
      <c r="AV1180" s="91"/>
      <c r="AW1180" s="91"/>
      <c r="AX1180" s="91"/>
      <c r="AY1180" s="91"/>
      <c r="AZ1180" s="91"/>
      <c r="BA1180" s="91"/>
      <c r="BB1180" s="91"/>
      <c r="BC1180" s="91"/>
      <c r="BD1180" s="91"/>
      <c r="BE1180" s="91"/>
      <c r="BF1180" s="92"/>
    </row>
    <row r="1181" spans="1:58" s="82" customFormat="1" ht="12" customHeight="1">
      <c r="A1181" s="1338"/>
      <c r="B1181" s="960"/>
      <c r="C1181" s="637"/>
      <c r="D1181" s="84">
        <v>2021</v>
      </c>
      <c r="E1181" s="85">
        <f>E1188</f>
        <v>0.15</v>
      </c>
      <c r="F1181" s="85">
        <f t="shared" si="408"/>
        <v>0.15</v>
      </c>
      <c r="G1181" s="85">
        <f t="shared" si="408"/>
        <v>0</v>
      </c>
      <c r="H1181" s="85">
        <f t="shared" si="408"/>
        <v>0</v>
      </c>
      <c r="I1181" s="85">
        <f t="shared" si="408"/>
        <v>0</v>
      </c>
      <c r="J1181" s="85">
        <f t="shared" si="408"/>
        <v>0</v>
      </c>
      <c r="K1181" s="148">
        <v>0</v>
      </c>
      <c r="L1181" s="497">
        <f t="shared" si="406"/>
        <v>0.15</v>
      </c>
      <c r="M1181" s="216"/>
      <c r="N1181" s="88"/>
      <c r="O1181" s="89"/>
      <c r="P1181" s="1218"/>
      <c r="Q1181" s="91"/>
      <c r="R1181" s="91"/>
      <c r="S1181" s="91"/>
      <c r="T1181" s="91"/>
      <c r="U1181" s="91"/>
      <c r="V1181" s="91"/>
      <c r="W1181" s="91"/>
      <c r="X1181" s="91"/>
      <c r="Y1181" s="91"/>
      <c r="Z1181" s="91"/>
      <c r="AA1181" s="91"/>
      <c r="AB1181" s="91"/>
      <c r="AC1181" s="91"/>
      <c r="AD1181" s="91"/>
      <c r="AE1181" s="91"/>
      <c r="AF1181" s="91"/>
      <c r="AG1181" s="91"/>
      <c r="AH1181" s="91"/>
      <c r="AI1181" s="91"/>
      <c r="AJ1181" s="91"/>
      <c r="AK1181" s="91"/>
      <c r="AL1181" s="91"/>
      <c r="AM1181" s="91"/>
      <c r="AN1181" s="91"/>
      <c r="AO1181" s="91"/>
      <c r="AP1181" s="91"/>
      <c r="AQ1181" s="91"/>
      <c r="AR1181" s="91"/>
      <c r="AS1181" s="91"/>
      <c r="AT1181" s="91"/>
      <c r="AU1181" s="91"/>
      <c r="AV1181" s="91"/>
      <c r="AW1181" s="91"/>
      <c r="AX1181" s="91"/>
      <c r="AY1181" s="91"/>
      <c r="AZ1181" s="91"/>
      <c r="BA1181" s="91"/>
      <c r="BB1181" s="91"/>
      <c r="BC1181" s="91"/>
      <c r="BD1181" s="91"/>
      <c r="BE1181" s="91"/>
      <c r="BF1181" s="92"/>
    </row>
    <row r="1182" spans="1:58" s="82" customFormat="1" ht="12" customHeight="1">
      <c r="A1182" s="1338"/>
      <c r="B1182" s="960"/>
      <c r="C1182" s="637"/>
      <c r="D1182" s="84">
        <v>2022</v>
      </c>
      <c r="E1182" s="85">
        <f>F1182</f>
        <v>4.9000000000000002E-2</v>
      </c>
      <c r="F1182" s="85">
        <f t="shared" si="408"/>
        <v>4.9000000000000002E-2</v>
      </c>
      <c r="G1182" s="85">
        <f t="shared" si="408"/>
        <v>0</v>
      </c>
      <c r="H1182" s="85">
        <f t="shared" si="408"/>
        <v>0</v>
      </c>
      <c r="I1182" s="85">
        <f t="shared" si="408"/>
        <v>0</v>
      </c>
      <c r="J1182" s="85">
        <f t="shared" si="408"/>
        <v>0</v>
      </c>
      <c r="K1182" s="148">
        <v>0</v>
      </c>
      <c r="L1182" s="497">
        <f t="shared" si="406"/>
        <v>4.9000000000000002E-2</v>
      </c>
      <c r="M1182" s="216"/>
      <c r="N1182" s="88"/>
      <c r="O1182" s="89"/>
      <c r="P1182" s="1218"/>
      <c r="Q1182" s="91"/>
      <c r="R1182" s="91"/>
      <c r="S1182" s="91"/>
      <c r="T1182" s="91"/>
      <c r="U1182" s="91"/>
      <c r="V1182" s="91"/>
      <c r="W1182" s="91"/>
      <c r="X1182" s="91"/>
      <c r="Y1182" s="91"/>
      <c r="Z1182" s="91"/>
      <c r="AA1182" s="91"/>
      <c r="AB1182" s="91"/>
      <c r="AC1182" s="91"/>
      <c r="AD1182" s="91"/>
      <c r="AE1182" s="91"/>
      <c r="AF1182" s="91"/>
      <c r="AG1182" s="91"/>
      <c r="AH1182" s="91"/>
      <c r="AI1182" s="91"/>
      <c r="AJ1182" s="91"/>
      <c r="AK1182" s="91"/>
      <c r="AL1182" s="91"/>
      <c r="AM1182" s="91"/>
      <c r="AN1182" s="91"/>
      <c r="AO1182" s="91"/>
      <c r="AP1182" s="91"/>
      <c r="AQ1182" s="91"/>
      <c r="AR1182" s="91"/>
      <c r="AS1182" s="91"/>
      <c r="AT1182" s="91"/>
      <c r="AU1182" s="91"/>
      <c r="AV1182" s="91"/>
      <c r="AW1182" s="91"/>
      <c r="AX1182" s="91"/>
      <c r="AY1182" s="91"/>
      <c r="AZ1182" s="91"/>
      <c r="BA1182" s="91"/>
      <c r="BB1182" s="91"/>
      <c r="BC1182" s="91"/>
      <c r="BD1182" s="91"/>
      <c r="BE1182" s="91"/>
      <c r="BF1182" s="92"/>
    </row>
    <row r="1183" spans="1:58" s="82" customFormat="1" ht="12" customHeight="1">
      <c r="A1183" s="1338"/>
      <c r="B1183" s="960"/>
      <c r="C1183" s="637"/>
      <c r="D1183" s="84">
        <v>2023</v>
      </c>
      <c r="E1183" s="85">
        <f t="shared" ref="E1183:E1188" si="409">F1183+G1183+H1183+I1183+J1183</f>
        <v>0.05</v>
      </c>
      <c r="F1183" s="85">
        <f t="shared" si="408"/>
        <v>0.05</v>
      </c>
      <c r="G1183" s="85">
        <f t="shared" si="408"/>
        <v>0</v>
      </c>
      <c r="H1183" s="85">
        <f t="shared" si="408"/>
        <v>0</v>
      </c>
      <c r="I1183" s="85">
        <f t="shared" si="408"/>
        <v>0</v>
      </c>
      <c r="J1183" s="85">
        <f t="shared" si="408"/>
        <v>0</v>
      </c>
      <c r="K1183" s="148">
        <v>0</v>
      </c>
      <c r="L1183" s="497">
        <f t="shared" si="406"/>
        <v>0.05</v>
      </c>
      <c r="M1183" s="216"/>
      <c r="N1183" s="88"/>
      <c r="O1183" s="89"/>
      <c r="P1183" s="1218"/>
      <c r="Q1183" s="91"/>
      <c r="R1183" s="91"/>
      <c r="S1183" s="91"/>
      <c r="T1183" s="91"/>
      <c r="U1183" s="91"/>
      <c r="V1183" s="91"/>
      <c r="W1183" s="91"/>
      <c r="X1183" s="91"/>
      <c r="Y1183" s="91"/>
      <c r="Z1183" s="91"/>
      <c r="AA1183" s="91"/>
      <c r="AB1183" s="91"/>
      <c r="AC1183" s="91"/>
      <c r="AD1183" s="91"/>
      <c r="AE1183" s="91"/>
      <c r="AF1183" s="91"/>
      <c r="AG1183" s="91"/>
      <c r="AH1183" s="91"/>
      <c r="AI1183" s="91"/>
      <c r="AJ1183" s="91"/>
      <c r="AK1183" s="91"/>
      <c r="AL1183" s="91"/>
      <c r="AM1183" s="91"/>
      <c r="AN1183" s="91"/>
      <c r="AO1183" s="91"/>
      <c r="AP1183" s="91"/>
      <c r="AQ1183" s="91"/>
      <c r="AR1183" s="91"/>
      <c r="AS1183" s="91"/>
      <c r="AT1183" s="91"/>
      <c r="AU1183" s="91"/>
      <c r="AV1183" s="91"/>
      <c r="AW1183" s="91"/>
      <c r="AX1183" s="91"/>
      <c r="AY1183" s="91"/>
      <c r="AZ1183" s="91"/>
      <c r="BA1183" s="91"/>
      <c r="BB1183" s="91"/>
      <c r="BC1183" s="91"/>
      <c r="BD1183" s="91"/>
      <c r="BE1183" s="91"/>
      <c r="BF1183" s="92"/>
    </row>
    <row r="1184" spans="1:58" s="82" customFormat="1" ht="12" customHeight="1">
      <c r="A1184" s="1338"/>
      <c r="B1184" s="960"/>
      <c r="C1184" s="637"/>
      <c r="D1184" s="84">
        <v>2024</v>
      </c>
      <c r="E1184" s="85">
        <f t="shared" si="409"/>
        <v>0.52700000000000002</v>
      </c>
      <c r="F1184" s="85">
        <f t="shared" si="408"/>
        <v>0.52700000000000002</v>
      </c>
      <c r="G1184" s="85">
        <f t="shared" si="408"/>
        <v>0</v>
      </c>
      <c r="H1184" s="85">
        <f t="shared" si="408"/>
        <v>0</v>
      </c>
      <c r="I1184" s="85">
        <f t="shared" si="408"/>
        <v>0</v>
      </c>
      <c r="J1184" s="85">
        <f t="shared" si="408"/>
        <v>0</v>
      </c>
      <c r="K1184" s="148">
        <v>0</v>
      </c>
      <c r="L1184" s="497">
        <f t="shared" si="406"/>
        <v>0.52700000000000002</v>
      </c>
      <c r="M1184" s="216"/>
      <c r="N1184" s="88"/>
      <c r="O1184" s="89"/>
      <c r="P1184" s="1218"/>
      <c r="Q1184" s="91"/>
      <c r="R1184" s="91"/>
      <c r="S1184" s="91"/>
      <c r="T1184" s="91"/>
      <c r="U1184" s="91"/>
      <c r="V1184" s="91"/>
      <c r="W1184" s="91"/>
      <c r="X1184" s="91"/>
      <c r="Y1184" s="91"/>
      <c r="Z1184" s="91"/>
      <c r="AA1184" s="91"/>
      <c r="AB1184" s="91"/>
      <c r="AC1184" s="91"/>
      <c r="AD1184" s="91"/>
      <c r="AE1184" s="91"/>
      <c r="AF1184" s="91"/>
      <c r="AG1184" s="91"/>
      <c r="AH1184" s="91"/>
      <c r="AI1184" s="91"/>
      <c r="AJ1184" s="91"/>
      <c r="AK1184" s="91"/>
      <c r="AL1184" s="91"/>
      <c r="AM1184" s="91"/>
      <c r="AN1184" s="91"/>
      <c r="AO1184" s="91"/>
      <c r="AP1184" s="91"/>
      <c r="AQ1184" s="91"/>
      <c r="AR1184" s="91"/>
      <c r="AS1184" s="91"/>
      <c r="AT1184" s="91"/>
      <c r="AU1184" s="91"/>
      <c r="AV1184" s="91"/>
      <c r="AW1184" s="91"/>
      <c r="AX1184" s="91"/>
      <c r="AY1184" s="91"/>
      <c r="AZ1184" s="91"/>
      <c r="BA1184" s="91"/>
      <c r="BB1184" s="91"/>
      <c r="BC1184" s="91"/>
      <c r="BD1184" s="91"/>
      <c r="BE1184" s="91"/>
      <c r="BF1184" s="92"/>
    </row>
    <row r="1185" spans="1:58" s="82" customFormat="1" ht="12" customHeight="1">
      <c r="A1185" s="1338"/>
      <c r="B1185" s="960"/>
      <c r="C1185" s="637"/>
      <c r="D1185" s="84">
        <v>2025</v>
      </c>
      <c r="E1185" s="85">
        <f t="shared" si="409"/>
        <v>0.54883000000000004</v>
      </c>
      <c r="F1185" s="85">
        <f t="shared" si="408"/>
        <v>0.54883000000000004</v>
      </c>
      <c r="G1185" s="85">
        <f t="shared" si="408"/>
        <v>0</v>
      </c>
      <c r="H1185" s="85">
        <f t="shared" si="408"/>
        <v>0</v>
      </c>
      <c r="I1185" s="85">
        <f t="shared" si="408"/>
        <v>0</v>
      </c>
      <c r="J1185" s="85">
        <f t="shared" si="408"/>
        <v>0</v>
      </c>
      <c r="K1185" s="148">
        <v>0</v>
      </c>
      <c r="L1185" s="497">
        <f t="shared" si="406"/>
        <v>0.54883000000000004</v>
      </c>
      <c r="M1185" s="216"/>
      <c r="N1185" s="88"/>
      <c r="O1185" s="89"/>
      <c r="P1185" s="1218"/>
      <c r="Q1185" s="91"/>
      <c r="R1185" s="91"/>
      <c r="S1185" s="91"/>
      <c r="T1185" s="91"/>
      <c r="U1185" s="91"/>
      <c r="V1185" s="91"/>
      <c r="W1185" s="91"/>
      <c r="X1185" s="91"/>
      <c r="Y1185" s="91"/>
      <c r="Z1185" s="91"/>
      <c r="AA1185" s="91"/>
      <c r="AB1185" s="91"/>
      <c r="AC1185" s="91"/>
      <c r="AD1185" s="91"/>
      <c r="AE1185" s="91"/>
      <c r="AF1185" s="91"/>
      <c r="AG1185" s="91"/>
      <c r="AH1185" s="91"/>
      <c r="AI1185" s="91"/>
      <c r="AJ1185" s="91"/>
      <c r="AK1185" s="91"/>
      <c r="AL1185" s="91"/>
      <c r="AM1185" s="91"/>
      <c r="AN1185" s="91"/>
      <c r="AO1185" s="91"/>
      <c r="AP1185" s="91"/>
      <c r="AQ1185" s="91"/>
      <c r="AR1185" s="91"/>
      <c r="AS1185" s="91"/>
      <c r="AT1185" s="91"/>
      <c r="AU1185" s="91"/>
      <c r="AV1185" s="91"/>
      <c r="AW1185" s="91"/>
      <c r="AX1185" s="91"/>
      <c r="AY1185" s="91"/>
      <c r="AZ1185" s="91"/>
      <c r="BA1185" s="91"/>
      <c r="BB1185" s="91"/>
      <c r="BC1185" s="91"/>
      <c r="BD1185" s="91"/>
      <c r="BE1185" s="91"/>
      <c r="BF1185" s="92"/>
    </row>
    <row r="1186" spans="1:58" s="82" customFormat="1" ht="153.75" customHeight="1">
      <c r="A1186" s="700" t="s">
        <v>1360</v>
      </c>
      <c r="B1186" s="390" t="s">
        <v>1043</v>
      </c>
      <c r="C1186" s="640" t="s">
        <v>362</v>
      </c>
      <c r="D1186" s="84">
        <v>2019</v>
      </c>
      <c r="E1186" s="313">
        <f t="shared" si="409"/>
        <v>0.74209999999999998</v>
      </c>
      <c r="F1186" s="313">
        <v>0.74209999999999998</v>
      </c>
      <c r="G1186" s="313">
        <v>0</v>
      </c>
      <c r="H1186" s="313">
        <v>0</v>
      </c>
      <c r="I1186" s="313">
        <v>0</v>
      </c>
      <c r="J1186" s="313">
        <v>0</v>
      </c>
      <c r="K1186" s="148">
        <v>0</v>
      </c>
      <c r="L1186" s="497">
        <f t="shared" si="406"/>
        <v>0.74209999999999998</v>
      </c>
      <c r="M1186" s="216"/>
      <c r="N1186" s="88"/>
      <c r="O1186" s="89"/>
      <c r="P1186" s="1218"/>
      <c r="Q1186" s="91"/>
      <c r="R1186" s="91"/>
      <c r="S1186" s="91"/>
      <c r="T1186" s="91"/>
      <c r="U1186" s="91"/>
      <c r="V1186" s="91"/>
      <c r="W1186" s="91"/>
      <c r="X1186" s="91"/>
      <c r="Y1186" s="91"/>
      <c r="Z1186" s="91"/>
      <c r="AA1186" s="91"/>
      <c r="AB1186" s="91"/>
      <c r="AC1186" s="91"/>
      <c r="AD1186" s="91"/>
      <c r="AE1186" s="91"/>
      <c r="AF1186" s="91"/>
      <c r="AG1186" s="91"/>
      <c r="AH1186" s="91"/>
      <c r="AI1186" s="91"/>
      <c r="AJ1186" s="91"/>
      <c r="AK1186" s="91"/>
      <c r="AL1186" s="91"/>
      <c r="AM1186" s="91"/>
      <c r="AN1186" s="91"/>
      <c r="AO1186" s="91"/>
      <c r="AP1186" s="91"/>
      <c r="AQ1186" s="91"/>
      <c r="AR1186" s="91"/>
      <c r="AS1186" s="91"/>
      <c r="AT1186" s="91"/>
      <c r="AU1186" s="91"/>
      <c r="AV1186" s="91"/>
      <c r="AW1186" s="91"/>
      <c r="AX1186" s="91"/>
      <c r="AY1186" s="91"/>
      <c r="AZ1186" s="91"/>
      <c r="BA1186" s="91"/>
      <c r="BB1186" s="91"/>
      <c r="BC1186" s="91"/>
      <c r="BD1186" s="91"/>
      <c r="BE1186" s="91"/>
      <c r="BF1186" s="92"/>
    </row>
    <row r="1187" spans="1:58" s="82" customFormat="1" ht="118.5" customHeight="1">
      <c r="A1187" s="700" t="s">
        <v>1361</v>
      </c>
      <c r="B1187" s="390" t="s">
        <v>1045</v>
      </c>
      <c r="C1187" s="640" t="s">
        <v>1439</v>
      </c>
      <c r="D1187" s="84">
        <v>2020</v>
      </c>
      <c r="E1187" s="313">
        <f t="shared" si="409"/>
        <v>0.4511</v>
      </c>
      <c r="F1187" s="313">
        <v>0.4511</v>
      </c>
      <c r="G1187" s="313">
        <v>0</v>
      </c>
      <c r="H1187" s="313">
        <v>0</v>
      </c>
      <c r="I1187" s="313">
        <v>0</v>
      </c>
      <c r="J1187" s="313">
        <v>0</v>
      </c>
      <c r="K1187" s="148">
        <v>0</v>
      </c>
      <c r="L1187" s="497">
        <f t="shared" si="406"/>
        <v>0.4511</v>
      </c>
      <c r="M1187" s="216"/>
      <c r="N1187" s="88"/>
      <c r="O1187" s="89"/>
      <c r="P1187" s="1218"/>
      <c r="Q1187" s="91"/>
      <c r="R1187" s="91"/>
      <c r="S1187" s="91"/>
      <c r="T1187" s="91"/>
      <c r="U1187" s="91"/>
      <c r="V1187" s="91"/>
      <c r="W1187" s="91"/>
      <c r="X1187" s="91"/>
      <c r="Y1187" s="91"/>
      <c r="Z1187" s="91"/>
      <c r="AA1187" s="91"/>
      <c r="AB1187" s="91"/>
      <c r="AC1187" s="91"/>
      <c r="AD1187" s="91"/>
      <c r="AE1187" s="91"/>
      <c r="AF1187" s="91"/>
      <c r="AG1187" s="91"/>
      <c r="AH1187" s="91"/>
      <c r="AI1187" s="91"/>
      <c r="AJ1187" s="91"/>
      <c r="AK1187" s="91"/>
      <c r="AL1187" s="91"/>
      <c r="AM1187" s="91"/>
      <c r="AN1187" s="91"/>
      <c r="AO1187" s="91"/>
      <c r="AP1187" s="91"/>
      <c r="AQ1187" s="91"/>
      <c r="AR1187" s="91"/>
      <c r="AS1187" s="91"/>
      <c r="AT1187" s="91"/>
      <c r="AU1187" s="91"/>
      <c r="AV1187" s="91"/>
      <c r="AW1187" s="91"/>
      <c r="AX1187" s="91"/>
      <c r="AY1187" s="91"/>
      <c r="AZ1187" s="91"/>
      <c r="BA1187" s="91"/>
      <c r="BB1187" s="91"/>
      <c r="BC1187" s="91"/>
      <c r="BD1187" s="91"/>
      <c r="BE1187" s="91"/>
      <c r="BF1187" s="92"/>
    </row>
    <row r="1188" spans="1:58" s="82" customFormat="1" ht="165.75" customHeight="1">
      <c r="A1188" s="576" t="s">
        <v>1363</v>
      </c>
      <c r="B1188" s="425" t="s">
        <v>1364</v>
      </c>
      <c r="C1188" s="637"/>
      <c r="D1188" s="84">
        <v>2021</v>
      </c>
      <c r="E1188" s="313">
        <f t="shared" si="409"/>
        <v>0.15</v>
      </c>
      <c r="F1188" s="313">
        <v>0.15</v>
      </c>
      <c r="G1188" s="313">
        <v>0</v>
      </c>
      <c r="H1188" s="313">
        <v>0</v>
      </c>
      <c r="I1188" s="313">
        <v>0</v>
      </c>
      <c r="J1188" s="313">
        <v>0</v>
      </c>
      <c r="K1188" s="148">
        <v>0</v>
      </c>
      <c r="L1188" s="497">
        <f t="shared" si="406"/>
        <v>0.15</v>
      </c>
      <c r="M1188" s="216"/>
      <c r="N1188" s="88"/>
      <c r="O1188" s="89"/>
      <c r="P1188" s="1218"/>
      <c r="Q1188" s="91"/>
      <c r="R1188" s="91"/>
      <c r="S1188" s="91"/>
      <c r="T1188" s="91"/>
      <c r="U1188" s="91"/>
      <c r="V1188" s="91"/>
      <c r="W1188" s="91"/>
      <c r="X1188" s="91"/>
      <c r="Y1188" s="91"/>
      <c r="Z1188" s="91"/>
      <c r="AA1188" s="91"/>
      <c r="AB1188" s="91"/>
      <c r="AC1188" s="91"/>
      <c r="AD1188" s="91"/>
      <c r="AE1188" s="91"/>
      <c r="AF1188" s="91"/>
      <c r="AG1188" s="91"/>
      <c r="AH1188" s="91"/>
      <c r="AI1188" s="91"/>
      <c r="AJ1188" s="91"/>
      <c r="AK1188" s="91"/>
      <c r="AL1188" s="91"/>
      <c r="AM1188" s="91"/>
      <c r="AN1188" s="91"/>
      <c r="AO1188" s="91"/>
      <c r="AP1188" s="91"/>
      <c r="AQ1188" s="91"/>
      <c r="AR1188" s="91"/>
      <c r="AS1188" s="91"/>
      <c r="AT1188" s="91"/>
      <c r="AU1188" s="91"/>
      <c r="AV1188" s="91"/>
      <c r="AW1188" s="91"/>
      <c r="AX1188" s="91"/>
      <c r="AY1188" s="91"/>
      <c r="AZ1188" s="91"/>
      <c r="BA1188" s="91"/>
      <c r="BB1188" s="91"/>
      <c r="BC1188" s="91"/>
      <c r="BD1188" s="91"/>
      <c r="BE1188" s="91"/>
      <c r="BF1188" s="92"/>
    </row>
    <row r="1189" spans="1:58" s="82" customFormat="1" ht="109.5" customHeight="1">
      <c r="A1189" s="576" t="s">
        <v>1365</v>
      </c>
      <c r="B1189" s="425" t="s">
        <v>1366</v>
      </c>
      <c r="C1189" s="637"/>
      <c r="D1189" s="84">
        <v>2022</v>
      </c>
      <c r="E1189" s="313">
        <f>F1189</f>
        <v>4.9000000000000002E-2</v>
      </c>
      <c r="F1189" s="313">
        <v>4.9000000000000002E-2</v>
      </c>
      <c r="G1189" s="313">
        <v>0</v>
      </c>
      <c r="H1189" s="313">
        <v>0</v>
      </c>
      <c r="I1189" s="313">
        <v>0</v>
      </c>
      <c r="J1189" s="313">
        <v>0</v>
      </c>
      <c r="K1189" s="148">
        <v>0</v>
      </c>
      <c r="L1189" s="497">
        <f t="shared" si="406"/>
        <v>4.9000000000000002E-2</v>
      </c>
      <c r="M1189" s="216"/>
      <c r="N1189" s="88"/>
      <c r="O1189" s="89"/>
      <c r="P1189" s="1218"/>
      <c r="Q1189" s="91"/>
      <c r="R1189" s="91"/>
      <c r="S1189" s="91"/>
      <c r="T1189" s="91"/>
      <c r="U1189" s="91"/>
      <c r="V1189" s="91"/>
      <c r="W1189" s="91"/>
      <c r="X1189" s="91"/>
      <c r="Y1189" s="91"/>
      <c r="Z1189" s="91"/>
      <c r="AA1189" s="91"/>
      <c r="AB1189" s="91"/>
      <c r="AC1189" s="91"/>
      <c r="AD1189" s="91"/>
      <c r="AE1189" s="91"/>
      <c r="AF1189" s="91"/>
      <c r="AG1189" s="91"/>
      <c r="AH1189" s="91"/>
      <c r="AI1189" s="91"/>
      <c r="AJ1189" s="91"/>
      <c r="AK1189" s="91"/>
      <c r="AL1189" s="91"/>
      <c r="AM1189" s="91"/>
      <c r="AN1189" s="91"/>
      <c r="AO1189" s="91"/>
      <c r="AP1189" s="91"/>
      <c r="AQ1189" s="91"/>
      <c r="AR1189" s="91"/>
      <c r="AS1189" s="91"/>
      <c r="AT1189" s="91"/>
      <c r="AU1189" s="91"/>
      <c r="AV1189" s="91"/>
      <c r="AW1189" s="91"/>
      <c r="AX1189" s="91"/>
      <c r="AY1189" s="91"/>
      <c r="AZ1189" s="91"/>
      <c r="BA1189" s="91"/>
      <c r="BB1189" s="91"/>
      <c r="BC1189" s="91"/>
      <c r="BD1189" s="91"/>
      <c r="BE1189" s="91"/>
      <c r="BF1189" s="92"/>
    </row>
    <row r="1190" spans="1:58" s="82" customFormat="1" ht="60.75" customHeight="1">
      <c r="A1190" s="576" t="s">
        <v>1367</v>
      </c>
      <c r="B1190" s="425" t="s">
        <v>1368</v>
      </c>
      <c r="C1190" s="637"/>
      <c r="D1190" s="84">
        <v>2023</v>
      </c>
      <c r="E1190" s="313">
        <f>F1190</f>
        <v>0.05</v>
      </c>
      <c r="F1190" s="313">
        <v>0.05</v>
      </c>
      <c r="G1190" s="313">
        <v>0</v>
      </c>
      <c r="H1190" s="313">
        <v>0</v>
      </c>
      <c r="I1190" s="313">
        <v>0</v>
      </c>
      <c r="J1190" s="313">
        <v>0</v>
      </c>
      <c r="K1190" s="148">
        <v>0</v>
      </c>
      <c r="L1190" s="497">
        <f t="shared" si="406"/>
        <v>0.05</v>
      </c>
      <c r="M1190" s="216"/>
      <c r="N1190" s="88"/>
      <c r="O1190" s="89"/>
      <c r="P1190" s="1218"/>
      <c r="Q1190" s="91"/>
      <c r="R1190" s="91"/>
      <c r="S1190" s="91"/>
      <c r="T1190" s="91"/>
      <c r="U1190" s="91"/>
      <c r="V1190" s="91"/>
      <c r="W1190" s="91"/>
      <c r="X1190" s="91"/>
      <c r="Y1190" s="91"/>
      <c r="Z1190" s="91"/>
      <c r="AA1190" s="91"/>
      <c r="AB1190" s="91"/>
      <c r="AC1190" s="91"/>
      <c r="AD1190" s="91"/>
      <c r="AE1190" s="91"/>
      <c r="AF1190" s="91"/>
      <c r="AG1190" s="91"/>
      <c r="AH1190" s="91"/>
      <c r="AI1190" s="91"/>
      <c r="AJ1190" s="91"/>
      <c r="AK1190" s="91"/>
      <c r="AL1190" s="91"/>
      <c r="AM1190" s="91"/>
      <c r="AN1190" s="91"/>
      <c r="AO1190" s="91"/>
      <c r="AP1190" s="91"/>
      <c r="AQ1190" s="91"/>
      <c r="AR1190" s="91"/>
      <c r="AS1190" s="91"/>
      <c r="AT1190" s="91"/>
      <c r="AU1190" s="91"/>
      <c r="AV1190" s="91"/>
      <c r="AW1190" s="91"/>
      <c r="AX1190" s="91"/>
      <c r="AY1190" s="91"/>
      <c r="AZ1190" s="91"/>
      <c r="BA1190" s="91"/>
      <c r="BB1190" s="91"/>
      <c r="BC1190" s="91"/>
      <c r="BD1190" s="91"/>
      <c r="BE1190" s="91"/>
      <c r="BF1190" s="92"/>
    </row>
    <row r="1191" spans="1:58" s="82" customFormat="1" ht="93" customHeight="1">
      <c r="A1191" s="576" t="s">
        <v>1369</v>
      </c>
      <c r="B1191" s="425" t="s">
        <v>1370</v>
      </c>
      <c r="C1191" s="637"/>
      <c r="D1191" s="84">
        <v>2024</v>
      </c>
      <c r="E1191" s="313">
        <f>F1191</f>
        <v>0.52700000000000002</v>
      </c>
      <c r="F1191" s="313">
        <v>0.52700000000000002</v>
      </c>
      <c r="G1191" s="313">
        <v>0</v>
      </c>
      <c r="H1191" s="313">
        <v>0</v>
      </c>
      <c r="I1191" s="313">
        <v>0</v>
      </c>
      <c r="J1191" s="313">
        <v>0</v>
      </c>
      <c r="K1191" s="148">
        <v>0</v>
      </c>
      <c r="L1191" s="497">
        <f t="shared" si="406"/>
        <v>0.52700000000000002</v>
      </c>
      <c r="M1191" s="216"/>
      <c r="N1191" s="88"/>
      <c r="O1191" s="89"/>
      <c r="P1191" s="1218"/>
      <c r="Q1191" s="91"/>
      <c r="R1191" s="91"/>
      <c r="S1191" s="91"/>
      <c r="T1191" s="91"/>
      <c r="U1191" s="91"/>
      <c r="V1191" s="91"/>
      <c r="W1191" s="91"/>
      <c r="X1191" s="91"/>
      <c r="Y1191" s="91"/>
      <c r="Z1191" s="91"/>
      <c r="AA1191" s="91"/>
      <c r="AB1191" s="91"/>
      <c r="AC1191" s="91"/>
      <c r="AD1191" s="91"/>
      <c r="AE1191" s="91"/>
      <c r="AF1191" s="91"/>
      <c r="AG1191" s="91"/>
      <c r="AH1191" s="91"/>
      <c r="AI1191" s="91"/>
      <c r="AJ1191" s="91"/>
      <c r="AK1191" s="91"/>
      <c r="AL1191" s="91"/>
      <c r="AM1191" s="91"/>
      <c r="AN1191" s="91"/>
      <c r="AO1191" s="91"/>
      <c r="AP1191" s="91"/>
      <c r="AQ1191" s="91"/>
      <c r="AR1191" s="91"/>
      <c r="AS1191" s="91"/>
      <c r="AT1191" s="91"/>
      <c r="AU1191" s="91"/>
      <c r="AV1191" s="91"/>
      <c r="AW1191" s="91"/>
      <c r="AX1191" s="91"/>
      <c r="AY1191" s="91"/>
      <c r="AZ1191" s="91"/>
      <c r="BA1191" s="91"/>
      <c r="BB1191" s="91"/>
      <c r="BC1191" s="91"/>
      <c r="BD1191" s="91"/>
      <c r="BE1191" s="91"/>
      <c r="BF1191" s="92"/>
    </row>
    <row r="1192" spans="1:58" s="82" customFormat="1" ht="62.25" customHeight="1">
      <c r="A1192" s="576" t="s">
        <v>1371</v>
      </c>
      <c r="B1192" s="705" t="s">
        <v>1372</v>
      </c>
      <c r="C1192" s="637"/>
      <c r="D1192" s="84">
        <v>2025</v>
      </c>
      <c r="E1192" s="313">
        <f>F1192</f>
        <v>0.54883000000000004</v>
      </c>
      <c r="F1192" s="313">
        <v>0.54883000000000004</v>
      </c>
      <c r="G1192" s="313">
        <v>0</v>
      </c>
      <c r="H1192" s="313">
        <v>0</v>
      </c>
      <c r="I1192" s="313">
        <v>0</v>
      </c>
      <c r="J1192" s="313">
        <v>0</v>
      </c>
      <c r="K1192" s="148">
        <v>0</v>
      </c>
      <c r="L1192" s="497">
        <f t="shared" si="406"/>
        <v>0.54883000000000004</v>
      </c>
      <c r="M1192" s="216"/>
      <c r="N1192" s="88"/>
      <c r="O1192" s="89"/>
      <c r="P1192" s="1218"/>
      <c r="Q1192" s="91"/>
      <c r="R1192" s="91"/>
      <c r="S1192" s="91"/>
      <c r="T1192" s="91"/>
      <c r="U1192" s="91"/>
      <c r="V1192" s="91"/>
      <c r="W1192" s="91"/>
      <c r="X1192" s="91"/>
      <c r="Y1192" s="91"/>
      <c r="Z1192" s="91"/>
      <c r="AA1192" s="91"/>
      <c r="AB1192" s="91"/>
      <c r="AC1192" s="91"/>
      <c r="AD1192" s="91"/>
      <c r="AE1192" s="91"/>
      <c r="AF1192" s="91"/>
      <c r="AG1192" s="91"/>
      <c r="AH1192" s="91"/>
      <c r="AI1192" s="91"/>
      <c r="AJ1192" s="91"/>
      <c r="AK1192" s="91"/>
      <c r="AL1192" s="91"/>
      <c r="AM1192" s="91"/>
      <c r="AN1192" s="91"/>
      <c r="AO1192" s="91"/>
      <c r="AP1192" s="91"/>
      <c r="AQ1192" s="91"/>
      <c r="AR1192" s="91"/>
      <c r="AS1192" s="91"/>
      <c r="AT1192" s="91"/>
      <c r="AU1192" s="91"/>
      <c r="AV1192" s="91"/>
      <c r="AW1192" s="91"/>
      <c r="AX1192" s="91"/>
      <c r="AY1192" s="91"/>
      <c r="AZ1192" s="91"/>
      <c r="BA1192" s="91"/>
      <c r="BB1192" s="91"/>
      <c r="BC1192" s="91"/>
      <c r="BD1192" s="91"/>
      <c r="BE1192" s="91"/>
      <c r="BF1192" s="92"/>
    </row>
    <row r="1193" spans="1:58" s="82" customFormat="1" ht="15.75" customHeight="1">
      <c r="A1193" s="1190" t="s">
        <v>1373</v>
      </c>
      <c r="B1193" s="1080" t="s">
        <v>1059</v>
      </c>
      <c r="C1193" s="637"/>
      <c r="D1193" s="84" t="s">
        <v>16</v>
      </c>
      <c r="E1193" s="313">
        <f t="shared" ref="E1193:J1193" si="410">E1194+E1195+E1196+E1197+E1198+E1199+E1200</f>
        <v>5.3634899999999996</v>
      </c>
      <c r="F1193" s="322">
        <f t="shared" si="410"/>
        <v>5.3634899999999996</v>
      </c>
      <c r="G1193" s="313">
        <f t="shared" si="410"/>
        <v>0</v>
      </c>
      <c r="H1193" s="313">
        <f t="shared" si="410"/>
        <v>0</v>
      </c>
      <c r="I1193" s="313">
        <f t="shared" si="410"/>
        <v>0</v>
      </c>
      <c r="J1193" s="313">
        <f t="shared" si="410"/>
        <v>0</v>
      </c>
      <c r="K1193" s="148">
        <v>0</v>
      </c>
      <c r="L1193" s="497">
        <f t="shared" si="406"/>
        <v>5.3634899999999996</v>
      </c>
      <c r="M1193" s="892"/>
      <c r="N1193" s="88"/>
      <c r="O1193" s="89"/>
      <c r="P1193" s="1218"/>
      <c r="Q1193" s="91"/>
      <c r="R1193" s="91"/>
      <c r="S1193" s="91"/>
      <c r="T1193" s="91"/>
      <c r="U1193" s="91"/>
      <c r="V1193" s="91"/>
      <c r="W1193" s="91"/>
      <c r="X1193" s="91"/>
      <c r="Y1193" s="91"/>
      <c r="Z1193" s="91"/>
      <c r="AA1193" s="91"/>
      <c r="AB1193" s="91"/>
      <c r="AC1193" s="91"/>
      <c r="AD1193" s="91"/>
      <c r="AE1193" s="91"/>
      <c r="AF1193" s="91"/>
      <c r="AG1193" s="91"/>
      <c r="AH1193" s="91"/>
      <c r="AI1193" s="91"/>
      <c r="AJ1193" s="91"/>
      <c r="AK1193" s="91"/>
      <c r="AL1193" s="91"/>
      <c r="AM1193" s="91"/>
      <c r="AN1193" s="91"/>
      <c r="AO1193" s="91"/>
      <c r="AP1193" s="91"/>
      <c r="AQ1193" s="91"/>
      <c r="AR1193" s="91"/>
      <c r="AS1193" s="91"/>
      <c r="AT1193" s="91"/>
      <c r="AU1193" s="91"/>
      <c r="AV1193" s="91"/>
      <c r="AW1193" s="91"/>
      <c r="AX1193" s="91"/>
      <c r="AY1193" s="91"/>
      <c r="AZ1193" s="91"/>
      <c r="BA1193" s="91"/>
      <c r="BB1193" s="91"/>
      <c r="BC1193" s="91"/>
      <c r="BD1193" s="91"/>
      <c r="BE1193" s="91"/>
      <c r="BF1193" s="92"/>
    </row>
    <row r="1194" spans="1:58" s="82" customFormat="1">
      <c r="A1194" s="1339"/>
      <c r="B1194" s="960"/>
      <c r="C1194" s="637"/>
      <c r="D1194" s="84">
        <v>2019</v>
      </c>
      <c r="E1194" s="85">
        <f t="shared" ref="E1194:J1197" si="411">E1201</f>
        <v>0.53059000000000001</v>
      </c>
      <c r="F1194" s="85">
        <f t="shared" si="411"/>
        <v>0.53059000000000001</v>
      </c>
      <c r="G1194" s="85">
        <f t="shared" si="411"/>
        <v>0</v>
      </c>
      <c r="H1194" s="85">
        <f t="shared" si="411"/>
        <v>0</v>
      </c>
      <c r="I1194" s="85">
        <f t="shared" si="411"/>
        <v>0</v>
      </c>
      <c r="J1194" s="85">
        <f t="shared" si="411"/>
        <v>0</v>
      </c>
      <c r="K1194" s="148">
        <v>0</v>
      </c>
      <c r="L1194" s="497">
        <f t="shared" si="406"/>
        <v>0.53059000000000001</v>
      </c>
      <c r="M1194" s="845"/>
      <c r="N1194" s="88"/>
      <c r="O1194" s="89"/>
      <c r="P1194" s="1218"/>
      <c r="Q1194" s="91"/>
      <c r="R1194" s="91"/>
      <c r="S1194" s="91"/>
      <c r="T1194" s="91"/>
      <c r="U1194" s="91"/>
      <c r="V1194" s="91"/>
      <c r="W1194" s="91"/>
      <c r="X1194" s="91"/>
      <c r="Y1194" s="91"/>
      <c r="Z1194" s="91"/>
      <c r="AA1194" s="91"/>
      <c r="AB1194" s="91"/>
      <c r="AC1194" s="91"/>
      <c r="AD1194" s="91"/>
      <c r="AE1194" s="91"/>
      <c r="AF1194" s="91"/>
      <c r="AG1194" s="91"/>
      <c r="AH1194" s="91"/>
      <c r="AI1194" s="91"/>
      <c r="AJ1194" s="91"/>
      <c r="AK1194" s="91"/>
      <c r="AL1194" s="91"/>
      <c r="AM1194" s="91"/>
      <c r="AN1194" s="91"/>
      <c r="AO1194" s="91"/>
      <c r="AP1194" s="91"/>
      <c r="AQ1194" s="91"/>
      <c r="AR1194" s="91"/>
      <c r="AS1194" s="91"/>
      <c r="AT1194" s="91"/>
      <c r="AU1194" s="91"/>
      <c r="AV1194" s="91"/>
      <c r="AW1194" s="91"/>
      <c r="AX1194" s="91"/>
      <c r="AY1194" s="91"/>
      <c r="AZ1194" s="91"/>
      <c r="BA1194" s="91"/>
      <c r="BB1194" s="91"/>
      <c r="BC1194" s="91"/>
      <c r="BD1194" s="91"/>
      <c r="BE1194" s="91"/>
      <c r="BF1194" s="92"/>
    </row>
    <row r="1195" spans="1:58" s="82" customFormat="1">
      <c r="A1195" s="1339"/>
      <c r="B1195" s="960"/>
      <c r="C1195" s="637"/>
      <c r="D1195" s="84">
        <v>2020</v>
      </c>
      <c r="E1195" s="85">
        <f t="shared" si="411"/>
        <v>0.73109999999999997</v>
      </c>
      <c r="F1195" s="85">
        <f t="shared" si="411"/>
        <v>0.73109999999999997</v>
      </c>
      <c r="G1195" s="85">
        <f t="shared" si="411"/>
        <v>0</v>
      </c>
      <c r="H1195" s="85">
        <f t="shared" si="411"/>
        <v>0</v>
      </c>
      <c r="I1195" s="85">
        <f t="shared" si="411"/>
        <v>0</v>
      </c>
      <c r="J1195" s="85">
        <f t="shared" si="411"/>
        <v>0</v>
      </c>
      <c r="K1195" s="148">
        <v>0</v>
      </c>
      <c r="L1195" s="497">
        <f t="shared" si="406"/>
        <v>0.73109999999999997</v>
      </c>
      <c r="M1195" s="845"/>
      <c r="N1195" s="88"/>
      <c r="O1195" s="89"/>
      <c r="P1195" s="1218"/>
      <c r="Q1195" s="91"/>
      <c r="R1195" s="91"/>
      <c r="S1195" s="91"/>
      <c r="T1195" s="91"/>
      <c r="U1195" s="91"/>
      <c r="V1195" s="91"/>
      <c r="W1195" s="91"/>
      <c r="X1195" s="91"/>
      <c r="Y1195" s="91"/>
      <c r="Z1195" s="91"/>
      <c r="AA1195" s="91"/>
      <c r="AB1195" s="91"/>
      <c r="AC1195" s="91"/>
      <c r="AD1195" s="91"/>
      <c r="AE1195" s="91"/>
      <c r="AF1195" s="91"/>
      <c r="AG1195" s="91"/>
      <c r="AH1195" s="91"/>
      <c r="AI1195" s="91"/>
      <c r="AJ1195" s="91"/>
      <c r="AK1195" s="91"/>
      <c r="AL1195" s="91"/>
      <c r="AM1195" s="91"/>
      <c r="AN1195" s="91"/>
      <c r="AO1195" s="91"/>
      <c r="AP1195" s="91"/>
      <c r="AQ1195" s="91"/>
      <c r="AR1195" s="91"/>
      <c r="AS1195" s="91"/>
      <c r="AT1195" s="91"/>
      <c r="AU1195" s="91"/>
      <c r="AV1195" s="91"/>
      <c r="AW1195" s="91"/>
      <c r="AX1195" s="91"/>
      <c r="AY1195" s="91"/>
      <c r="AZ1195" s="91"/>
      <c r="BA1195" s="91"/>
      <c r="BB1195" s="91"/>
      <c r="BC1195" s="91"/>
      <c r="BD1195" s="91"/>
      <c r="BE1195" s="91"/>
      <c r="BF1195" s="92"/>
    </row>
    <row r="1196" spans="1:58" s="82" customFormat="1">
      <c r="A1196" s="1339"/>
      <c r="B1196" s="960"/>
      <c r="C1196" s="637"/>
      <c r="D1196" s="84">
        <v>2021</v>
      </c>
      <c r="E1196" s="85">
        <f t="shared" si="411"/>
        <v>0.76029999999999998</v>
      </c>
      <c r="F1196" s="85">
        <f t="shared" si="411"/>
        <v>0.76029999999999998</v>
      </c>
      <c r="G1196" s="85">
        <f t="shared" si="411"/>
        <v>0</v>
      </c>
      <c r="H1196" s="85">
        <f t="shared" si="411"/>
        <v>0</v>
      </c>
      <c r="I1196" s="85">
        <f t="shared" si="411"/>
        <v>0</v>
      </c>
      <c r="J1196" s="85">
        <f t="shared" si="411"/>
        <v>0</v>
      </c>
      <c r="K1196" s="148">
        <v>0</v>
      </c>
      <c r="L1196" s="497">
        <f t="shared" si="406"/>
        <v>0.76029999999999998</v>
      </c>
      <c r="M1196" s="845"/>
      <c r="N1196" s="88"/>
      <c r="O1196" s="89"/>
      <c r="P1196" s="1218"/>
      <c r="Q1196" s="91"/>
      <c r="R1196" s="91"/>
      <c r="S1196" s="91"/>
      <c r="T1196" s="91"/>
      <c r="U1196" s="91"/>
      <c r="V1196" s="91"/>
      <c r="W1196" s="91"/>
      <c r="X1196" s="91"/>
      <c r="Y1196" s="91"/>
      <c r="Z1196" s="91"/>
      <c r="AA1196" s="91"/>
      <c r="AB1196" s="91"/>
      <c r="AC1196" s="91"/>
      <c r="AD1196" s="91"/>
      <c r="AE1196" s="91"/>
      <c r="AF1196" s="91"/>
      <c r="AG1196" s="91"/>
      <c r="AH1196" s="91"/>
      <c r="AI1196" s="91"/>
      <c r="AJ1196" s="91"/>
      <c r="AK1196" s="91"/>
      <c r="AL1196" s="91"/>
      <c r="AM1196" s="91"/>
      <c r="AN1196" s="91"/>
      <c r="AO1196" s="91"/>
      <c r="AP1196" s="91"/>
      <c r="AQ1196" s="91"/>
      <c r="AR1196" s="91"/>
      <c r="AS1196" s="91"/>
      <c r="AT1196" s="91"/>
      <c r="AU1196" s="91"/>
      <c r="AV1196" s="91"/>
      <c r="AW1196" s="91"/>
      <c r="AX1196" s="91"/>
      <c r="AY1196" s="91"/>
      <c r="AZ1196" s="91"/>
      <c r="BA1196" s="91"/>
      <c r="BB1196" s="91"/>
      <c r="BC1196" s="91"/>
      <c r="BD1196" s="91"/>
      <c r="BE1196" s="91"/>
      <c r="BF1196" s="92"/>
    </row>
    <row r="1197" spans="1:58" s="82" customFormat="1">
      <c r="A1197" s="1339"/>
      <c r="B1197" s="960"/>
      <c r="C1197" s="637"/>
      <c r="D1197" s="84">
        <v>2022</v>
      </c>
      <c r="E1197" s="85">
        <f t="shared" si="411"/>
        <v>0.78269999999999995</v>
      </c>
      <c r="F1197" s="85">
        <f t="shared" si="411"/>
        <v>0.78269999999999995</v>
      </c>
      <c r="G1197" s="85">
        <f t="shared" si="411"/>
        <v>0</v>
      </c>
      <c r="H1197" s="85">
        <f t="shared" si="411"/>
        <v>0</v>
      </c>
      <c r="I1197" s="85">
        <f t="shared" si="411"/>
        <v>0</v>
      </c>
      <c r="J1197" s="85">
        <f t="shared" si="411"/>
        <v>0</v>
      </c>
      <c r="K1197" s="148">
        <v>0</v>
      </c>
      <c r="L1197" s="497">
        <f t="shared" si="406"/>
        <v>0.78269999999999995</v>
      </c>
      <c r="M1197" s="845"/>
      <c r="N1197" s="88"/>
      <c r="O1197" s="89"/>
      <c r="P1197" s="1218"/>
      <c r="Q1197" s="91"/>
      <c r="R1197" s="91"/>
      <c r="S1197" s="91"/>
      <c r="T1197" s="91"/>
      <c r="U1197" s="91"/>
      <c r="V1197" s="91"/>
      <c r="W1197" s="91"/>
      <c r="X1197" s="91"/>
      <c r="Y1197" s="91"/>
      <c r="Z1197" s="91"/>
      <c r="AA1197" s="91"/>
      <c r="AB1197" s="91"/>
      <c r="AC1197" s="91"/>
      <c r="AD1197" s="91"/>
      <c r="AE1197" s="91"/>
      <c r="AF1197" s="91"/>
      <c r="AG1197" s="91"/>
      <c r="AH1197" s="91"/>
      <c r="AI1197" s="91"/>
      <c r="AJ1197" s="91"/>
      <c r="AK1197" s="91"/>
      <c r="AL1197" s="91"/>
      <c r="AM1197" s="91"/>
      <c r="AN1197" s="91"/>
      <c r="AO1197" s="91"/>
      <c r="AP1197" s="91"/>
      <c r="AQ1197" s="91"/>
      <c r="AR1197" s="91"/>
      <c r="AS1197" s="91"/>
      <c r="AT1197" s="91"/>
      <c r="AU1197" s="91"/>
      <c r="AV1197" s="91"/>
      <c r="AW1197" s="91"/>
      <c r="AX1197" s="91"/>
      <c r="AY1197" s="91"/>
      <c r="AZ1197" s="91"/>
      <c r="BA1197" s="91"/>
      <c r="BB1197" s="91"/>
      <c r="BC1197" s="91"/>
      <c r="BD1197" s="91"/>
      <c r="BE1197" s="91"/>
      <c r="BF1197" s="92"/>
    </row>
    <row r="1198" spans="1:58" s="82" customFormat="1">
      <c r="A1198" s="1339"/>
      <c r="B1198" s="960"/>
      <c r="C1198" s="637"/>
      <c r="D1198" s="84">
        <v>2023</v>
      </c>
      <c r="E1198" s="85">
        <f>F1198</f>
        <v>0.81399999999999995</v>
      </c>
      <c r="F1198" s="85">
        <f>F1205</f>
        <v>0.81399999999999995</v>
      </c>
      <c r="G1198" s="85">
        <v>0</v>
      </c>
      <c r="H1198" s="85">
        <v>0</v>
      </c>
      <c r="I1198" s="85">
        <v>0</v>
      </c>
      <c r="J1198" s="85">
        <v>0</v>
      </c>
      <c r="K1198" s="148">
        <v>0</v>
      </c>
      <c r="L1198" s="497">
        <f t="shared" si="406"/>
        <v>0.81399999999999995</v>
      </c>
      <c r="M1198" s="845"/>
      <c r="N1198" s="88"/>
      <c r="O1198" s="89"/>
      <c r="P1198" s="1218"/>
      <c r="Q1198" s="91"/>
      <c r="R1198" s="91"/>
      <c r="S1198" s="91"/>
      <c r="T1198" s="91"/>
      <c r="U1198" s="91"/>
      <c r="V1198" s="91"/>
      <c r="W1198" s="91"/>
      <c r="X1198" s="91"/>
      <c r="Y1198" s="91"/>
      <c r="Z1198" s="91"/>
      <c r="AA1198" s="91"/>
      <c r="AB1198" s="91"/>
      <c r="AC1198" s="91"/>
      <c r="AD1198" s="91"/>
      <c r="AE1198" s="91"/>
      <c r="AF1198" s="91"/>
      <c r="AG1198" s="91"/>
      <c r="AH1198" s="91"/>
      <c r="AI1198" s="91"/>
      <c r="AJ1198" s="91"/>
      <c r="AK1198" s="91"/>
      <c r="AL1198" s="91"/>
      <c r="AM1198" s="91"/>
      <c r="AN1198" s="91"/>
      <c r="AO1198" s="91"/>
      <c r="AP1198" s="91"/>
      <c r="AQ1198" s="91"/>
      <c r="AR1198" s="91"/>
      <c r="AS1198" s="91"/>
      <c r="AT1198" s="91"/>
      <c r="AU1198" s="91"/>
      <c r="AV1198" s="91"/>
      <c r="AW1198" s="91"/>
      <c r="AX1198" s="91"/>
      <c r="AY1198" s="91"/>
      <c r="AZ1198" s="91"/>
      <c r="BA1198" s="91"/>
      <c r="BB1198" s="91"/>
      <c r="BC1198" s="91"/>
      <c r="BD1198" s="91"/>
      <c r="BE1198" s="91"/>
      <c r="BF1198" s="92"/>
    </row>
    <row r="1199" spans="1:58" s="82" customFormat="1">
      <c r="A1199" s="1339"/>
      <c r="B1199" s="960"/>
      <c r="C1199" s="637"/>
      <c r="D1199" s="84">
        <v>2024</v>
      </c>
      <c r="E1199" s="85">
        <f>F1199</f>
        <v>0.85529999999999995</v>
      </c>
      <c r="F1199" s="85">
        <f>F1206</f>
        <v>0.85529999999999995</v>
      </c>
      <c r="G1199" s="85">
        <v>0</v>
      </c>
      <c r="H1199" s="85">
        <v>0</v>
      </c>
      <c r="I1199" s="85">
        <v>0</v>
      </c>
      <c r="J1199" s="85">
        <v>0</v>
      </c>
      <c r="K1199" s="148">
        <v>0</v>
      </c>
      <c r="L1199" s="497">
        <f t="shared" si="406"/>
        <v>0.85529999999999995</v>
      </c>
      <c r="M1199" s="845"/>
      <c r="N1199" s="88"/>
      <c r="O1199" s="89"/>
      <c r="P1199" s="1218"/>
      <c r="Q1199" s="91"/>
      <c r="R1199" s="91"/>
      <c r="S1199" s="91"/>
      <c r="T1199" s="91"/>
      <c r="U1199" s="91"/>
      <c r="V1199" s="91"/>
      <c r="W1199" s="91"/>
      <c r="X1199" s="91"/>
      <c r="Y1199" s="91"/>
      <c r="Z1199" s="91"/>
      <c r="AA1199" s="91"/>
      <c r="AB1199" s="91"/>
      <c r="AC1199" s="91"/>
      <c r="AD1199" s="91"/>
      <c r="AE1199" s="91"/>
      <c r="AF1199" s="91"/>
      <c r="AG1199" s="91"/>
      <c r="AH1199" s="91"/>
      <c r="AI1199" s="91"/>
      <c r="AJ1199" s="91"/>
      <c r="AK1199" s="91"/>
      <c r="AL1199" s="91"/>
      <c r="AM1199" s="91"/>
      <c r="AN1199" s="91"/>
      <c r="AO1199" s="91"/>
      <c r="AP1199" s="91"/>
      <c r="AQ1199" s="91"/>
      <c r="AR1199" s="91"/>
      <c r="AS1199" s="91"/>
      <c r="AT1199" s="91"/>
      <c r="AU1199" s="91"/>
      <c r="AV1199" s="91"/>
      <c r="AW1199" s="91"/>
      <c r="AX1199" s="91"/>
      <c r="AY1199" s="91"/>
      <c r="AZ1199" s="91"/>
      <c r="BA1199" s="91"/>
      <c r="BB1199" s="91"/>
      <c r="BC1199" s="91"/>
      <c r="BD1199" s="91"/>
      <c r="BE1199" s="91"/>
      <c r="BF1199" s="92"/>
    </row>
    <row r="1200" spans="1:58" s="82" customFormat="1">
      <c r="A1200" s="1339"/>
      <c r="B1200" s="960"/>
      <c r="C1200" s="637"/>
      <c r="D1200" s="84">
        <v>2025</v>
      </c>
      <c r="E1200" s="85">
        <f>F1200</f>
        <v>0.88949999999999996</v>
      </c>
      <c r="F1200" s="85">
        <f>F1207</f>
        <v>0.88949999999999996</v>
      </c>
      <c r="G1200" s="85">
        <v>0</v>
      </c>
      <c r="H1200" s="85">
        <v>0</v>
      </c>
      <c r="I1200" s="85">
        <v>0</v>
      </c>
      <c r="J1200" s="85">
        <v>0</v>
      </c>
      <c r="K1200" s="148">
        <v>0</v>
      </c>
      <c r="L1200" s="497">
        <f t="shared" si="406"/>
        <v>0.88949999999999996</v>
      </c>
      <c r="M1200" s="845"/>
      <c r="N1200" s="88"/>
      <c r="O1200" s="89"/>
      <c r="P1200" s="1218"/>
      <c r="Q1200" s="91"/>
      <c r="R1200" s="91"/>
      <c r="S1200" s="91"/>
      <c r="T1200" s="91"/>
      <c r="U1200" s="91"/>
      <c r="V1200" s="91"/>
      <c r="W1200" s="91"/>
      <c r="X1200" s="91"/>
      <c r="Y1200" s="91"/>
      <c r="Z1200" s="91"/>
      <c r="AA1200" s="91"/>
      <c r="AB1200" s="91"/>
      <c r="AC1200" s="91"/>
      <c r="AD1200" s="91"/>
      <c r="AE1200" s="91"/>
      <c r="AF1200" s="91"/>
      <c r="AG1200" s="91"/>
      <c r="AH1200" s="91"/>
      <c r="AI1200" s="91"/>
      <c r="AJ1200" s="91"/>
      <c r="AK1200" s="91"/>
      <c r="AL1200" s="91"/>
      <c r="AM1200" s="91"/>
      <c r="AN1200" s="91"/>
      <c r="AO1200" s="91"/>
      <c r="AP1200" s="91"/>
      <c r="AQ1200" s="91"/>
      <c r="AR1200" s="91"/>
      <c r="AS1200" s="91"/>
      <c r="AT1200" s="91"/>
      <c r="AU1200" s="91"/>
      <c r="AV1200" s="91"/>
      <c r="AW1200" s="91"/>
      <c r="AX1200" s="91"/>
      <c r="AY1200" s="91"/>
      <c r="AZ1200" s="91"/>
      <c r="BA1200" s="91"/>
      <c r="BB1200" s="91"/>
      <c r="BC1200" s="91"/>
      <c r="BD1200" s="91"/>
      <c r="BE1200" s="91"/>
      <c r="BF1200" s="92"/>
    </row>
    <row r="1201" spans="1:58" s="82" customFormat="1" ht="46.5" customHeight="1">
      <c r="A1201" s="700" t="s">
        <v>1374</v>
      </c>
      <c r="B1201" s="390" t="s">
        <v>1061</v>
      </c>
      <c r="C1201" s="637"/>
      <c r="D1201" s="84">
        <v>2019</v>
      </c>
      <c r="E1201" s="85">
        <f t="shared" ref="E1201:E1207" si="412">F1201+G1201+H1201+I1201+J1201</f>
        <v>0.53059000000000001</v>
      </c>
      <c r="F1201" s="85">
        <v>0.53059000000000001</v>
      </c>
      <c r="G1201" s="85">
        <v>0</v>
      </c>
      <c r="H1201" s="85">
        <v>0</v>
      </c>
      <c r="I1201" s="85">
        <v>0</v>
      </c>
      <c r="J1201" s="85">
        <v>0</v>
      </c>
      <c r="K1201" s="148">
        <v>0</v>
      </c>
      <c r="L1201" s="497">
        <f t="shared" si="406"/>
        <v>0.53059000000000001</v>
      </c>
      <c r="M1201" s="136"/>
      <c r="N1201" s="88"/>
      <c r="O1201" s="89"/>
      <c r="P1201" s="1218"/>
      <c r="Q1201" s="91"/>
      <c r="R1201" s="91"/>
      <c r="S1201" s="91"/>
      <c r="T1201" s="91"/>
      <c r="U1201" s="91"/>
      <c r="V1201" s="91"/>
      <c r="W1201" s="91"/>
      <c r="X1201" s="91"/>
      <c r="Y1201" s="91"/>
      <c r="Z1201" s="91"/>
      <c r="AA1201" s="91"/>
      <c r="AB1201" s="91"/>
      <c r="AC1201" s="91"/>
      <c r="AD1201" s="91"/>
      <c r="AE1201" s="91"/>
      <c r="AF1201" s="91"/>
      <c r="AG1201" s="91"/>
      <c r="AH1201" s="91"/>
      <c r="AI1201" s="91"/>
      <c r="AJ1201" s="91"/>
      <c r="AK1201" s="91"/>
      <c r="AL1201" s="91"/>
      <c r="AM1201" s="91"/>
      <c r="AN1201" s="91"/>
      <c r="AO1201" s="91"/>
      <c r="AP1201" s="91"/>
      <c r="AQ1201" s="91"/>
      <c r="AR1201" s="91"/>
      <c r="AS1201" s="91"/>
      <c r="AT1201" s="91"/>
      <c r="AU1201" s="91"/>
      <c r="AV1201" s="91"/>
      <c r="AW1201" s="91"/>
      <c r="AX1201" s="91"/>
      <c r="AY1201" s="91"/>
      <c r="AZ1201" s="91"/>
      <c r="BA1201" s="91"/>
      <c r="BB1201" s="91"/>
      <c r="BC1201" s="91"/>
      <c r="BD1201" s="91"/>
      <c r="BE1201" s="91"/>
      <c r="BF1201" s="92"/>
    </row>
    <row r="1202" spans="1:58" s="82" customFormat="1" ht="66.75" customHeight="1">
      <c r="A1202" s="700" t="s">
        <v>1375</v>
      </c>
      <c r="B1202" s="390" t="s">
        <v>1063</v>
      </c>
      <c r="C1202" s="637"/>
      <c r="D1202" s="84">
        <v>2020</v>
      </c>
      <c r="E1202" s="85">
        <f t="shared" si="412"/>
        <v>0.73109999999999997</v>
      </c>
      <c r="F1202" s="85">
        <v>0.73109999999999997</v>
      </c>
      <c r="G1202" s="85">
        <v>0</v>
      </c>
      <c r="H1202" s="85">
        <v>0</v>
      </c>
      <c r="I1202" s="85">
        <v>0</v>
      </c>
      <c r="J1202" s="85">
        <v>0</v>
      </c>
      <c r="K1202" s="148">
        <v>0</v>
      </c>
      <c r="L1202" s="497">
        <f t="shared" si="406"/>
        <v>0.73109999999999997</v>
      </c>
      <c r="M1202" s="136"/>
      <c r="N1202" s="88"/>
      <c r="O1202" s="89"/>
      <c r="P1202" s="1218"/>
      <c r="Q1202" s="91"/>
      <c r="R1202" s="91"/>
      <c r="S1202" s="91"/>
      <c r="T1202" s="91"/>
      <c r="U1202" s="91"/>
      <c r="V1202" s="91"/>
      <c r="W1202" s="91"/>
      <c r="X1202" s="91"/>
      <c r="Y1202" s="91"/>
      <c r="Z1202" s="91"/>
      <c r="AA1202" s="91"/>
      <c r="AB1202" s="91"/>
      <c r="AC1202" s="91"/>
      <c r="AD1202" s="91"/>
      <c r="AE1202" s="91"/>
      <c r="AF1202" s="91"/>
      <c r="AG1202" s="91"/>
      <c r="AH1202" s="91"/>
      <c r="AI1202" s="91"/>
      <c r="AJ1202" s="91"/>
      <c r="AK1202" s="91"/>
      <c r="AL1202" s="91"/>
      <c r="AM1202" s="91"/>
      <c r="AN1202" s="91"/>
      <c r="AO1202" s="91"/>
      <c r="AP1202" s="91"/>
      <c r="AQ1202" s="91"/>
      <c r="AR1202" s="91"/>
      <c r="AS1202" s="91"/>
      <c r="AT1202" s="91"/>
      <c r="AU1202" s="91"/>
      <c r="AV1202" s="91"/>
      <c r="AW1202" s="91"/>
      <c r="AX1202" s="91"/>
      <c r="AY1202" s="91"/>
      <c r="AZ1202" s="91"/>
      <c r="BA1202" s="91"/>
      <c r="BB1202" s="91"/>
      <c r="BC1202" s="91"/>
      <c r="BD1202" s="91"/>
      <c r="BE1202" s="91"/>
      <c r="BF1202" s="92"/>
    </row>
    <row r="1203" spans="1:58" s="82" customFormat="1" ht="25.5">
      <c r="A1203" s="700" t="s">
        <v>1376</v>
      </c>
      <c r="B1203" s="390" t="s">
        <v>1065</v>
      </c>
      <c r="C1203" s="637"/>
      <c r="D1203" s="84">
        <v>2021</v>
      </c>
      <c r="E1203" s="85">
        <f t="shared" si="412"/>
        <v>0.76029999999999998</v>
      </c>
      <c r="F1203" s="85">
        <v>0.76029999999999998</v>
      </c>
      <c r="G1203" s="85">
        <v>0</v>
      </c>
      <c r="H1203" s="85">
        <v>0</v>
      </c>
      <c r="I1203" s="85">
        <v>0</v>
      </c>
      <c r="J1203" s="85">
        <v>0</v>
      </c>
      <c r="K1203" s="148">
        <v>0</v>
      </c>
      <c r="L1203" s="497">
        <f t="shared" si="406"/>
        <v>0.76029999999999998</v>
      </c>
      <c r="M1203" s="136"/>
      <c r="N1203" s="88"/>
      <c r="O1203" s="89"/>
      <c r="P1203" s="1218"/>
      <c r="Q1203" s="91"/>
      <c r="R1203" s="91"/>
      <c r="S1203" s="91"/>
      <c r="T1203" s="91"/>
      <c r="U1203" s="91"/>
      <c r="V1203" s="91"/>
      <c r="W1203" s="91"/>
      <c r="X1203" s="91"/>
      <c r="Y1203" s="91"/>
      <c r="Z1203" s="91"/>
      <c r="AA1203" s="91"/>
      <c r="AB1203" s="91"/>
      <c r="AC1203" s="91"/>
      <c r="AD1203" s="91"/>
      <c r="AE1203" s="91"/>
      <c r="AF1203" s="91"/>
      <c r="AG1203" s="91"/>
      <c r="AH1203" s="91"/>
      <c r="AI1203" s="91"/>
      <c r="AJ1203" s="91"/>
      <c r="AK1203" s="91"/>
      <c r="AL1203" s="91"/>
      <c r="AM1203" s="91"/>
      <c r="AN1203" s="91"/>
      <c r="AO1203" s="91"/>
      <c r="AP1203" s="91"/>
      <c r="AQ1203" s="91"/>
      <c r="AR1203" s="91"/>
      <c r="AS1203" s="91"/>
      <c r="AT1203" s="91"/>
      <c r="AU1203" s="91"/>
      <c r="AV1203" s="91"/>
      <c r="AW1203" s="91"/>
      <c r="AX1203" s="91"/>
      <c r="AY1203" s="91"/>
      <c r="AZ1203" s="91"/>
      <c r="BA1203" s="91"/>
      <c r="BB1203" s="91"/>
      <c r="BC1203" s="91"/>
      <c r="BD1203" s="91"/>
      <c r="BE1203" s="91"/>
      <c r="BF1203" s="92"/>
    </row>
    <row r="1204" spans="1:58" s="82" customFormat="1" ht="25.5">
      <c r="A1204" s="700" t="s">
        <v>1377</v>
      </c>
      <c r="B1204" s="390" t="s">
        <v>1378</v>
      </c>
      <c r="C1204" s="637"/>
      <c r="D1204" s="84">
        <v>2022</v>
      </c>
      <c r="E1204" s="85">
        <f t="shared" si="412"/>
        <v>0.78269999999999995</v>
      </c>
      <c r="F1204" s="85">
        <v>0.78269999999999995</v>
      </c>
      <c r="G1204" s="85">
        <v>0</v>
      </c>
      <c r="H1204" s="85">
        <v>0</v>
      </c>
      <c r="I1204" s="85">
        <v>0</v>
      </c>
      <c r="J1204" s="85">
        <v>0</v>
      </c>
      <c r="K1204" s="148">
        <v>0</v>
      </c>
      <c r="L1204" s="497">
        <f t="shared" si="406"/>
        <v>0.78269999999999995</v>
      </c>
      <c r="M1204" s="136"/>
      <c r="N1204" s="88"/>
      <c r="O1204" s="89"/>
      <c r="P1204" s="1218"/>
      <c r="Q1204" s="91"/>
      <c r="R1204" s="91"/>
      <c r="S1204" s="91"/>
      <c r="T1204" s="91"/>
      <c r="U1204" s="91"/>
      <c r="V1204" s="91"/>
      <c r="W1204" s="91"/>
      <c r="X1204" s="91"/>
      <c r="Y1204" s="91"/>
      <c r="Z1204" s="91"/>
      <c r="AA1204" s="91"/>
      <c r="AB1204" s="91"/>
      <c r="AC1204" s="91"/>
      <c r="AD1204" s="91"/>
      <c r="AE1204" s="91"/>
      <c r="AF1204" s="91"/>
      <c r="AG1204" s="91"/>
      <c r="AH1204" s="91"/>
      <c r="AI1204" s="91"/>
      <c r="AJ1204" s="91"/>
      <c r="AK1204" s="91"/>
      <c r="AL1204" s="91"/>
      <c r="AM1204" s="91"/>
      <c r="AN1204" s="91"/>
      <c r="AO1204" s="91"/>
      <c r="AP1204" s="91"/>
      <c r="AQ1204" s="91"/>
      <c r="AR1204" s="91"/>
      <c r="AS1204" s="91"/>
      <c r="AT1204" s="91"/>
      <c r="AU1204" s="91"/>
      <c r="AV1204" s="91"/>
      <c r="AW1204" s="91"/>
      <c r="AX1204" s="91"/>
      <c r="AY1204" s="91"/>
      <c r="AZ1204" s="91"/>
      <c r="BA1204" s="91"/>
      <c r="BB1204" s="91"/>
      <c r="BC1204" s="91"/>
      <c r="BD1204" s="91"/>
      <c r="BE1204" s="91"/>
      <c r="BF1204" s="92"/>
    </row>
    <row r="1205" spans="1:58" s="82" customFormat="1" ht="25.5">
      <c r="A1205" s="576" t="s">
        <v>1379</v>
      </c>
      <c r="B1205" s="390" t="s">
        <v>1380</v>
      </c>
      <c r="C1205" s="637"/>
      <c r="D1205" s="84">
        <v>2023</v>
      </c>
      <c r="E1205" s="85">
        <f t="shared" si="412"/>
        <v>0.81399999999999995</v>
      </c>
      <c r="F1205" s="85">
        <v>0.81399999999999995</v>
      </c>
      <c r="G1205" s="85">
        <v>0</v>
      </c>
      <c r="H1205" s="85">
        <v>0</v>
      </c>
      <c r="I1205" s="85">
        <v>0</v>
      </c>
      <c r="J1205" s="85">
        <v>0</v>
      </c>
      <c r="K1205" s="148">
        <v>0</v>
      </c>
      <c r="L1205" s="497">
        <f t="shared" si="406"/>
        <v>0.81399999999999995</v>
      </c>
      <c r="M1205" s="136"/>
      <c r="N1205" s="88"/>
      <c r="O1205" s="89"/>
      <c r="P1205" s="1218"/>
      <c r="Q1205" s="91"/>
      <c r="R1205" s="91"/>
      <c r="S1205" s="91"/>
      <c r="T1205" s="91"/>
      <c r="U1205" s="91"/>
      <c r="V1205" s="91"/>
      <c r="W1205" s="91"/>
      <c r="X1205" s="91"/>
      <c r="Y1205" s="91"/>
      <c r="Z1205" s="91"/>
      <c r="AA1205" s="91"/>
      <c r="AB1205" s="91"/>
      <c r="AC1205" s="91"/>
      <c r="AD1205" s="91"/>
      <c r="AE1205" s="91"/>
      <c r="AF1205" s="91"/>
      <c r="AG1205" s="91"/>
      <c r="AH1205" s="91"/>
      <c r="AI1205" s="91"/>
      <c r="AJ1205" s="91"/>
      <c r="AK1205" s="91"/>
      <c r="AL1205" s="91"/>
      <c r="AM1205" s="91"/>
      <c r="AN1205" s="91"/>
      <c r="AO1205" s="91"/>
      <c r="AP1205" s="91"/>
      <c r="AQ1205" s="91"/>
      <c r="AR1205" s="91"/>
      <c r="AS1205" s="91"/>
      <c r="AT1205" s="91"/>
      <c r="AU1205" s="91"/>
      <c r="AV1205" s="91"/>
      <c r="AW1205" s="91"/>
      <c r="AX1205" s="91"/>
      <c r="AY1205" s="91"/>
      <c r="AZ1205" s="91"/>
      <c r="BA1205" s="91"/>
      <c r="BB1205" s="91"/>
      <c r="BC1205" s="91"/>
      <c r="BD1205" s="91"/>
      <c r="BE1205" s="91"/>
      <c r="BF1205" s="92"/>
    </row>
    <row r="1206" spans="1:58" s="82" customFormat="1" ht="25.5">
      <c r="A1206" s="576" t="s">
        <v>1381</v>
      </c>
      <c r="B1206" s="390" t="s">
        <v>1382</v>
      </c>
      <c r="C1206" s="637"/>
      <c r="D1206" s="84">
        <v>2024</v>
      </c>
      <c r="E1206" s="85">
        <f t="shared" si="412"/>
        <v>0.85529999999999995</v>
      </c>
      <c r="F1206" s="85">
        <v>0.85529999999999995</v>
      </c>
      <c r="G1206" s="85">
        <v>0</v>
      </c>
      <c r="H1206" s="85">
        <v>0</v>
      </c>
      <c r="I1206" s="85">
        <v>0</v>
      </c>
      <c r="J1206" s="85">
        <v>0</v>
      </c>
      <c r="K1206" s="148">
        <v>0</v>
      </c>
      <c r="L1206" s="497">
        <f t="shared" si="406"/>
        <v>0.85529999999999995</v>
      </c>
      <c r="M1206" s="136"/>
      <c r="N1206" s="88"/>
      <c r="O1206" s="89"/>
      <c r="P1206" s="1218"/>
      <c r="Q1206" s="91"/>
      <c r="R1206" s="91"/>
      <c r="S1206" s="91"/>
      <c r="T1206" s="91"/>
      <c r="U1206" s="91"/>
      <c r="V1206" s="91"/>
      <c r="W1206" s="91"/>
      <c r="X1206" s="91"/>
      <c r="Y1206" s="91"/>
      <c r="Z1206" s="91"/>
      <c r="AA1206" s="91"/>
      <c r="AB1206" s="91"/>
      <c r="AC1206" s="91"/>
      <c r="AD1206" s="91"/>
      <c r="AE1206" s="91"/>
      <c r="AF1206" s="91"/>
      <c r="AG1206" s="91"/>
      <c r="AH1206" s="91"/>
      <c r="AI1206" s="91"/>
      <c r="AJ1206" s="91"/>
      <c r="AK1206" s="91"/>
      <c r="AL1206" s="91"/>
      <c r="AM1206" s="91"/>
      <c r="AN1206" s="91"/>
      <c r="AO1206" s="91"/>
      <c r="AP1206" s="91"/>
      <c r="AQ1206" s="91"/>
      <c r="AR1206" s="91"/>
      <c r="AS1206" s="91"/>
      <c r="AT1206" s="91"/>
      <c r="AU1206" s="91"/>
      <c r="AV1206" s="91"/>
      <c r="AW1206" s="91"/>
      <c r="AX1206" s="91"/>
      <c r="AY1206" s="91"/>
      <c r="AZ1206" s="91"/>
      <c r="BA1206" s="91"/>
      <c r="BB1206" s="91"/>
      <c r="BC1206" s="91"/>
      <c r="BD1206" s="91"/>
      <c r="BE1206" s="91"/>
      <c r="BF1206" s="92"/>
    </row>
    <row r="1207" spans="1:58" s="82" customFormat="1" ht="51">
      <c r="A1207" s="576" t="s">
        <v>1383</v>
      </c>
      <c r="B1207" s="390" t="s">
        <v>1384</v>
      </c>
      <c r="C1207" s="637"/>
      <c r="D1207" s="84">
        <v>2025</v>
      </c>
      <c r="E1207" s="85">
        <f t="shared" si="412"/>
        <v>0.88949999999999996</v>
      </c>
      <c r="F1207" s="85">
        <v>0.88949999999999996</v>
      </c>
      <c r="G1207" s="85">
        <v>0</v>
      </c>
      <c r="H1207" s="85">
        <v>0</v>
      </c>
      <c r="I1207" s="85">
        <v>0</v>
      </c>
      <c r="J1207" s="85">
        <v>0</v>
      </c>
      <c r="K1207" s="148">
        <v>0</v>
      </c>
      <c r="L1207" s="497">
        <f t="shared" ref="L1207:L1238" si="413">F1207+G1207+H1207+I1207+J1207</f>
        <v>0.88949999999999996</v>
      </c>
      <c r="M1207" s="136"/>
      <c r="N1207" s="88"/>
      <c r="O1207" s="89"/>
      <c r="P1207" s="1218"/>
      <c r="Q1207" s="91"/>
      <c r="R1207" s="91"/>
      <c r="S1207" s="91"/>
      <c r="T1207" s="91"/>
      <c r="U1207" s="91"/>
      <c r="V1207" s="91"/>
      <c r="W1207" s="91"/>
      <c r="X1207" s="91"/>
      <c r="Y1207" s="91"/>
      <c r="Z1207" s="91"/>
      <c r="AA1207" s="91"/>
      <c r="AB1207" s="91"/>
      <c r="AC1207" s="91"/>
      <c r="AD1207" s="91"/>
      <c r="AE1207" s="91"/>
      <c r="AF1207" s="91"/>
      <c r="AG1207" s="91"/>
      <c r="AH1207" s="91"/>
      <c r="AI1207" s="91"/>
      <c r="AJ1207" s="91"/>
      <c r="AK1207" s="91"/>
      <c r="AL1207" s="91"/>
      <c r="AM1207" s="91"/>
      <c r="AN1207" s="91"/>
      <c r="AO1207" s="91"/>
      <c r="AP1207" s="91"/>
      <c r="AQ1207" s="91"/>
      <c r="AR1207" s="91"/>
      <c r="AS1207" s="91"/>
      <c r="AT1207" s="91"/>
      <c r="AU1207" s="91"/>
      <c r="AV1207" s="91"/>
      <c r="AW1207" s="91"/>
      <c r="AX1207" s="91"/>
      <c r="AY1207" s="91"/>
      <c r="AZ1207" s="91"/>
      <c r="BA1207" s="91"/>
      <c r="BB1207" s="91"/>
      <c r="BC1207" s="91"/>
      <c r="BD1207" s="91"/>
      <c r="BE1207" s="91"/>
      <c r="BF1207" s="92"/>
    </row>
    <row r="1208" spans="1:58">
      <c r="A1208" s="1190" t="s">
        <v>1082</v>
      </c>
      <c r="B1208" s="1262" t="s">
        <v>1385</v>
      </c>
      <c r="C1208" s="637"/>
      <c r="D1208" s="114" t="s">
        <v>16</v>
      </c>
      <c r="E1208" s="115">
        <f t="shared" ref="E1208:J1208" si="414">E1209+E1210+E1211+E1213+E1212+E1214+E1215</f>
        <v>1.3423500000000002</v>
      </c>
      <c r="F1208" s="115">
        <f t="shared" si="414"/>
        <v>1.3423500000000002</v>
      </c>
      <c r="G1208" s="115">
        <f t="shared" si="414"/>
        <v>0</v>
      </c>
      <c r="H1208" s="115">
        <f t="shared" si="414"/>
        <v>0</v>
      </c>
      <c r="I1208" s="115">
        <f t="shared" si="414"/>
        <v>0</v>
      </c>
      <c r="J1208" s="115">
        <f t="shared" si="414"/>
        <v>0</v>
      </c>
      <c r="K1208" s="148">
        <v>0</v>
      </c>
      <c r="L1208" s="497">
        <f t="shared" si="413"/>
        <v>1.3423500000000002</v>
      </c>
      <c r="M1208" s="216"/>
      <c r="N1208" s="110"/>
      <c r="O1208" s="111"/>
      <c r="P1208" s="571"/>
    </row>
    <row r="1209" spans="1:58">
      <c r="A1209" s="1191"/>
      <c r="B1209" s="1263"/>
      <c r="C1209" s="637"/>
      <c r="D1209" s="114">
        <v>2019</v>
      </c>
      <c r="E1209" s="115">
        <f t="shared" ref="E1209:E1215" si="415">F1209</f>
        <v>0.50270000000000004</v>
      </c>
      <c r="F1209" s="115">
        <v>0.50270000000000004</v>
      </c>
      <c r="G1209" s="115">
        <v>0</v>
      </c>
      <c r="H1209" s="115">
        <v>0</v>
      </c>
      <c r="I1209" s="115">
        <v>0</v>
      </c>
      <c r="J1209" s="115">
        <v>0</v>
      </c>
      <c r="K1209" s="148">
        <v>0</v>
      </c>
      <c r="L1209" s="497">
        <f t="shared" si="413"/>
        <v>0.50270000000000004</v>
      </c>
      <c r="M1209" s="216"/>
      <c r="N1209" s="110"/>
      <c r="O1209" s="111"/>
      <c r="P1209" s="571"/>
    </row>
    <row r="1210" spans="1:58">
      <c r="A1210" s="1191"/>
      <c r="B1210" s="1263"/>
      <c r="C1210" s="637"/>
      <c r="D1210" s="114">
        <v>2020</v>
      </c>
      <c r="E1210" s="115">
        <f t="shared" si="415"/>
        <v>0.1487</v>
      </c>
      <c r="F1210" s="115">
        <v>0.1487</v>
      </c>
      <c r="G1210" s="115">
        <v>0</v>
      </c>
      <c r="H1210" s="115">
        <v>0</v>
      </c>
      <c r="I1210" s="115">
        <v>0</v>
      </c>
      <c r="J1210" s="115">
        <v>0</v>
      </c>
      <c r="K1210" s="148">
        <v>0</v>
      </c>
      <c r="L1210" s="497">
        <f t="shared" si="413"/>
        <v>0.1487</v>
      </c>
      <c r="M1210" s="216"/>
      <c r="N1210" s="110"/>
      <c r="O1210" s="111"/>
      <c r="P1210" s="571"/>
    </row>
    <row r="1211" spans="1:58">
      <c r="A1211" s="1191"/>
      <c r="B1211" s="1263"/>
      <c r="C1211" s="637"/>
      <c r="D1211" s="114">
        <v>2021</v>
      </c>
      <c r="E1211" s="115">
        <f t="shared" si="415"/>
        <v>0.1066</v>
      </c>
      <c r="F1211" s="115">
        <v>0.1066</v>
      </c>
      <c r="G1211" s="115">
        <v>0</v>
      </c>
      <c r="H1211" s="115">
        <v>0</v>
      </c>
      <c r="I1211" s="115">
        <v>0</v>
      </c>
      <c r="J1211" s="115">
        <v>0</v>
      </c>
      <c r="K1211" s="148">
        <v>0</v>
      </c>
      <c r="L1211" s="497">
        <f t="shared" si="413"/>
        <v>0.1066</v>
      </c>
      <c r="M1211" s="216"/>
      <c r="N1211" s="110"/>
      <c r="O1211" s="111"/>
      <c r="P1211" s="571"/>
    </row>
    <row r="1212" spans="1:58">
      <c r="A1212" s="1191"/>
      <c r="B1212" s="1263"/>
      <c r="C1212" s="637"/>
      <c r="D1212" s="114">
        <v>2022</v>
      </c>
      <c r="E1212" s="115">
        <f t="shared" si="415"/>
        <v>0.113</v>
      </c>
      <c r="F1212" s="115">
        <v>0.113</v>
      </c>
      <c r="G1212" s="115">
        <v>0</v>
      </c>
      <c r="H1212" s="115">
        <v>0</v>
      </c>
      <c r="I1212" s="115">
        <v>0</v>
      </c>
      <c r="J1212" s="115">
        <v>0</v>
      </c>
      <c r="K1212" s="148">
        <v>0</v>
      </c>
      <c r="L1212" s="497">
        <f t="shared" si="413"/>
        <v>0.113</v>
      </c>
      <c r="M1212" s="216"/>
      <c r="N1212" s="110"/>
      <c r="O1212" s="111"/>
      <c r="P1212" s="571"/>
    </row>
    <row r="1213" spans="1:58">
      <c r="A1213" s="1191"/>
      <c r="B1213" s="1263"/>
      <c r="C1213" s="637"/>
      <c r="D1213" s="114">
        <v>2023</v>
      </c>
      <c r="E1213" s="115">
        <f t="shared" si="415"/>
        <v>0.115</v>
      </c>
      <c r="F1213" s="115">
        <v>0.115</v>
      </c>
      <c r="G1213" s="115">
        <v>0</v>
      </c>
      <c r="H1213" s="115">
        <v>0</v>
      </c>
      <c r="I1213" s="115">
        <v>0</v>
      </c>
      <c r="J1213" s="115">
        <v>0</v>
      </c>
      <c r="K1213" s="148">
        <v>0</v>
      </c>
      <c r="L1213" s="497">
        <f t="shared" si="413"/>
        <v>0.115</v>
      </c>
      <c r="M1213" s="216"/>
      <c r="N1213" s="110"/>
      <c r="O1213" s="111"/>
      <c r="P1213" s="571"/>
    </row>
    <row r="1214" spans="1:58">
      <c r="A1214" s="1191"/>
      <c r="B1214" s="1263"/>
      <c r="C1214" s="637"/>
      <c r="D1214" s="114">
        <v>2024</v>
      </c>
      <c r="E1214" s="115">
        <f t="shared" si="415"/>
        <v>0.17469999999999999</v>
      </c>
      <c r="F1214" s="115">
        <v>0.17469999999999999</v>
      </c>
      <c r="G1214" s="115">
        <v>0</v>
      </c>
      <c r="H1214" s="115">
        <v>0</v>
      </c>
      <c r="I1214" s="115">
        <v>0</v>
      </c>
      <c r="J1214" s="115">
        <v>0</v>
      </c>
      <c r="K1214" s="148">
        <v>0</v>
      </c>
      <c r="L1214" s="497">
        <f t="shared" si="413"/>
        <v>0.17469999999999999</v>
      </c>
      <c r="M1214" s="216"/>
      <c r="N1214" s="110"/>
      <c r="O1214" s="111"/>
      <c r="P1214" s="571"/>
    </row>
    <row r="1215" spans="1:58">
      <c r="A1215" s="1192"/>
      <c r="B1215" s="1274"/>
      <c r="C1215" s="637"/>
      <c r="D1215" s="114">
        <v>2025</v>
      </c>
      <c r="E1215" s="115">
        <f t="shared" si="415"/>
        <v>0.18165000000000001</v>
      </c>
      <c r="F1215" s="115">
        <v>0.18165000000000001</v>
      </c>
      <c r="G1215" s="115">
        <v>0</v>
      </c>
      <c r="H1215" s="115">
        <v>0</v>
      </c>
      <c r="I1215" s="115">
        <v>0</v>
      </c>
      <c r="J1215" s="115">
        <v>0</v>
      </c>
      <c r="K1215" s="148">
        <v>0</v>
      </c>
      <c r="L1215" s="497">
        <f t="shared" si="413"/>
        <v>0.18165000000000001</v>
      </c>
      <c r="M1215" s="216"/>
      <c r="N1215" s="110"/>
      <c r="O1215" s="111"/>
      <c r="P1215" s="571"/>
    </row>
    <row r="1216" spans="1:58">
      <c r="A1216" s="1088">
        <v>22</v>
      </c>
      <c r="B1216" s="929" t="s">
        <v>286</v>
      </c>
      <c r="C1216" s="1344"/>
      <c r="D1216" s="114" t="s">
        <v>16</v>
      </c>
      <c r="E1216" s="115">
        <f t="shared" ref="E1216:J1216" si="416">SUM(E1217:E1228)</f>
        <v>0.20910000000000001</v>
      </c>
      <c r="F1216" s="115">
        <f t="shared" si="416"/>
        <v>0.20910000000000001</v>
      </c>
      <c r="G1216" s="115">
        <f t="shared" si="416"/>
        <v>0</v>
      </c>
      <c r="H1216" s="115">
        <f t="shared" si="416"/>
        <v>0</v>
      </c>
      <c r="I1216" s="115">
        <f t="shared" si="416"/>
        <v>0</v>
      </c>
      <c r="J1216" s="115">
        <f t="shared" si="416"/>
        <v>0</v>
      </c>
      <c r="K1216" s="148">
        <v>0</v>
      </c>
      <c r="L1216" s="497">
        <f t="shared" si="413"/>
        <v>0.20910000000000001</v>
      </c>
      <c r="M1216" s="216"/>
      <c r="N1216" s="349"/>
      <c r="O1216" s="196"/>
      <c r="P1216" s="571"/>
    </row>
    <row r="1217" spans="1:16">
      <c r="A1217" s="845"/>
      <c r="B1217" s="1342"/>
      <c r="C1217" s="1326"/>
      <c r="D1217" s="114">
        <v>2019</v>
      </c>
      <c r="E1217" s="115">
        <f t="shared" ref="E1217:J1217" si="417">E1241+E1243</f>
        <v>0.11700000000000001</v>
      </c>
      <c r="F1217" s="115">
        <f t="shared" si="417"/>
        <v>0.11700000000000001</v>
      </c>
      <c r="G1217" s="115">
        <f t="shared" si="417"/>
        <v>0</v>
      </c>
      <c r="H1217" s="115">
        <f t="shared" si="417"/>
        <v>0</v>
      </c>
      <c r="I1217" s="115">
        <f t="shared" si="417"/>
        <v>0</v>
      </c>
      <c r="J1217" s="115">
        <f t="shared" si="417"/>
        <v>0</v>
      </c>
      <c r="K1217" s="148">
        <v>0</v>
      </c>
      <c r="L1217" s="497">
        <f t="shared" si="413"/>
        <v>0.11700000000000001</v>
      </c>
      <c r="M1217" s="216"/>
      <c r="N1217" s="349"/>
      <c r="O1217" s="196"/>
      <c r="P1217" s="571"/>
    </row>
    <row r="1218" spans="1:16">
      <c r="A1218" s="845"/>
      <c r="B1218" s="1342"/>
      <c r="C1218" s="1326"/>
      <c r="D1218" s="114">
        <v>2020</v>
      </c>
      <c r="E1218" s="115">
        <f t="shared" ref="E1218:E1228" si="418">F1218+G1218+H1218+I1218+J1218</f>
        <v>0</v>
      </c>
      <c r="F1218" s="115">
        <f t="shared" ref="F1218:F1228" si="419">F1230</f>
        <v>0</v>
      </c>
      <c r="G1218" s="115">
        <f>G1230+G1257</f>
        <v>0</v>
      </c>
      <c r="H1218" s="115">
        <f>H1230+H1257</f>
        <v>0</v>
      </c>
      <c r="I1218" s="115">
        <f>I1230+I1257</f>
        <v>0</v>
      </c>
      <c r="J1218" s="115">
        <f>J1230+J1257</f>
        <v>0</v>
      </c>
      <c r="K1218" s="148">
        <v>0</v>
      </c>
      <c r="L1218" s="497">
        <f t="shared" si="413"/>
        <v>0</v>
      </c>
      <c r="M1218" s="216"/>
      <c r="N1218" s="349"/>
      <c r="O1218" s="196"/>
      <c r="P1218" s="571"/>
    </row>
    <row r="1219" spans="1:16">
      <c r="A1219" s="845"/>
      <c r="B1219" s="1342"/>
      <c r="C1219" s="1326"/>
      <c r="D1219" s="114">
        <v>2021</v>
      </c>
      <c r="E1219" s="115">
        <f t="shared" si="418"/>
        <v>9.2100000000000001E-2</v>
      </c>
      <c r="F1219" s="115">
        <f t="shared" si="419"/>
        <v>9.2100000000000001E-2</v>
      </c>
      <c r="G1219" s="115">
        <f>G1230</f>
        <v>0</v>
      </c>
      <c r="H1219" s="115">
        <f>H1230</f>
        <v>0</v>
      </c>
      <c r="I1219" s="115">
        <f>I1230</f>
        <v>0</v>
      </c>
      <c r="J1219" s="115">
        <f>J1230</f>
        <v>0</v>
      </c>
      <c r="K1219" s="148">
        <v>0</v>
      </c>
      <c r="L1219" s="497">
        <f t="shared" si="413"/>
        <v>9.2100000000000001E-2</v>
      </c>
      <c r="M1219" s="216"/>
      <c r="N1219" s="349"/>
      <c r="O1219" s="196"/>
      <c r="P1219" s="571"/>
    </row>
    <row r="1220" spans="1:16">
      <c r="A1220" s="845"/>
      <c r="B1220" s="1342"/>
      <c r="C1220" s="1326"/>
      <c r="D1220" s="114">
        <v>2022</v>
      </c>
      <c r="E1220" s="115">
        <f t="shared" si="418"/>
        <v>0</v>
      </c>
      <c r="F1220" s="115">
        <f t="shared" si="419"/>
        <v>0</v>
      </c>
      <c r="G1220" s="115">
        <f t="shared" ref="G1220:J1228" si="420">G1232</f>
        <v>0</v>
      </c>
      <c r="H1220" s="115">
        <f t="shared" si="420"/>
        <v>0</v>
      </c>
      <c r="I1220" s="115">
        <f t="shared" si="420"/>
        <v>0</v>
      </c>
      <c r="J1220" s="115">
        <f t="shared" si="420"/>
        <v>0</v>
      </c>
      <c r="K1220" s="148">
        <v>0</v>
      </c>
      <c r="L1220" s="497">
        <f t="shared" si="413"/>
        <v>0</v>
      </c>
      <c r="M1220" s="216"/>
      <c r="N1220" s="349"/>
      <c r="O1220" s="196"/>
      <c r="P1220" s="571"/>
    </row>
    <row r="1221" spans="1:16">
      <c r="A1221" s="845"/>
      <c r="B1221" s="1342"/>
      <c r="C1221" s="1326"/>
      <c r="D1221" s="114">
        <v>2023</v>
      </c>
      <c r="E1221" s="115">
        <f t="shared" si="418"/>
        <v>0</v>
      </c>
      <c r="F1221" s="115">
        <f t="shared" si="419"/>
        <v>0</v>
      </c>
      <c r="G1221" s="115">
        <f t="shared" si="420"/>
        <v>0</v>
      </c>
      <c r="H1221" s="115">
        <f t="shared" si="420"/>
        <v>0</v>
      </c>
      <c r="I1221" s="115">
        <f t="shared" si="420"/>
        <v>0</v>
      </c>
      <c r="J1221" s="115">
        <f t="shared" si="420"/>
        <v>0</v>
      </c>
      <c r="K1221" s="148">
        <v>0</v>
      </c>
      <c r="L1221" s="497">
        <f t="shared" si="413"/>
        <v>0</v>
      </c>
      <c r="M1221" s="216"/>
      <c r="N1221" s="349"/>
      <c r="O1221" s="196"/>
      <c r="P1221" s="571"/>
    </row>
    <row r="1222" spans="1:16">
      <c r="A1222" s="845"/>
      <c r="B1222" s="1342"/>
      <c r="C1222" s="1326"/>
      <c r="D1222" s="114">
        <v>2024</v>
      </c>
      <c r="E1222" s="115">
        <f t="shared" si="418"/>
        <v>0</v>
      </c>
      <c r="F1222" s="115">
        <f t="shared" si="419"/>
        <v>0</v>
      </c>
      <c r="G1222" s="115">
        <f t="shared" si="420"/>
        <v>0</v>
      </c>
      <c r="H1222" s="115">
        <f t="shared" si="420"/>
        <v>0</v>
      </c>
      <c r="I1222" s="115">
        <f t="shared" si="420"/>
        <v>0</v>
      </c>
      <c r="J1222" s="115">
        <f t="shared" si="420"/>
        <v>0</v>
      </c>
      <c r="K1222" s="148">
        <v>0</v>
      </c>
      <c r="L1222" s="497">
        <f t="shared" si="413"/>
        <v>0</v>
      </c>
      <c r="M1222" s="216"/>
      <c r="N1222" s="349"/>
      <c r="O1222" s="196"/>
      <c r="P1222" s="571"/>
    </row>
    <row r="1223" spans="1:16">
      <c r="A1223" s="845"/>
      <c r="B1223" s="1342"/>
      <c r="C1223" s="1326"/>
      <c r="D1223" s="114">
        <v>2025</v>
      </c>
      <c r="E1223" s="115">
        <f t="shared" si="418"/>
        <v>0</v>
      </c>
      <c r="F1223" s="115">
        <f t="shared" si="419"/>
        <v>0</v>
      </c>
      <c r="G1223" s="115">
        <f t="shared" si="420"/>
        <v>0</v>
      </c>
      <c r="H1223" s="115">
        <f t="shared" si="420"/>
        <v>0</v>
      </c>
      <c r="I1223" s="115">
        <f t="shared" si="420"/>
        <v>0</v>
      </c>
      <c r="J1223" s="115">
        <f t="shared" si="420"/>
        <v>0</v>
      </c>
      <c r="K1223" s="148">
        <v>0</v>
      </c>
      <c r="L1223" s="497">
        <f t="shared" si="413"/>
        <v>0</v>
      </c>
      <c r="M1223" s="216"/>
      <c r="N1223" s="349"/>
      <c r="O1223" s="196"/>
      <c r="P1223" s="571"/>
    </row>
    <row r="1224" spans="1:16">
      <c r="A1224" s="845"/>
      <c r="B1224" s="1342"/>
      <c r="C1224" s="1326"/>
      <c r="D1224" s="114">
        <v>2026</v>
      </c>
      <c r="E1224" s="115">
        <f t="shared" si="418"/>
        <v>0</v>
      </c>
      <c r="F1224" s="115">
        <f t="shared" si="419"/>
        <v>0</v>
      </c>
      <c r="G1224" s="115">
        <f t="shared" si="420"/>
        <v>0</v>
      </c>
      <c r="H1224" s="115">
        <f t="shared" si="420"/>
        <v>0</v>
      </c>
      <c r="I1224" s="115">
        <f t="shared" si="420"/>
        <v>0</v>
      </c>
      <c r="J1224" s="115">
        <f t="shared" si="420"/>
        <v>0</v>
      </c>
      <c r="K1224" s="148">
        <v>0</v>
      </c>
      <c r="L1224" s="497">
        <f t="shared" si="413"/>
        <v>0</v>
      </c>
      <c r="M1224" s="216"/>
      <c r="N1224" s="349"/>
      <c r="O1224" s="196"/>
      <c r="P1224" s="571"/>
    </row>
    <row r="1225" spans="1:16">
      <c r="A1225" s="845"/>
      <c r="B1225" s="1342"/>
      <c r="C1225" s="1326"/>
      <c r="D1225" s="114">
        <v>2027</v>
      </c>
      <c r="E1225" s="115">
        <f t="shared" si="418"/>
        <v>0</v>
      </c>
      <c r="F1225" s="115">
        <f t="shared" si="419"/>
        <v>0</v>
      </c>
      <c r="G1225" s="115">
        <f t="shared" si="420"/>
        <v>0</v>
      </c>
      <c r="H1225" s="115">
        <f t="shared" si="420"/>
        <v>0</v>
      </c>
      <c r="I1225" s="115">
        <f t="shared" si="420"/>
        <v>0</v>
      </c>
      <c r="J1225" s="115">
        <f t="shared" si="420"/>
        <v>0</v>
      </c>
      <c r="K1225" s="148">
        <v>0</v>
      </c>
      <c r="L1225" s="497">
        <f t="shared" si="413"/>
        <v>0</v>
      </c>
      <c r="M1225" s="216"/>
      <c r="N1225" s="349"/>
      <c r="O1225" s="196"/>
      <c r="P1225" s="571"/>
    </row>
    <row r="1226" spans="1:16">
      <c r="A1226" s="845"/>
      <c r="B1226" s="1342"/>
      <c r="C1226" s="1326"/>
      <c r="D1226" s="114">
        <v>2028</v>
      </c>
      <c r="E1226" s="115">
        <f t="shared" si="418"/>
        <v>0</v>
      </c>
      <c r="F1226" s="115">
        <f t="shared" si="419"/>
        <v>0</v>
      </c>
      <c r="G1226" s="115">
        <f t="shared" si="420"/>
        <v>0</v>
      </c>
      <c r="H1226" s="115">
        <f t="shared" si="420"/>
        <v>0</v>
      </c>
      <c r="I1226" s="115">
        <f t="shared" si="420"/>
        <v>0</v>
      </c>
      <c r="J1226" s="115">
        <f t="shared" si="420"/>
        <v>0</v>
      </c>
      <c r="K1226" s="148">
        <v>0</v>
      </c>
      <c r="L1226" s="497">
        <f t="shared" si="413"/>
        <v>0</v>
      </c>
      <c r="M1226" s="216"/>
      <c r="N1226" s="349"/>
      <c r="O1226" s="196"/>
      <c r="P1226" s="571"/>
    </row>
    <row r="1227" spans="1:16">
      <c r="A1227" s="845"/>
      <c r="B1227" s="1342"/>
      <c r="C1227" s="1326"/>
      <c r="D1227" s="114">
        <v>2029</v>
      </c>
      <c r="E1227" s="115">
        <f t="shared" si="418"/>
        <v>0</v>
      </c>
      <c r="F1227" s="115">
        <f t="shared" si="419"/>
        <v>0</v>
      </c>
      <c r="G1227" s="115">
        <f t="shared" si="420"/>
        <v>0</v>
      </c>
      <c r="H1227" s="115">
        <f t="shared" si="420"/>
        <v>0</v>
      </c>
      <c r="I1227" s="115">
        <f t="shared" si="420"/>
        <v>0</v>
      </c>
      <c r="J1227" s="115">
        <f t="shared" si="420"/>
        <v>0</v>
      </c>
      <c r="K1227" s="148">
        <v>0</v>
      </c>
      <c r="L1227" s="497">
        <f t="shared" si="413"/>
        <v>0</v>
      </c>
      <c r="M1227" s="216"/>
      <c r="N1227" s="349"/>
      <c r="O1227" s="196"/>
      <c r="P1227" s="571"/>
    </row>
    <row r="1228" spans="1:16">
      <c r="A1228" s="846"/>
      <c r="B1228" s="1343"/>
      <c r="C1228" s="1327"/>
      <c r="D1228" s="114">
        <v>2030</v>
      </c>
      <c r="E1228" s="115">
        <f t="shared" si="418"/>
        <v>0</v>
      </c>
      <c r="F1228" s="115">
        <f t="shared" si="419"/>
        <v>0</v>
      </c>
      <c r="G1228" s="115">
        <f t="shared" si="420"/>
        <v>0</v>
      </c>
      <c r="H1228" s="115">
        <f t="shared" si="420"/>
        <v>0</v>
      </c>
      <c r="I1228" s="115">
        <f t="shared" si="420"/>
        <v>0</v>
      </c>
      <c r="J1228" s="115">
        <f t="shared" si="420"/>
        <v>0</v>
      </c>
      <c r="K1228" s="148">
        <v>0</v>
      </c>
      <c r="L1228" s="497">
        <f t="shared" si="413"/>
        <v>0</v>
      </c>
      <c r="M1228" s="216"/>
      <c r="N1228" s="349"/>
      <c r="O1228" s="196"/>
      <c r="P1228" s="571"/>
    </row>
    <row r="1229" spans="1:16">
      <c r="A1229" s="1090" t="s">
        <v>1386</v>
      </c>
      <c r="B1229" s="1080" t="s">
        <v>1077</v>
      </c>
      <c r="C1229" s="701"/>
      <c r="D1229" s="114" t="s">
        <v>16</v>
      </c>
      <c r="E1229" s="115">
        <f t="shared" ref="E1229:J1229" si="421">SUM(E1230:E1240)</f>
        <v>9.2100000000000001E-2</v>
      </c>
      <c r="F1229" s="115">
        <f t="shared" si="421"/>
        <v>9.2100000000000001E-2</v>
      </c>
      <c r="G1229" s="115">
        <f t="shared" si="421"/>
        <v>0</v>
      </c>
      <c r="H1229" s="115">
        <f t="shared" si="421"/>
        <v>0</v>
      </c>
      <c r="I1229" s="115">
        <f t="shared" si="421"/>
        <v>0</v>
      </c>
      <c r="J1229" s="115">
        <f t="shared" si="421"/>
        <v>0</v>
      </c>
      <c r="K1229" s="148">
        <v>0</v>
      </c>
      <c r="L1229" s="497">
        <f t="shared" si="413"/>
        <v>9.2100000000000001E-2</v>
      </c>
      <c r="M1229" s="216"/>
      <c r="N1229" s="349"/>
      <c r="O1229" s="196"/>
      <c r="P1229" s="1224" t="s">
        <v>527</v>
      </c>
    </row>
    <row r="1230" spans="1:16">
      <c r="A1230" s="1091"/>
      <c r="B1230" s="1261"/>
      <c r="C1230" s="1332" t="s">
        <v>1387</v>
      </c>
      <c r="D1230" s="114">
        <v>2020</v>
      </c>
      <c r="E1230" s="115">
        <f t="shared" ref="E1230:E1240" si="422">F1230+G1230+H1230+I1230+J1230</f>
        <v>0</v>
      </c>
      <c r="F1230" s="115">
        <v>0</v>
      </c>
      <c r="G1230" s="115">
        <v>0</v>
      </c>
      <c r="H1230" s="115">
        <v>0</v>
      </c>
      <c r="I1230" s="115">
        <v>0</v>
      </c>
      <c r="J1230" s="115">
        <v>0</v>
      </c>
      <c r="K1230" s="148">
        <v>0</v>
      </c>
      <c r="L1230" s="497">
        <f t="shared" si="413"/>
        <v>0</v>
      </c>
      <c r="M1230" s="216"/>
      <c r="N1230" s="349"/>
      <c r="O1230" s="196"/>
      <c r="P1230" s="1225"/>
    </row>
    <row r="1231" spans="1:16" ht="12.75" customHeight="1">
      <c r="A1231" s="1091"/>
      <c r="B1231" s="1261"/>
      <c r="C1231" s="1332"/>
      <c r="D1231" s="114">
        <v>2021</v>
      </c>
      <c r="E1231" s="115">
        <f t="shared" si="422"/>
        <v>9.2100000000000001E-2</v>
      </c>
      <c r="F1231" s="115">
        <v>9.2100000000000001E-2</v>
      </c>
      <c r="G1231" s="115">
        <v>0</v>
      </c>
      <c r="H1231" s="115">
        <v>0</v>
      </c>
      <c r="I1231" s="115">
        <v>0</v>
      </c>
      <c r="J1231" s="115">
        <v>0</v>
      </c>
      <c r="K1231" s="148">
        <v>0</v>
      </c>
      <c r="L1231" s="497">
        <f t="shared" si="413"/>
        <v>9.2100000000000001E-2</v>
      </c>
      <c r="M1231" s="216"/>
      <c r="N1231" s="349"/>
      <c r="O1231" s="196"/>
      <c r="P1231" s="1225"/>
    </row>
    <row r="1232" spans="1:16">
      <c r="A1232" s="1091"/>
      <c r="B1232" s="1261"/>
      <c r="C1232" s="1332"/>
      <c r="D1232" s="114">
        <v>2022</v>
      </c>
      <c r="E1232" s="115">
        <f t="shared" si="422"/>
        <v>0</v>
      </c>
      <c r="F1232" s="115">
        <v>0</v>
      </c>
      <c r="G1232" s="115">
        <v>0</v>
      </c>
      <c r="H1232" s="115">
        <v>0</v>
      </c>
      <c r="I1232" s="115">
        <v>0</v>
      </c>
      <c r="J1232" s="115">
        <v>0</v>
      </c>
      <c r="K1232" s="148">
        <v>0</v>
      </c>
      <c r="L1232" s="497">
        <f t="shared" si="413"/>
        <v>0</v>
      </c>
      <c r="M1232" s="216"/>
      <c r="N1232" s="349"/>
      <c r="O1232" s="196"/>
      <c r="P1232" s="1225"/>
    </row>
    <row r="1233" spans="1:16">
      <c r="A1233" s="1091"/>
      <c r="B1233" s="1261"/>
      <c r="C1233" s="1332"/>
      <c r="D1233" s="114">
        <v>2023</v>
      </c>
      <c r="E1233" s="115">
        <f t="shared" si="422"/>
        <v>0</v>
      </c>
      <c r="F1233" s="115">
        <v>0</v>
      </c>
      <c r="G1233" s="115">
        <v>0</v>
      </c>
      <c r="H1233" s="115">
        <v>0</v>
      </c>
      <c r="I1233" s="115">
        <v>0</v>
      </c>
      <c r="J1233" s="115">
        <v>0</v>
      </c>
      <c r="K1233" s="148">
        <v>0</v>
      </c>
      <c r="L1233" s="497">
        <f t="shared" si="413"/>
        <v>0</v>
      </c>
      <c r="M1233" s="216"/>
      <c r="N1233" s="349"/>
      <c r="O1233" s="196"/>
      <c r="P1233" s="1225"/>
    </row>
    <row r="1234" spans="1:16">
      <c r="A1234" s="1091"/>
      <c r="B1234" s="1261"/>
      <c r="C1234" s="1332"/>
      <c r="D1234" s="114">
        <v>2024</v>
      </c>
      <c r="E1234" s="115">
        <f t="shared" si="422"/>
        <v>0</v>
      </c>
      <c r="F1234" s="115">
        <v>0</v>
      </c>
      <c r="G1234" s="115">
        <v>0</v>
      </c>
      <c r="H1234" s="115">
        <v>0</v>
      </c>
      <c r="I1234" s="115">
        <v>0</v>
      </c>
      <c r="J1234" s="115">
        <v>0</v>
      </c>
      <c r="K1234" s="148">
        <v>0</v>
      </c>
      <c r="L1234" s="497">
        <f t="shared" si="413"/>
        <v>0</v>
      </c>
      <c r="M1234" s="216"/>
      <c r="N1234" s="349"/>
      <c r="O1234" s="196"/>
      <c r="P1234" s="1225"/>
    </row>
    <row r="1235" spans="1:16">
      <c r="A1235" s="1091"/>
      <c r="B1235" s="1261"/>
      <c r="C1235" s="1295"/>
      <c r="D1235" s="114">
        <v>2025</v>
      </c>
      <c r="E1235" s="115">
        <f t="shared" si="422"/>
        <v>0</v>
      </c>
      <c r="F1235" s="115">
        <v>0</v>
      </c>
      <c r="G1235" s="115">
        <v>0</v>
      </c>
      <c r="H1235" s="115">
        <v>0</v>
      </c>
      <c r="I1235" s="115">
        <v>0</v>
      </c>
      <c r="J1235" s="115">
        <v>0</v>
      </c>
      <c r="K1235" s="148">
        <v>0</v>
      </c>
      <c r="L1235" s="497">
        <f t="shared" si="413"/>
        <v>0</v>
      </c>
      <c r="M1235" s="216"/>
      <c r="N1235" s="349"/>
      <c r="O1235" s="196"/>
      <c r="P1235" s="1225"/>
    </row>
    <row r="1236" spans="1:16">
      <c r="A1236" s="1091"/>
      <c r="B1236" s="1261"/>
      <c r="C1236" s="1245" t="s">
        <v>1078</v>
      </c>
      <c r="D1236" s="114">
        <v>2026</v>
      </c>
      <c r="E1236" s="115">
        <f t="shared" si="422"/>
        <v>0</v>
      </c>
      <c r="F1236" s="115">
        <v>0</v>
      </c>
      <c r="G1236" s="115">
        <v>0</v>
      </c>
      <c r="H1236" s="115">
        <v>0</v>
      </c>
      <c r="I1236" s="115">
        <v>0</v>
      </c>
      <c r="J1236" s="115">
        <v>0</v>
      </c>
      <c r="K1236" s="148">
        <v>0</v>
      </c>
      <c r="L1236" s="497">
        <f t="shared" si="413"/>
        <v>0</v>
      </c>
      <c r="M1236" s="216"/>
      <c r="N1236" s="349"/>
      <c r="O1236" s="196"/>
      <c r="P1236" s="1225"/>
    </row>
    <row r="1237" spans="1:16">
      <c r="A1237" s="1091"/>
      <c r="B1237" s="1261"/>
      <c r="C1237" s="1245"/>
      <c r="D1237" s="114">
        <v>2027</v>
      </c>
      <c r="E1237" s="115">
        <f t="shared" si="422"/>
        <v>0</v>
      </c>
      <c r="F1237" s="115">
        <v>0</v>
      </c>
      <c r="G1237" s="115">
        <v>0</v>
      </c>
      <c r="H1237" s="115">
        <v>0</v>
      </c>
      <c r="I1237" s="115">
        <v>0</v>
      </c>
      <c r="J1237" s="115">
        <v>0</v>
      </c>
      <c r="K1237" s="148">
        <v>0</v>
      </c>
      <c r="L1237" s="497">
        <f t="shared" si="413"/>
        <v>0</v>
      </c>
      <c r="M1237" s="216"/>
      <c r="N1237" s="349"/>
      <c r="O1237" s="196"/>
      <c r="P1237" s="1225"/>
    </row>
    <row r="1238" spans="1:16">
      <c r="A1238" s="1091"/>
      <c r="B1238" s="1261"/>
      <c r="C1238" s="1245"/>
      <c r="D1238" s="114">
        <v>2028</v>
      </c>
      <c r="E1238" s="115">
        <f t="shared" si="422"/>
        <v>0</v>
      </c>
      <c r="F1238" s="115">
        <v>0</v>
      </c>
      <c r="G1238" s="115">
        <v>0</v>
      </c>
      <c r="H1238" s="115">
        <v>0</v>
      </c>
      <c r="I1238" s="115">
        <v>0</v>
      </c>
      <c r="J1238" s="115">
        <v>0</v>
      </c>
      <c r="K1238" s="148">
        <v>0</v>
      </c>
      <c r="L1238" s="497">
        <f t="shared" si="413"/>
        <v>0</v>
      </c>
      <c r="M1238" s="216"/>
      <c r="N1238" s="349"/>
      <c r="O1238" s="196"/>
      <c r="P1238" s="1225"/>
    </row>
    <row r="1239" spans="1:16">
      <c r="A1239" s="1091"/>
      <c r="B1239" s="1261"/>
      <c r="C1239" s="1245"/>
      <c r="D1239" s="114">
        <v>2029</v>
      </c>
      <c r="E1239" s="115">
        <f t="shared" si="422"/>
        <v>0</v>
      </c>
      <c r="F1239" s="115">
        <v>0</v>
      </c>
      <c r="G1239" s="115">
        <v>0</v>
      </c>
      <c r="H1239" s="115">
        <v>0</v>
      </c>
      <c r="I1239" s="115">
        <v>0</v>
      </c>
      <c r="J1239" s="115">
        <v>0</v>
      </c>
      <c r="K1239" s="148">
        <v>0</v>
      </c>
      <c r="L1239" s="497">
        <f t="shared" ref="L1239:L1274" si="423">F1239+G1239+H1239+I1239+J1239</f>
        <v>0</v>
      </c>
      <c r="M1239" s="216"/>
      <c r="N1239" s="349"/>
      <c r="O1239" s="196"/>
      <c r="P1239" s="1225"/>
    </row>
    <row r="1240" spans="1:16">
      <c r="A1240" s="1092"/>
      <c r="B1240" s="1288"/>
      <c r="C1240" s="1245"/>
      <c r="D1240" s="114">
        <v>2030</v>
      </c>
      <c r="E1240" s="115">
        <f t="shared" si="422"/>
        <v>0</v>
      </c>
      <c r="F1240" s="115">
        <v>0</v>
      </c>
      <c r="G1240" s="115">
        <v>0</v>
      </c>
      <c r="H1240" s="115">
        <v>0</v>
      </c>
      <c r="I1240" s="115">
        <v>0</v>
      </c>
      <c r="J1240" s="115">
        <v>0</v>
      </c>
      <c r="K1240" s="148">
        <v>0</v>
      </c>
      <c r="L1240" s="497">
        <f t="shared" si="423"/>
        <v>0</v>
      </c>
      <c r="M1240" s="216"/>
      <c r="N1240" s="349"/>
      <c r="O1240" s="196"/>
      <c r="P1240" s="1226"/>
    </row>
    <row r="1241" spans="1:16" ht="63.75">
      <c r="A1241" s="707" t="s">
        <v>1388</v>
      </c>
      <c r="B1241" s="390" t="s">
        <v>1080</v>
      </c>
      <c r="C1241" s="672" t="s">
        <v>955</v>
      </c>
      <c r="D1241" s="114">
        <v>2019</v>
      </c>
      <c r="E1241" s="115">
        <v>0.11700000000000001</v>
      </c>
      <c r="F1241" s="115">
        <v>0.11700000000000001</v>
      </c>
      <c r="G1241" s="115">
        <v>0</v>
      </c>
      <c r="H1241" s="115">
        <v>0</v>
      </c>
      <c r="I1241" s="115">
        <v>0</v>
      </c>
      <c r="J1241" s="115">
        <v>0</v>
      </c>
      <c r="K1241" s="148">
        <v>0</v>
      </c>
      <c r="L1241" s="497">
        <f t="shared" si="423"/>
        <v>0.11700000000000001</v>
      </c>
      <c r="M1241" s="216"/>
      <c r="N1241" s="349"/>
      <c r="O1241" s="196"/>
      <c r="P1241" s="1245" t="s">
        <v>1081</v>
      </c>
    </row>
    <row r="1242" spans="1:16" ht="18" customHeight="1">
      <c r="A1242" s="1333" t="s">
        <v>1092</v>
      </c>
      <c r="B1242" s="1080" t="s">
        <v>1083</v>
      </c>
      <c r="C1242" s="706"/>
      <c r="D1242" s="114" t="s">
        <v>16</v>
      </c>
      <c r="E1242" s="115">
        <f t="shared" ref="E1242:J1242" si="424">E1243</f>
        <v>0</v>
      </c>
      <c r="F1242" s="115">
        <f t="shared" si="424"/>
        <v>0</v>
      </c>
      <c r="G1242" s="115">
        <f t="shared" si="424"/>
        <v>0</v>
      </c>
      <c r="H1242" s="115">
        <f t="shared" si="424"/>
        <v>0</v>
      </c>
      <c r="I1242" s="115">
        <f t="shared" si="424"/>
        <v>0</v>
      </c>
      <c r="J1242" s="115">
        <f t="shared" si="424"/>
        <v>0</v>
      </c>
      <c r="K1242" s="148">
        <v>0</v>
      </c>
      <c r="L1242" s="497">
        <f t="shared" si="423"/>
        <v>0</v>
      </c>
      <c r="M1242" s="216"/>
      <c r="N1242" s="349"/>
      <c r="O1242" s="196"/>
      <c r="P1242" s="1245"/>
    </row>
    <row r="1243" spans="1:16" ht="27.75" customHeight="1">
      <c r="A1243" s="1333"/>
      <c r="B1243" s="1288"/>
      <c r="C1243" s="672" t="s">
        <v>955</v>
      </c>
      <c r="D1243" s="114">
        <v>2019</v>
      </c>
      <c r="E1243" s="115">
        <f>F1243+G1243+H1243+I1243+J1243</f>
        <v>0</v>
      </c>
      <c r="F1243" s="115">
        <v>0</v>
      </c>
      <c r="G1243" s="115">
        <v>0</v>
      </c>
      <c r="H1243" s="115">
        <v>0</v>
      </c>
      <c r="I1243" s="115">
        <v>0</v>
      </c>
      <c r="J1243" s="115">
        <v>0</v>
      </c>
      <c r="K1243" s="148">
        <v>0</v>
      </c>
      <c r="L1243" s="497">
        <f t="shared" si="423"/>
        <v>0</v>
      </c>
      <c r="M1243" s="216"/>
      <c r="N1243" s="349"/>
      <c r="O1243" s="196"/>
      <c r="P1243" s="1245"/>
    </row>
    <row r="1244" spans="1:16" ht="23.25" customHeight="1">
      <c r="A1244" s="1090" t="s">
        <v>1389</v>
      </c>
      <c r="B1244" s="929" t="s">
        <v>1085</v>
      </c>
      <c r="C1244" s="1224" t="s">
        <v>1390</v>
      </c>
      <c r="D1244" s="114" t="s">
        <v>16</v>
      </c>
      <c r="E1244" s="115">
        <f t="shared" ref="E1244:J1244" si="425">E1245+E1246+E1247+E1248+E1249+E1250+E1251+E1252+E1253+E1254+E1255</f>
        <v>43.454575363553282</v>
      </c>
      <c r="F1244" s="115">
        <f t="shared" si="425"/>
        <v>43.454575363553282</v>
      </c>
      <c r="G1244" s="115">
        <f t="shared" si="425"/>
        <v>0</v>
      </c>
      <c r="H1244" s="115">
        <f t="shared" si="425"/>
        <v>0</v>
      </c>
      <c r="I1244" s="115">
        <f t="shared" si="425"/>
        <v>0</v>
      </c>
      <c r="J1244" s="115">
        <f t="shared" si="425"/>
        <v>0</v>
      </c>
      <c r="K1244" s="148">
        <v>0</v>
      </c>
      <c r="L1244" s="497">
        <f t="shared" si="423"/>
        <v>43.454575363553282</v>
      </c>
      <c r="M1244" s="216"/>
      <c r="N1244" s="349"/>
      <c r="O1244" s="196"/>
      <c r="P1244" s="1224" t="s">
        <v>1081</v>
      </c>
    </row>
    <row r="1245" spans="1:16">
      <c r="A1245" s="1091"/>
      <c r="B1245" s="953"/>
      <c r="C1245" s="1225"/>
      <c r="D1245" s="114">
        <v>2020</v>
      </c>
      <c r="E1245" s="115">
        <f t="shared" ref="E1245:J1245" si="426">E1257+E1259+E1271</f>
        <v>7.4136959999999998</v>
      </c>
      <c r="F1245" s="115">
        <f t="shared" si="426"/>
        <v>7.4136959999999998</v>
      </c>
      <c r="G1245" s="115">
        <f t="shared" si="426"/>
        <v>0</v>
      </c>
      <c r="H1245" s="115">
        <f t="shared" si="426"/>
        <v>0</v>
      </c>
      <c r="I1245" s="115">
        <f t="shared" si="426"/>
        <v>0</v>
      </c>
      <c r="J1245" s="115">
        <f t="shared" si="426"/>
        <v>0</v>
      </c>
      <c r="K1245" s="148">
        <v>0</v>
      </c>
      <c r="L1245" s="497">
        <f t="shared" si="423"/>
        <v>7.4136959999999998</v>
      </c>
      <c r="M1245" s="216"/>
      <c r="N1245" s="349"/>
      <c r="O1245" s="196"/>
      <c r="P1245" s="1225"/>
    </row>
    <row r="1246" spans="1:16">
      <c r="A1246" s="1091"/>
      <c r="B1246" s="953"/>
      <c r="C1246" s="1225"/>
      <c r="D1246" s="114">
        <v>2021</v>
      </c>
      <c r="E1246" s="115">
        <f t="shared" ref="E1246:E1255" si="427">F1246+G1246+H1246+I1246+J1246</f>
        <v>3.2953000000000001</v>
      </c>
      <c r="F1246" s="115">
        <f>F1260+F1272</f>
        <v>3.2953000000000001</v>
      </c>
      <c r="G1246" s="115">
        <f t="shared" ref="G1246:J1255" si="428">G1258+G1260</f>
        <v>0</v>
      </c>
      <c r="H1246" s="115">
        <f t="shared" si="428"/>
        <v>0</v>
      </c>
      <c r="I1246" s="115">
        <f t="shared" si="428"/>
        <v>0</v>
      </c>
      <c r="J1246" s="115">
        <f t="shared" si="428"/>
        <v>0</v>
      </c>
      <c r="K1246" s="148">
        <v>0</v>
      </c>
      <c r="L1246" s="497">
        <f t="shared" si="423"/>
        <v>3.2953000000000001</v>
      </c>
      <c r="M1246" s="216"/>
      <c r="N1246" s="349"/>
      <c r="O1246" s="196"/>
      <c r="P1246" s="1225"/>
    </row>
    <row r="1247" spans="1:16">
      <c r="A1247" s="1091"/>
      <c r="B1247" s="953"/>
      <c r="C1247" s="1225"/>
      <c r="D1247" s="114">
        <v>2022</v>
      </c>
      <c r="E1247" s="115">
        <f t="shared" si="427"/>
        <v>3.4245999999999999</v>
      </c>
      <c r="F1247" s="115">
        <f>F1261+F1273</f>
        <v>3.4245999999999999</v>
      </c>
      <c r="G1247" s="115">
        <f t="shared" si="428"/>
        <v>0</v>
      </c>
      <c r="H1247" s="115">
        <f t="shared" si="428"/>
        <v>0</v>
      </c>
      <c r="I1247" s="115">
        <f t="shared" si="428"/>
        <v>0</v>
      </c>
      <c r="J1247" s="115">
        <f t="shared" si="428"/>
        <v>0</v>
      </c>
      <c r="K1247" s="148">
        <v>0</v>
      </c>
      <c r="L1247" s="497">
        <f t="shared" si="423"/>
        <v>3.4245999999999999</v>
      </c>
      <c r="M1247" s="216"/>
      <c r="N1247" s="349"/>
      <c r="O1247" s="196"/>
      <c r="P1247" s="1225"/>
    </row>
    <row r="1248" spans="1:16">
      <c r="A1248" s="1091"/>
      <c r="B1248" s="953"/>
      <c r="C1248" s="1225"/>
      <c r="D1248" s="114">
        <v>2023</v>
      </c>
      <c r="E1248" s="115">
        <f t="shared" si="427"/>
        <v>3.5589</v>
      </c>
      <c r="F1248" s="115">
        <f>F1262+F1274</f>
        <v>3.5589</v>
      </c>
      <c r="G1248" s="115">
        <f t="shared" si="428"/>
        <v>0</v>
      </c>
      <c r="H1248" s="115">
        <f t="shared" si="428"/>
        <v>0</v>
      </c>
      <c r="I1248" s="115">
        <f t="shared" si="428"/>
        <v>0</v>
      </c>
      <c r="J1248" s="115">
        <f t="shared" si="428"/>
        <v>0</v>
      </c>
      <c r="K1248" s="148">
        <v>0</v>
      </c>
      <c r="L1248" s="497">
        <f t="shared" si="423"/>
        <v>3.5589</v>
      </c>
      <c r="M1248" s="216"/>
      <c r="N1248" s="349"/>
      <c r="O1248" s="196"/>
      <c r="P1248" s="1225"/>
    </row>
    <row r="1249" spans="1:141">
      <c r="A1249" s="1091"/>
      <c r="B1249" s="953"/>
      <c r="C1249" s="1225"/>
      <c r="D1249" s="114">
        <v>2024</v>
      </c>
      <c r="E1249" s="115">
        <f t="shared" si="427"/>
        <v>3.2616999999999998</v>
      </c>
      <c r="F1249" s="115">
        <f t="shared" ref="F1249:F1255" si="429">F1263</f>
        <v>3.2616999999999998</v>
      </c>
      <c r="G1249" s="115">
        <f t="shared" si="428"/>
        <v>0</v>
      </c>
      <c r="H1249" s="115">
        <f t="shared" si="428"/>
        <v>0</v>
      </c>
      <c r="I1249" s="115">
        <f t="shared" si="428"/>
        <v>0</v>
      </c>
      <c r="J1249" s="115">
        <f t="shared" si="428"/>
        <v>0</v>
      </c>
      <c r="K1249" s="148">
        <v>0</v>
      </c>
      <c r="L1249" s="497">
        <f t="shared" si="423"/>
        <v>3.2616999999999998</v>
      </c>
      <c r="M1249" s="216"/>
      <c r="N1249" s="349"/>
      <c r="O1249" s="196"/>
      <c r="P1249" s="1225"/>
    </row>
    <row r="1250" spans="1:141">
      <c r="A1250" s="1091"/>
      <c r="B1250" s="953"/>
      <c r="C1250" s="1225"/>
      <c r="D1250" s="114">
        <v>2025</v>
      </c>
      <c r="E1250" s="115">
        <f t="shared" si="427"/>
        <v>3.3921999999999999</v>
      </c>
      <c r="F1250" s="115">
        <f t="shared" si="429"/>
        <v>3.3921999999999999</v>
      </c>
      <c r="G1250" s="115">
        <f t="shared" si="428"/>
        <v>0</v>
      </c>
      <c r="H1250" s="115">
        <f t="shared" si="428"/>
        <v>0</v>
      </c>
      <c r="I1250" s="115">
        <f t="shared" si="428"/>
        <v>0</v>
      </c>
      <c r="J1250" s="115">
        <f t="shared" si="428"/>
        <v>0</v>
      </c>
      <c r="K1250" s="148">
        <v>0</v>
      </c>
      <c r="L1250" s="497">
        <f t="shared" si="423"/>
        <v>3.3921999999999999</v>
      </c>
      <c r="M1250" s="216"/>
      <c r="N1250" s="349"/>
      <c r="O1250" s="196"/>
      <c r="P1250" s="1225"/>
    </row>
    <row r="1251" spans="1:141">
      <c r="A1251" s="1091"/>
      <c r="B1251" s="953"/>
      <c r="C1251" s="1245" t="s">
        <v>1091</v>
      </c>
      <c r="D1251" s="114">
        <v>2026</v>
      </c>
      <c r="E1251" s="115">
        <f t="shared" si="427"/>
        <v>3.5278879999999999</v>
      </c>
      <c r="F1251" s="115">
        <f t="shared" si="429"/>
        <v>3.5278879999999999</v>
      </c>
      <c r="G1251" s="115">
        <f t="shared" si="428"/>
        <v>0</v>
      </c>
      <c r="H1251" s="115">
        <f t="shared" si="428"/>
        <v>0</v>
      </c>
      <c r="I1251" s="115">
        <f t="shared" si="428"/>
        <v>0</v>
      </c>
      <c r="J1251" s="115">
        <f t="shared" si="428"/>
        <v>0</v>
      </c>
      <c r="K1251" s="148">
        <v>0</v>
      </c>
      <c r="L1251" s="497">
        <f t="shared" si="423"/>
        <v>3.5278879999999999</v>
      </c>
      <c r="M1251" s="216"/>
      <c r="N1251" s="349"/>
      <c r="O1251" s="196"/>
      <c r="P1251" s="1225"/>
    </row>
    <row r="1252" spans="1:141">
      <c r="A1252" s="1091"/>
      <c r="B1252" s="953"/>
      <c r="C1252" s="1245"/>
      <c r="D1252" s="114">
        <v>2027</v>
      </c>
      <c r="E1252" s="115">
        <f t="shared" si="427"/>
        <v>3.66900352</v>
      </c>
      <c r="F1252" s="115">
        <f t="shared" si="429"/>
        <v>3.66900352</v>
      </c>
      <c r="G1252" s="115">
        <f t="shared" si="428"/>
        <v>0</v>
      </c>
      <c r="H1252" s="115">
        <f t="shared" si="428"/>
        <v>0</v>
      </c>
      <c r="I1252" s="115">
        <f t="shared" si="428"/>
        <v>0</v>
      </c>
      <c r="J1252" s="115">
        <f t="shared" si="428"/>
        <v>0</v>
      </c>
      <c r="K1252" s="148">
        <v>0</v>
      </c>
      <c r="L1252" s="497">
        <f t="shared" si="423"/>
        <v>3.66900352</v>
      </c>
      <c r="M1252" s="216"/>
      <c r="N1252" s="349"/>
      <c r="O1252" s="196"/>
      <c r="P1252" s="1225"/>
    </row>
    <row r="1253" spans="1:141">
      <c r="A1253" s="1091"/>
      <c r="B1253" s="953"/>
      <c r="C1253" s="1245"/>
      <c r="D1253" s="114">
        <v>2028</v>
      </c>
      <c r="E1253" s="115">
        <f t="shared" si="427"/>
        <v>3.8157636608000001</v>
      </c>
      <c r="F1253" s="115">
        <f t="shared" si="429"/>
        <v>3.8157636608000001</v>
      </c>
      <c r="G1253" s="115">
        <f t="shared" si="428"/>
        <v>0</v>
      </c>
      <c r="H1253" s="115">
        <f t="shared" si="428"/>
        <v>0</v>
      </c>
      <c r="I1253" s="115">
        <f t="shared" si="428"/>
        <v>0</v>
      </c>
      <c r="J1253" s="115">
        <f t="shared" si="428"/>
        <v>0</v>
      </c>
      <c r="K1253" s="148">
        <v>0</v>
      </c>
      <c r="L1253" s="497">
        <f t="shared" si="423"/>
        <v>3.8157636608000001</v>
      </c>
      <c r="M1253" s="216"/>
      <c r="N1253" s="349"/>
      <c r="O1253" s="196"/>
      <c r="P1253" s="1225"/>
    </row>
    <row r="1254" spans="1:141">
      <c r="A1254" s="1091"/>
      <c r="B1254" s="953"/>
      <c r="C1254" s="1245"/>
      <c r="D1254" s="114">
        <v>2029</v>
      </c>
      <c r="E1254" s="115">
        <f t="shared" si="427"/>
        <v>3.9683942072320004</v>
      </c>
      <c r="F1254" s="115">
        <f t="shared" si="429"/>
        <v>3.9683942072320004</v>
      </c>
      <c r="G1254" s="115">
        <f t="shared" si="428"/>
        <v>0</v>
      </c>
      <c r="H1254" s="115">
        <f t="shared" si="428"/>
        <v>0</v>
      </c>
      <c r="I1254" s="115">
        <f t="shared" si="428"/>
        <v>0</v>
      </c>
      <c r="J1254" s="115">
        <f t="shared" si="428"/>
        <v>0</v>
      </c>
      <c r="K1254" s="148">
        <v>0</v>
      </c>
      <c r="L1254" s="497">
        <f t="shared" si="423"/>
        <v>3.9683942072320004</v>
      </c>
      <c r="M1254" s="216"/>
      <c r="N1254" s="349"/>
      <c r="O1254" s="196"/>
      <c r="P1254" s="1225"/>
    </row>
    <row r="1255" spans="1:141">
      <c r="A1255" s="1092"/>
      <c r="B1255" s="954"/>
      <c r="C1255" s="1224"/>
      <c r="D1255" s="114">
        <v>2030</v>
      </c>
      <c r="E1255" s="115">
        <f t="shared" si="427"/>
        <v>4.1271299755212807</v>
      </c>
      <c r="F1255" s="115">
        <f t="shared" si="429"/>
        <v>4.1271299755212807</v>
      </c>
      <c r="G1255" s="115">
        <f t="shared" si="428"/>
        <v>0</v>
      </c>
      <c r="H1255" s="115">
        <f t="shared" si="428"/>
        <v>0</v>
      </c>
      <c r="I1255" s="115">
        <f t="shared" si="428"/>
        <v>0</v>
      </c>
      <c r="J1255" s="115">
        <f t="shared" si="428"/>
        <v>0</v>
      </c>
      <c r="K1255" s="148">
        <v>0</v>
      </c>
      <c r="L1255" s="497">
        <f t="shared" si="423"/>
        <v>4.1271299755212807</v>
      </c>
      <c r="M1255" s="216"/>
      <c r="N1255" s="349"/>
      <c r="O1255" s="196"/>
      <c r="P1255" s="1225"/>
    </row>
    <row r="1256" spans="1:141">
      <c r="A1256" s="1090" t="s">
        <v>1391</v>
      </c>
      <c r="B1256" s="1345" t="s">
        <v>1088</v>
      </c>
      <c r="C1256" s="1224"/>
      <c r="D1256" s="586" t="s">
        <v>16</v>
      </c>
      <c r="E1256" s="115">
        <f t="shared" ref="E1256:J1256" si="430">E1257</f>
        <v>4.62</v>
      </c>
      <c r="F1256" s="115">
        <f t="shared" si="430"/>
        <v>4.62</v>
      </c>
      <c r="G1256" s="115">
        <f t="shared" si="430"/>
        <v>0</v>
      </c>
      <c r="H1256" s="115">
        <f t="shared" si="430"/>
        <v>0</v>
      </c>
      <c r="I1256" s="115">
        <f t="shared" si="430"/>
        <v>0</v>
      </c>
      <c r="J1256" s="115">
        <f t="shared" si="430"/>
        <v>0</v>
      </c>
      <c r="K1256" s="148">
        <v>0</v>
      </c>
      <c r="L1256" s="497">
        <f t="shared" si="423"/>
        <v>4.62</v>
      </c>
      <c r="M1256" s="216"/>
      <c r="N1256" s="349"/>
      <c r="O1256" s="196"/>
      <c r="P1256" s="1225"/>
    </row>
    <row r="1257" spans="1:141" ht="20.25" customHeight="1">
      <c r="A1257" s="1092"/>
      <c r="B1257" s="1346"/>
      <c r="C1257" s="1225"/>
      <c r="D1257" s="708">
        <v>2020</v>
      </c>
      <c r="E1257" s="85">
        <f>F1257+G1257+H1257+I1257+J1257</f>
        <v>4.62</v>
      </c>
      <c r="F1257" s="85">
        <v>4.62</v>
      </c>
      <c r="G1257" s="85">
        <v>0</v>
      </c>
      <c r="H1257" s="85">
        <v>0</v>
      </c>
      <c r="I1257" s="85">
        <v>0</v>
      </c>
      <c r="J1257" s="85">
        <v>0</v>
      </c>
      <c r="K1257" s="148">
        <v>0</v>
      </c>
      <c r="L1257" s="497">
        <f t="shared" si="423"/>
        <v>4.62</v>
      </c>
      <c r="M1257" s="136"/>
      <c r="N1257" s="90"/>
      <c r="O1257" s="137"/>
      <c r="P1257" s="1225"/>
    </row>
    <row r="1258" spans="1:141">
      <c r="A1258" s="1190" t="s">
        <v>1392</v>
      </c>
      <c r="B1258" s="1345" t="s">
        <v>1090</v>
      </c>
      <c r="C1258" s="1225"/>
      <c r="D1258" s="586" t="s">
        <v>429</v>
      </c>
      <c r="E1258" s="85">
        <f t="shared" ref="E1258:J1258" si="431">E1259+E1260+E1261+E1262+E1263+E1264+E1265+E1266+E1267+E1268+E1269</f>
        <v>38.648379363553282</v>
      </c>
      <c r="F1258" s="85">
        <f t="shared" si="431"/>
        <v>38.648379363553282</v>
      </c>
      <c r="G1258" s="85">
        <f t="shared" si="431"/>
        <v>0</v>
      </c>
      <c r="H1258" s="85">
        <f t="shared" si="431"/>
        <v>0</v>
      </c>
      <c r="I1258" s="85">
        <f t="shared" si="431"/>
        <v>0</v>
      </c>
      <c r="J1258" s="85">
        <f t="shared" si="431"/>
        <v>0</v>
      </c>
      <c r="K1258" s="148">
        <v>0</v>
      </c>
      <c r="L1258" s="497">
        <f t="shared" si="423"/>
        <v>38.648379363553282</v>
      </c>
      <c r="M1258" s="136"/>
      <c r="N1258" s="90"/>
      <c r="O1258" s="137"/>
      <c r="P1258" s="1225"/>
    </row>
    <row r="1259" spans="1:141" s="709" customFormat="1">
      <c r="A1259" s="1191"/>
      <c r="B1259" s="1347"/>
      <c r="C1259" s="1225"/>
      <c r="D1259" s="708">
        <v>2020</v>
      </c>
      <c r="E1259" s="85">
        <v>2.7854000000000001</v>
      </c>
      <c r="F1259" s="85">
        <v>2.7854000000000001</v>
      </c>
      <c r="G1259" s="85">
        <v>0</v>
      </c>
      <c r="H1259" s="85">
        <v>0</v>
      </c>
      <c r="I1259" s="85">
        <v>0</v>
      </c>
      <c r="J1259" s="85">
        <v>0</v>
      </c>
      <c r="K1259" s="148">
        <v>0</v>
      </c>
      <c r="L1259" s="497">
        <f t="shared" si="423"/>
        <v>2.7854000000000001</v>
      </c>
      <c r="M1259" s="710"/>
      <c r="N1259" s="711"/>
      <c r="O1259" s="711"/>
      <c r="P1259" s="1225"/>
    </row>
    <row r="1260" spans="1:141" s="709" customFormat="1">
      <c r="A1260" s="1191"/>
      <c r="B1260" s="1347"/>
      <c r="C1260" s="1225"/>
      <c r="D1260" s="708">
        <v>2021</v>
      </c>
      <c r="E1260" s="85">
        <f t="shared" ref="E1260:E1269" si="432">F1260</f>
        <v>3.2360000000000002</v>
      </c>
      <c r="F1260" s="85">
        <v>3.2360000000000002</v>
      </c>
      <c r="G1260" s="85">
        <v>0</v>
      </c>
      <c r="H1260" s="85">
        <v>0</v>
      </c>
      <c r="I1260" s="85">
        <v>0</v>
      </c>
      <c r="J1260" s="85">
        <v>0</v>
      </c>
      <c r="K1260" s="148">
        <v>0</v>
      </c>
      <c r="L1260" s="497">
        <f t="shared" si="423"/>
        <v>3.2360000000000002</v>
      </c>
      <c r="M1260" s="710"/>
      <c r="N1260" s="711"/>
      <c r="O1260" s="711"/>
      <c r="P1260" s="1225"/>
      <c r="EI1260" s="709">
        <v>3061.5</v>
      </c>
      <c r="EJ1260" s="709">
        <v>174.5</v>
      </c>
      <c r="EK1260" s="712">
        <f>SUM(EI1260:EJ1260)</f>
        <v>3236</v>
      </c>
    </row>
    <row r="1261" spans="1:141" s="709" customFormat="1">
      <c r="A1261" s="1191"/>
      <c r="B1261" s="1347"/>
      <c r="C1261" s="1225"/>
      <c r="D1261" s="708">
        <v>2022</v>
      </c>
      <c r="E1261" s="85">
        <f t="shared" si="432"/>
        <v>3.3653</v>
      </c>
      <c r="F1261" s="85">
        <v>3.3653</v>
      </c>
      <c r="G1261" s="85">
        <v>0</v>
      </c>
      <c r="H1261" s="85">
        <v>0</v>
      </c>
      <c r="I1261" s="85">
        <v>0</v>
      </c>
      <c r="J1261" s="85">
        <v>0</v>
      </c>
      <c r="K1261" s="148">
        <v>0</v>
      </c>
      <c r="L1261" s="497">
        <f t="shared" si="423"/>
        <v>3.3653</v>
      </c>
      <c r="M1261" s="710"/>
      <c r="N1261" s="711"/>
      <c r="O1261" s="711"/>
      <c r="P1261" s="1225"/>
      <c r="EI1261" s="709">
        <v>3184</v>
      </c>
      <c r="EJ1261" s="709">
        <v>181.3</v>
      </c>
      <c r="EK1261" s="712">
        <f>SUM(EI1261:EJ1261)</f>
        <v>3365.3</v>
      </c>
    </row>
    <row r="1262" spans="1:141" s="709" customFormat="1">
      <c r="A1262" s="1191"/>
      <c r="B1262" s="1347"/>
      <c r="C1262" s="1225"/>
      <c r="D1262" s="708">
        <v>2023</v>
      </c>
      <c r="E1262" s="85">
        <f t="shared" si="432"/>
        <v>3.4996</v>
      </c>
      <c r="F1262" s="703">
        <v>3.4996</v>
      </c>
      <c r="G1262" s="85">
        <v>0</v>
      </c>
      <c r="H1262" s="85">
        <v>0</v>
      </c>
      <c r="I1262" s="85">
        <v>0</v>
      </c>
      <c r="J1262" s="85">
        <v>0</v>
      </c>
      <c r="K1262" s="148">
        <v>0</v>
      </c>
      <c r="L1262" s="497">
        <f t="shared" si="423"/>
        <v>3.4996</v>
      </c>
      <c r="M1262" s="710"/>
      <c r="N1262" s="711"/>
      <c r="O1262" s="711"/>
      <c r="P1262" s="1225"/>
      <c r="EI1262" s="709">
        <v>3311.3</v>
      </c>
      <c r="EJ1262" s="709">
        <v>188.3</v>
      </c>
      <c r="EK1262" s="712">
        <f>SUM(EI1262:EJ1262)</f>
        <v>3499.6000000000004</v>
      </c>
    </row>
    <row r="1263" spans="1:141" s="709" customFormat="1">
      <c r="A1263" s="1191"/>
      <c r="B1263" s="1347"/>
      <c r="C1263" s="1225"/>
      <c r="D1263" s="708">
        <v>2024</v>
      </c>
      <c r="E1263" s="85">
        <f t="shared" si="432"/>
        <v>3.2616999999999998</v>
      </c>
      <c r="F1263" s="85">
        <v>3.2616999999999998</v>
      </c>
      <c r="G1263" s="85">
        <v>0</v>
      </c>
      <c r="H1263" s="85">
        <v>0</v>
      </c>
      <c r="I1263" s="85">
        <v>0</v>
      </c>
      <c r="J1263" s="85">
        <v>0</v>
      </c>
      <c r="K1263" s="148">
        <v>0</v>
      </c>
      <c r="L1263" s="497">
        <f t="shared" si="423"/>
        <v>3.2616999999999998</v>
      </c>
      <c r="M1263" s="710"/>
      <c r="N1263" s="711"/>
      <c r="O1263" s="711"/>
      <c r="P1263" s="1225"/>
    </row>
    <row r="1264" spans="1:141" s="709" customFormat="1">
      <c r="A1264" s="1191"/>
      <c r="B1264" s="1347"/>
      <c r="C1264" s="1225"/>
      <c r="D1264" s="708">
        <v>2025</v>
      </c>
      <c r="E1264" s="85">
        <f t="shared" si="432"/>
        <v>3.3921999999999999</v>
      </c>
      <c r="F1264" s="85">
        <v>3.3921999999999999</v>
      </c>
      <c r="G1264" s="85">
        <v>0</v>
      </c>
      <c r="H1264" s="85">
        <v>0</v>
      </c>
      <c r="I1264" s="85">
        <v>0</v>
      </c>
      <c r="J1264" s="85">
        <v>0</v>
      </c>
      <c r="K1264" s="148">
        <v>0</v>
      </c>
      <c r="L1264" s="497">
        <f t="shared" si="423"/>
        <v>3.3921999999999999</v>
      </c>
      <c r="M1264" s="710"/>
      <c r="N1264" s="711"/>
      <c r="O1264" s="711"/>
      <c r="P1264" s="1225"/>
    </row>
    <row r="1265" spans="1:16" s="709" customFormat="1">
      <c r="A1265" s="1191"/>
      <c r="B1265" s="713"/>
      <c r="C1265" s="1225"/>
      <c r="D1265" s="708">
        <v>2026</v>
      </c>
      <c r="E1265" s="85">
        <f t="shared" si="432"/>
        <v>3.5278879999999999</v>
      </c>
      <c r="F1265" s="85">
        <f>F1264*1.04</f>
        <v>3.5278879999999999</v>
      </c>
      <c r="G1265" s="85">
        <v>0</v>
      </c>
      <c r="H1265" s="85">
        <v>0</v>
      </c>
      <c r="I1265" s="85">
        <v>0</v>
      </c>
      <c r="J1265" s="85">
        <v>0</v>
      </c>
      <c r="K1265" s="148">
        <v>0</v>
      </c>
      <c r="L1265" s="497">
        <f t="shared" si="423"/>
        <v>3.5278879999999999</v>
      </c>
      <c r="M1265" s="710"/>
      <c r="N1265" s="711"/>
      <c r="O1265" s="711"/>
      <c r="P1265" s="1225"/>
    </row>
    <row r="1266" spans="1:16" s="709" customFormat="1">
      <c r="A1266" s="1191"/>
      <c r="B1266" s="713"/>
      <c r="C1266" s="1225"/>
      <c r="D1266" s="708">
        <v>2027</v>
      </c>
      <c r="E1266" s="85">
        <f t="shared" si="432"/>
        <v>3.66900352</v>
      </c>
      <c r="F1266" s="85">
        <f>F1265*1.04</f>
        <v>3.66900352</v>
      </c>
      <c r="G1266" s="85">
        <v>0</v>
      </c>
      <c r="H1266" s="85">
        <v>0</v>
      </c>
      <c r="I1266" s="85">
        <v>0</v>
      </c>
      <c r="J1266" s="85">
        <v>0</v>
      </c>
      <c r="K1266" s="148">
        <v>0</v>
      </c>
      <c r="L1266" s="497">
        <f t="shared" si="423"/>
        <v>3.66900352</v>
      </c>
      <c r="M1266" s="710"/>
      <c r="N1266" s="711"/>
      <c r="O1266" s="711"/>
      <c r="P1266" s="1225"/>
    </row>
    <row r="1267" spans="1:16" s="709" customFormat="1">
      <c r="A1267" s="1191"/>
      <c r="B1267" s="713"/>
      <c r="C1267" s="1225"/>
      <c r="D1267" s="708">
        <v>2028</v>
      </c>
      <c r="E1267" s="85">
        <f t="shared" si="432"/>
        <v>3.8157636608000001</v>
      </c>
      <c r="F1267" s="85">
        <f>F1266*1.04</f>
        <v>3.8157636608000001</v>
      </c>
      <c r="G1267" s="85">
        <v>0</v>
      </c>
      <c r="H1267" s="85">
        <v>0</v>
      </c>
      <c r="I1267" s="85">
        <v>0</v>
      </c>
      <c r="J1267" s="85">
        <v>0</v>
      </c>
      <c r="K1267" s="148">
        <v>0</v>
      </c>
      <c r="L1267" s="497">
        <f t="shared" si="423"/>
        <v>3.8157636608000001</v>
      </c>
      <c r="M1267" s="710"/>
      <c r="N1267" s="711"/>
      <c r="O1267" s="711"/>
      <c r="P1267" s="1225"/>
    </row>
    <row r="1268" spans="1:16" s="709" customFormat="1">
      <c r="A1268" s="1191"/>
      <c r="B1268" s="713"/>
      <c r="C1268" s="1225"/>
      <c r="D1268" s="708">
        <v>2029</v>
      </c>
      <c r="E1268" s="85">
        <f t="shared" si="432"/>
        <v>3.9683942072320004</v>
      </c>
      <c r="F1268" s="85">
        <f>F1267*1.04</f>
        <v>3.9683942072320004</v>
      </c>
      <c r="G1268" s="85">
        <v>0</v>
      </c>
      <c r="H1268" s="85">
        <v>0</v>
      </c>
      <c r="I1268" s="85">
        <v>0</v>
      </c>
      <c r="J1268" s="85">
        <v>0</v>
      </c>
      <c r="K1268" s="148">
        <v>0</v>
      </c>
      <c r="L1268" s="497">
        <f t="shared" si="423"/>
        <v>3.9683942072320004</v>
      </c>
      <c r="M1268" s="710"/>
      <c r="N1268" s="711"/>
      <c r="O1268" s="711"/>
      <c r="P1268" s="1225"/>
    </row>
    <row r="1269" spans="1:16" s="709" customFormat="1">
      <c r="A1269" s="1192"/>
      <c r="B1269" s="714"/>
      <c r="C1269" s="1226"/>
      <c r="D1269" s="708">
        <v>2030</v>
      </c>
      <c r="E1269" s="85">
        <f t="shared" si="432"/>
        <v>4.1271299755212807</v>
      </c>
      <c r="F1269" s="85">
        <f>F1268*1.04</f>
        <v>4.1271299755212807</v>
      </c>
      <c r="G1269" s="85">
        <v>0</v>
      </c>
      <c r="H1269" s="85">
        <v>0</v>
      </c>
      <c r="I1269" s="85">
        <v>0</v>
      </c>
      <c r="J1269" s="85">
        <v>0</v>
      </c>
      <c r="K1269" s="148">
        <v>0</v>
      </c>
      <c r="L1269" s="497">
        <f t="shared" si="423"/>
        <v>4.1271299755212807</v>
      </c>
      <c r="M1269" s="710"/>
      <c r="N1269" s="711"/>
      <c r="O1269" s="711"/>
      <c r="P1269" s="1226"/>
    </row>
    <row r="1270" spans="1:16" s="709" customFormat="1" ht="25.5" customHeight="1">
      <c r="A1270" s="1190" t="s">
        <v>1393</v>
      </c>
      <c r="B1270" s="1348" t="s">
        <v>1093</v>
      </c>
      <c r="C1270" s="1225" t="s">
        <v>1440</v>
      </c>
      <c r="D1270" s="84" t="s">
        <v>429</v>
      </c>
      <c r="E1270" s="85">
        <f t="shared" ref="E1270:J1270" si="433">E1271+E1272+E1273+E1274</f>
        <v>0.186196</v>
      </c>
      <c r="F1270" s="85">
        <f t="shared" si="433"/>
        <v>0.186196</v>
      </c>
      <c r="G1270" s="85">
        <f t="shared" si="433"/>
        <v>0</v>
      </c>
      <c r="H1270" s="85">
        <f t="shared" si="433"/>
        <v>0</v>
      </c>
      <c r="I1270" s="85">
        <f t="shared" si="433"/>
        <v>0</v>
      </c>
      <c r="J1270" s="85">
        <f t="shared" si="433"/>
        <v>0</v>
      </c>
      <c r="K1270" s="148">
        <v>0</v>
      </c>
      <c r="L1270" s="497">
        <f t="shared" si="423"/>
        <v>0.186196</v>
      </c>
      <c r="M1270" s="710"/>
      <c r="N1270" s="711"/>
      <c r="O1270" s="711"/>
      <c r="P1270" s="634"/>
    </row>
    <row r="1271" spans="1:16" s="709" customFormat="1">
      <c r="A1271" s="1191"/>
      <c r="B1271" s="1349"/>
      <c r="C1271" s="1225"/>
      <c r="D1271" s="84">
        <v>2020</v>
      </c>
      <c r="E1271" s="85">
        <f>F1271</f>
        <v>8.2959999999999996E-3</v>
      </c>
      <c r="F1271" s="85">
        <v>8.2959999999999996E-3</v>
      </c>
      <c r="G1271" s="85">
        <v>0</v>
      </c>
      <c r="H1271" s="85">
        <v>0</v>
      </c>
      <c r="I1271" s="85">
        <v>0</v>
      </c>
      <c r="J1271" s="85">
        <v>0</v>
      </c>
      <c r="K1271" s="148">
        <v>0</v>
      </c>
      <c r="L1271" s="497">
        <f t="shared" si="423"/>
        <v>8.2959999999999996E-3</v>
      </c>
      <c r="M1271" s="710"/>
      <c r="N1271" s="711"/>
      <c r="O1271" s="711"/>
      <c r="P1271" s="634"/>
    </row>
    <row r="1272" spans="1:16" s="709" customFormat="1">
      <c r="A1272" s="1191"/>
      <c r="B1272" s="1349"/>
      <c r="C1272" s="1225"/>
      <c r="D1272" s="84">
        <v>2021</v>
      </c>
      <c r="E1272" s="85">
        <f>F1272</f>
        <v>5.9299999999999999E-2</v>
      </c>
      <c r="F1272" s="85">
        <v>5.9299999999999999E-2</v>
      </c>
      <c r="G1272" s="85">
        <v>0</v>
      </c>
      <c r="H1272" s="85">
        <v>0</v>
      </c>
      <c r="I1272" s="85">
        <v>0</v>
      </c>
      <c r="J1272" s="85">
        <v>0</v>
      </c>
      <c r="K1272" s="148">
        <v>0</v>
      </c>
      <c r="L1272" s="474">
        <f t="shared" si="423"/>
        <v>5.9299999999999999E-2</v>
      </c>
      <c r="M1272" s="710"/>
      <c r="N1272" s="711"/>
      <c r="O1272" s="711"/>
      <c r="P1272" s="634"/>
    </row>
    <row r="1273" spans="1:16" s="709" customFormat="1">
      <c r="A1273" s="1191"/>
      <c r="B1273" s="1349"/>
      <c r="C1273" s="1225"/>
      <c r="D1273" s="84">
        <v>2022</v>
      </c>
      <c r="E1273" s="85">
        <f>F1273</f>
        <v>5.9299999999999999E-2</v>
      </c>
      <c r="F1273" s="85">
        <v>5.9299999999999999E-2</v>
      </c>
      <c r="G1273" s="85">
        <v>0</v>
      </c>
      <c r="H1273" s="85">
        <v>0</v>
      </c>
      <c r="I1273" s="85">
        <v>0</v>
      </c>
      <c r="J1273" s="85">
        <v>0</v>
      </c>
      <c r="K1273" s="148">
        <v>0</v>
      </c>
      <c r="L1273" s="474">
        <f t="shared" si="423"/>
        <v>5.9299999999999999E-2</v>
      </c>
      <c r="M1273" s="710"/>
      <c r="N1273" s="711"/>
      <c r="O1273" s="711"/>
      <c r="P1273" s="634"/>
    </row>
    <row r="1274" spans="1:16" s="709" customFormat="1">
      <c r="A1274" s="1192"/>
      <c r="B1274" s="1350"/>
      <c r="C1274" s="1226"/>
      <c r="D1274" s="84">
        <v>2023</v>
      </c>
      <c r="E1274" s="85">
        <f>F1274</f>
        <v>5.9299999999999999E-2</v>
      </c>
      <c r="F1274" s="85">
        <v>5.9299999999999999E-2</v>
      </c>
      <c r="G1274" s="85">
        <v>0</v>
      </c>
      <c r="H1274" s="85">
        <v>0</v>
      </c>
      <c r="I1274" s="85">
        <v>0</v>
      </c>
      <c r="J1274" s="85">
        <v>0</v>
      </c>
      <c r="K1274" s="148">
        <v>0</v>
      </c>
      <c r="L1274" s="474">
        <f t="shared" si="423"/>
        <v>5.9299999999999999E-2</v>
      </c>
      <c r="M1274" s="710"/>
      <c r="N1274" s="711"/>
      <c r="O1274" s="711"/>
      <c r="P1274" s="634"/>
    </row>
    <row r="1275" spans="1:16" s="709" customFormat="1" ht="42" customHeight="1">
      <c r="B1275" s="368" t="s">
        <v>1394</v>
      </c>
      <c r="C1275" s="715"/>
      <c r="E1275" s="716"/>
      <c r="I1275" s="1341" t="s">
        <v>1095</v>
      </c>
      <c r="J1275" s="1341"/>
      <c r="K1275" s="717"/>
      <c r="L1275" s="718"/>
      <c r="M1275" s="719"/>
      <c r="P1275" s="720"/>
    </row>
    <row r="1276" spans="1:16" s="709" customFormat="1" ht="15.75">
      <c r="B1276" s="368"/>
      <c r="C1276" s="715"/>
      <c r="E1276" s="716"/>
      <c r="J1276" s="721"/>
      <c r="K1276" s="368"/>
      <c r="L1276" s="718"/>
      <c r="M1276" s="719"/>
      <c r="P1276" s="720"/>
    </row>
    <row r="1277" spans="1:16" s="709" customFormat="1" ht="15.75">
      <c r="B1277" s="368"/>
      <c r="C1277" s="715"/>
      <c r="E1277" s="716"/>
      <c r="J1277" s="721"/>
      <c r="K1277" s="368"/>
      <c r="L1277" s="718"/>
      <c r="M1277" s="719"/>
      <c r="P1277" s="720"/>
    </row>
    <row r="1278" spans="1:16" s="709" customFormat="1" ht="24" customHeight="1">
      <c r="B1278" s="368"/>
      <c r="C1278" s="715"/>
      <c r="E1278" s="716"/>
      <c r="J1278" s="721"/>
      <c r="K1278" s="368"/>
      <c r="L1278" s="718"/>
      <c r="M1278" s="719"/>
      <c r="P1278" s="720"/>
    </row>
    <row r="1279" spans="1:16" s="709" customFormat="1" ht="15.75">
      <c r="B1279" s="368"/>
      <c r="C1279" s="715"/>
      <c r="E1279" s="716"/>
      <c r="J1279" s="721"/>
      <c r="K1279" s="368"/>
      <c r="L1279" s="718"/>
      <c r="M1279" s="719"/>
      <c r="P1279" s="720"/>
    </row>
    <row r="1280" spans="1:16" s="709" customFormat="1" ht="15.75">
      <c r="B1280" s="368"/>
      <c r="C1280" s="715"/>
      <c r="E1280" s="716"/>
      <c r="J1280" s="721"/>
      <c r="K1280" s="368"/>
      <c r="L1280" s="718"/>
      <c r="M1280" s="719"/>
      <c r="P1280" s="720"/>
    </row>
    <row r="1281" spans="1:16" s="709" customFormat="1" ht="15.75">
      <c r="B1281" s="368"/>
      <c r="C1281" s="715"/>
      <c r="E1281" s="716"/>
      <c r="J1281" s="721"/>
      <c r="K1281" s="368"/>
      <c r="L1281" s="718"/>
      <c r="M1281" s="719"/>
      <c r="P1281" s="720"/>
    </row>
    <row r="1282" spans="1:16" s="709" customFormat="1" ht="15.75">
      <c r="B1282" s="368"/>
      <c r="C1282" s="715"/>
      <c r="E1282" s="716"/>
      <c r="J1282" s="721"/>
      <c r="K1282" s="368"/>
      <c r="L1282" s="718"/>
      <c r="M1282" s="719"/>
      <c r="P1282" s="720"/>
    </row>
    <row r="1283" spans="1:16" s="709" customFormat="1" ht="31.5" customHeight="1">
      <c r="B1283" s="368"/>
      <c r="C1283" s="715"/>
      <c r="E1283" s="716"/>
      <c r="J1283" s="721"/>
      <c r="K1283" s="368"/>
      <c r="L1283" s="718"/>
      <c r="M1283" s="719"/>
      <c r="P1283" s="720"/>
    </row>
    <row r="1284" spans="1:16" s="709" customFormat="1" ht="49.5" customHeight="1">
      <c r="A1284" s="368"/>
      <c r="B1284" s="368"/>
      <c r="C1284" s="715"/>
      <c r="E1284" s="716"/>
      <c r="J1284" s="721"/>
      <c r="K1284" s="368"/>
      <c r="L1284" s="718"/>
      <c r="M1284" s="719"/>
      <c r="P1284" s="720"/>
    </row>
    <row r="1285" spans="1:16" s="709" customFormat="1">
      <c r="A1285" s="722"/>
      <c r="C1285" s="720"/>
      <c r="E1285" s="716"/>
      <c r="J1285" s="723"/>
      <c r="L1285" s="724"/>
      <c r="M1285" s="719"/>
      <c r="P1285" s="720"/>
    </row>
    <row r="1286" spans="1:16" s="709" customFormat="1">
      <c r="A1286" s="722"/>
      <c r="C1286" s="720"/>
      <c r="E1286" s="716"/>
      <c r="J1286" s="723"/>
      <c r="L1286" s="724"/>
      <c r="M1286" s="719"/>
      <c r="P1286" s="720"/>
    </row>
    <row r="1287" spans="1:16" s="709" customFormat="1">
      <c r="A1287" s="722"/>
      <c r="C1287" s="720"/>
      <c r="E1287" s="716"/>
      <c r="J1287" s="723"/>
      <c r="L1287" s="724"/>
      <c r="M1287" s="719"/>
      <c r="P1287" s="720"/>
    </row>
    <row r="1288" spans="1:16" s="709" customFormat="1">
      <c r="A1288" s="722"/>
      <c r="C1288" s="720"/>
      <c r="E1288" s="716"/>
      <c r="J1288" s="723"/>
      <c r="L1288" s="724"/>
      <c r="M1288" s="719"/>
      <c r="P1288" s="720"/>
    </row>
    <row r="1289" spans="1:16" s="709" customFormat="1">
      <c r="A1289" s="722"/>
      <c r="C1289" s="720"/>
      <c r="E1289" s="716"/>
      <c r="J1289" s="723"/>
      <c r="L1289" s="724"/>
      <c r="M1289" s="719"/>
      <c r="P1289" s="720"/>
    </row>
    <row r="1290" spans="1:16" s="709" customFormat="1">
      <c r="A1290" s="722"/>
      <c r="C1290" s="720"/>
      <c r="E1290" s="716"/>
      <c r="J1290" s="723"/>
      <c r="L1290" s="724"/>
      <c r="M1290" s="719"/>
      <c r="P1290" s="720"/>
    </row>
    <row r="1291" spans="1:16" s="709" customFormat="1">
      <c r="A1291" s="722"/>
      <c r="C1291" s="720"/>
      <c r="E1291" s="716"/>
      <c r="J1291" s="723"/>
      <c r="L1291" s="724"/>
      <c r="M1291" s="719"/>
      <c r="P1291" s="720"/>
    </row>
    <row r="1292" spans="1:16" s="709" customFormat="1">
      <c r="A1292" s="722"/>
      <c r="C1292" s="720"/>
      <c r="E1292" s="716"/>
      <c r="J1292" s="723"/>
      <c r="L1292" s="724"/>
      <c r="M1292" s="719"/>
      <c r="P1292" s="720"/>
    </row>
    <row r="1293" spans="1:16" s="709" customFormat="1">
      <c r="A1293" s="722"/>
      <c r="C1293" s="720"/>
      <c r="E1293" s="716"/>
      <c r="J1293" s="723"/>
      <c r="L1293" s="724"/>
      <c r="M1293" s="719"/>
      <c r="P1293" s="720"/>
    </row>
    <row r="1294" spans="1:16" s="709" customFormat="1">
      <c r="A1294" s="722"/>
      <c r="C1294" s="720"/>
      <c r="E1294" s="716"/>
      <c r="J1294" s="723"/>
      <c r="L1294" s="724"/>
      <c r="M1294" s="719"/>
      <c r="P1294" s="720"/>
    </row>
    <row r="1295" spans="1:16" s="709" customFormat="1">
      <c r="A1295" s="722"/>
      <c r="C1295" s="720"/>
      <c r="E1295" s="716"/>
      <c r="J1295" s="723"/>
      <c r="L1295" s="724"/>
      <c r="M1295" s="719"/>
      <c r="P1295" s="720"/>
    </row>
    <row r="1296" spans="1:16" s="709" customFormat="1">
      <c r="A1296" s="722"/>
      <c r="C1296" s="720"/>
      <c r="E1296" s="716"/>
      <c r="J1296" s="723"/>
      <c r="L1296" s="724"/>
      <c r="M1296" s="719"/>
      <c r="P1296" s="720"/>
    </row>
    <row r="1297" spans="1:16" s="709" customFormat="1">
      <c r="A1297" s="722"/>
      <c r="C1297" s="720"/>
      <c r="E1297" s="716"/>
      <c r="J1297" s="723"/>
      <c r="L1297" s="724"/>
      <c r="M1297" s="719"/>
      <c r="P1297" s="720"/>
    </row>
    <row r="1298" spans="1:16" s="709" customFormat="1">
      <c r="A1298" s="722"/>
      <c r="C1298" s="720"/>
      <c r="E1298" s="716"/>
      <c r="J1298" s="723"/>
      <c r="L1298" s="724"/>
      <c r="M1298" s="719"/>
      <c r="P1298" s="720"/>
    </row>
    <row r="1299" spans="1:16" s="709" customFormat="1">
      <c r="A1299" s="722"/>
      <c r="C1299" s="720"/>
      <c r="E1299" s="716"/>
      <c r="J1299" s="723"/>
      <c r="L1299" s="724"/>
      <c r="M1299" s="719"/>
      <c r="P1299" s="720"/>
    </row>
    <row r="1300" spans="1:16" s="709" customFormat="1">
      <c r="A1300" s="722"/>
      <c r="C1300" s="720"/>
      <c r="E1300" s="716"/>
      <c r="J1300" s="723"/>
      <c r="L1300" s="724"/>
      <c r="M1300" s="719"/>
      <c r="P1300" s="720"/>
    </row>
    <row r="1301" spans="1:16" s="709" customFormat="1">
      <c r="A1301" s="722"/>
      <c r="C1301" s="720"/>
      <c r="E1301" s="716"/>
      <c r="J1301" s="723"/>
      <c r="L1301" s="724"/>
      <c r="M1301" s="719"/>
      <c r="P1301" s="720"/>
    </row>
    <row r="1302" spans="1:16" s="709" customFormat="1">
      <c r="A1302" s="722"/>
      <c r="C1302" s="720"/>
      <c r="E1302" s="716"/>
      <c r="J1302" s="723"/>
      <c r="L1302" s="724"/>
      <c r="M1302" s="719"/>
      <c r="P1302" s="720"/>
    </row>
    <row r="1303" spans="1:16" s="709" customFormat="1">
      <c r="A1303" s="722"/>
      <c r="C1303" s="720"/>
      <c r="E1303" s="716"/>
      <c r="J1303" s="723"/>
      <c r="L1303" s="724"/>
      <c r="M1303" s="719"/>
      <c r="P1303" s="720"/>
    </row>
    <row r="1304" spans="1:16" s="709" customFormat="1">
      <c r="A1304" s="722"/>
      <c r="C1304" s="720"/>
      <c r="E1304" s="716"/>
      <c r="J1304" s="723"/>
      <c r="L1304" s="724"/>
      <c r="M1304" s="719"/>
      <c r="P1304" s="720"/>
    </row>
    <row r="1305" spans="1:16" s="709" customFormat="1">
      <c r="A1305" s="722"/>
      <c r="C1305" s="720"/>
      <c r="E1305" s="716"/>
      <c r="J1305" s="723"/>
      <c r="L1305" s="724"/>
      <c r="M1305" s="719"/>
      <c r="P1305" s="720"/>
    </row>
    <row r="1306" spans="1:16" s="709" customFormat="1">
      <c r="A1306" s="722"/>
      <c r="C1306" s="720"/>
      <c r="E1306" s="716"/>
      <c r="J1306" s="723"/>
      <c r="L1306" s="724"/>
      <c r="M1306" s="719"/>
      <c r="P1306" s="720"/>
    </row>
    <row r="1307" spans="1:16" s="709" customFormat="1">
      <c r="A1307" s="722"/>
      <c r="C1307" s="720"/>
      <c r="E1307" s="716"/>
      <c r="J1307" s="723"/>
      <c r="L1307" s="724"/>
      <c r="M1307" s="719"/>
      <c r="P1307" s="720"/>
    </row>
    <row r="1308" spans="1:16" s="709" customFormat="1">
      <c r="A1308" s="722"/>
      <c r="C1308" s="720"/>
      <c r="E1308" s="716"/>
      <c r="J1308" s="723"/>
      <c r="L1308" s="724"/>
      <c r="M1308" s="719"/>
      <c r="P1308" s="720"/>
    </row>
    <row r="1309" spans="1:16" s="709" customFormat="1">
      <c r="A1309" s="722"/>
      <c r="C1309" s="720"/>
      <c r="E1309" s="716"/>
      <c r="J1309" s="723"/>
      <c r="L1309" s="724"/>
      <c r="M1309" s="719"/>
      <c r="P1309" s="720"/>
    </row>
    <row r="1310" spans="1:16" s="709" customFormat="1">
      <c r="A1310" s="722"/>
      <c r="C1310" s="720"/>
      <c r="E1310" s="716"/>
      <c r="J1310" s="723"/>
      <c r="L1310" s="724"/>
      <c r="M1310" s="719"/>
      <c r="P1310" s="720"/>
    </row>
    <row r="1311" spans="1:16" s="709" customFormat="1">
      <c r="A1311" s="722"/>
      <c r="C1311" s="720"/>
      <c r="E1311" s="716"/>
      <c r="J1311" s="723"/>
      <c r="L1311" s="724"/>
      <c r="M1311" s="719"/>
      <c r="P1311" s="720"/>
    </row>
    <row r="1312" spans="1:16" s="709" customFormat="1">
      <c r="A1312" s="722"/>
      <c r="C1312" s="720"/>
      <c r="E1312" s="716"/>
      <c r="J1312" s="723"/>
      <c r="L1312" s="724"/>
      <c r="M1312" s="719"/>
      <c r="P1312" s="720"/>
    </row>
    <row r="1313" spans="1:16" s="709" customFormat="1">
      <c r="A1313" s="722"/>
      <c r="C1313" s="720"/>
      <c r="E1313" s="716"/>
      <c r="J1313" s="723"/>
      <c r="L1313" s="724"/>
      <c r="M1313" s="719"/>
      <c r="P1313" s="720"/>
    </row>
    <row r="1314" spans="1:16" s="709" customFormat="1">
      <c r="A1314" s="722"/>
      <c r="C1314" s="720"/>
      <c r="E1314" s="716"/>
      <c r="J1314" s="723"/>
      <c r="L1314" s="724"/>
      <c r="M1314" s="719"/>
      <c r="P1314" s="720"/>
    </row>
    <row r="1315" spans="1:16" s="709" customFormat="1">
      <c r="A1315" s="722"/>
      <c r="C1315" s="720"/>
      <c r="E1315" s="716"/>
      <c r="J1315" s="723"/>
      <c r="L1315" s="724"/>
      <c r="M1315" s="719"/>
      <c r="P1315" s="720"/>
    </row>
    <row r="1316" spans="1:16" s="709" customFormat="1">
      <c r="A1316" s="722"/>
      <c r="C1316" s="720"/>
      <c r="E1316" s="716"/>
      <c r="J1316" s="723"/>
      <c r="L1316" s="724"/>
      <c r="M1316" s="719"/>
      <c r="P1316" s="720"/>
    </row>
    <row r="1317" spans="1:16" s="709" customFormat="1">
      <c r="A1317" s="722"/>
      <c r="C1317" s="720"/>
      <c r="E1317" s="716"/>
      <c r="J1317" s="723"/>
      <c r="L1317" s="724"/>
      <c r="M1317" s="719"/>
      <c r="P1317" s="720"/>
    </row>
    <row r="1318" spans="1:16" s="709" customFormat="1">
      <c r="A1318" s="722"/>
      <c r="C1318" s="720"/>
      <c r="E1318" s="716"/>
      <c r="J1318" s="723"/>
      <c r="L1318" s="724"/>
      <c r="M1318" s="719"/>
      <c r="P1318" s="720"/>
    </row>
    <row r="1319" spans="1:16" s="709" customFormat="1">
      <c r="A1319" s="722"/>
      <c r="C1319" s="720"/>
      <c r="E1319" s="716"/>
      <c r="J1319" s="723"/>
      <c r="L1319" s="724"/>
      <c r="M1319" s="719"/>
      <c r="P1319" s="720"/>
    </row>
    <row r="1320" spans="1:16" s="709" customFormat="1">
      <c r="A1320" s="722"/>
      <c r="C1320" s="720"/>
      <c r="E1320" s="716"/>
      <c r="J1320" s="723"/>
      <c r="L1320" s="724"/>
      <c r="M1320" s="719"/>
      <c r="P1320" s="720"/>
    </row>
    <row r="1321" spans="1:16" s="709" customFormat="1">
      <c r="A1321" s="722"/>
      <c r="C1321" s="720"/>
      <c r="E1321" s="716"/>
      <c r="J1321" s="723"/>
      <c r="L1321" s="724"/>
      <c r="M1321" s="719"/>
      <c r="P1321" s="720"/>
    </row>
    <row r="1322" spans="1:16" s="709" customFormat="1">
      <c r="A1322" s="722"/>
      <c r="C1322" s="720"/>
      <c r="E1322" s="716"/>
      <c r="J1322" s="723"/>
      <c r="L1322" s="724"/>
      <c r="M1322" s="719"/>
      <c r="P1322" s="720"/>
    </row>
    <row r="1323" spans="1:16" s="709" customFormat="1">
      <c r="A1323" s="722"/>
      <c r="C1323" s="720"/>
      <c r="E1323" s="716"/>
      <c r="J1323" s="723"/>
      <c r="L1323" s="724"/>
      <c r="M1323" s="719"/>
      <c r="P1323" s="720"/>
    </row>
    <row r="1324" spans="1:16" s="709" customFormat="1">
      <c r="A1324" s="722"/>
      <c r="C1324" s="720"/>
      <c r="E1324" s="716"/>
      <c r="J1324" s="723"/>
      <c r="L1324" s="724"/>
      <c r="M1324" s="719"/>
      <c r="P1324" s="720"/>
    </row>
    <row r="1325" spans="1:16" s="709" customFormat="1">
      <c r="A1325" s="722"/>
      <c r="C1325" s="720"/>
      <c r="E1325" s="716"/>
      <c r="J1325" s="723"/>
      <c r="L1325" s="724"/>
      <c r="M1325" s="719"/>
      <c r="P1325" s="720"/>
    </row>
    <row r="1326" spans="1:16" s="709" customFormat="1">
      <c r="A1326" s="722"/>
      <c r="C1326" s="720"/>
      <c r="E1326" s="716"/>
      <c r="J1326" s="723"/>
      <c r="L1326" s="724"/>
      <c r="M1326" s="719"/>
      <c r="P1326" s="720"/>
    </row>
    <row r="1327" spans="1:16" s="709" customFormat="1">
      <c r="A1327" s="722"/>
      <c r="C1327" s="720"/>
      <c r="E1327" s="716"/>
      <c r="J1327" s="723"/>
      <c r="L1327" s="724"/>
      <c r="M1327" s="719"/>
      <c r="P1327" s="720"/>
    </row>
    <row r="1328" spans="1:16" s="709" customFormat="1">
      <c r="A1328" s="722"/>
      <c r="C1328" s="720"/>
      <c r="E1328" s="716"/>
      <c r="J1328" s="723"/>
      <c r="L1328" s="724"/>
      <c r="M1328" s="719"/>
      <c r="P1328" s="720"/>
    </row>
    <row r="1329" spans="1:16" s="709" customFormat="1">
      <c r="A1329" s="722"/>
      <c r="C1329" s="720"/>
      <c r="E1329" s="716"/>
      <c r="J1329" s="723"/>
      <c r="L1329" s="724"/>
      <c r="M1329" s="719"/>
      <c r="P1329" s="720"/>
    </row>
    <row r="1330" spans="1:16" s="709" customFormat="1">
      <c r="A1330" s="722"/>
      <c r="C1330" s="720"/>
      <c r="E1330" s="716"/>
      <c r="J1330" s="723"/>
      <c r="L1330" s="724"/>
      <c r="M1330" s="719"/>
      <c r="P1330" s="720"/>
    </row>
    <row r="1331" spans="1:16" s="709" customFormat="1">
      <c r="A1331" s="722"/>
      <c r="C1331" s="720"/>
      <c r="E1331" s="716"/>
      <c r="J1331" s="723"/>
      <c r="L1331" s="724"/>
      <c r="M1331" s="719"/>
      <c r="P1331" s="720"/>
    </row>
    <row r="1332" spans="1:16" s="709" customFormat="1">
      <c r="A1332" s="722"/>
      <c r="C1332" s="720"/>
      <c r="E1332" s="716"/>
      <c r="J1332" s="723"/>
      <c r="L1332" s="724"/>
      <c r="M1332" s="719"/>
      <c r="P1332" s="720"/>
    </row>
    <row r="1333" spans="1:16" s="709" customFormat="1">
      <c r="A1333" s="722"/>
      <c r="C1333" s="720"/>
      <c r="E1333" s="716"/>
      <c r="J1333" s="723"/>
      <c r="L1333" s="724"/>
      <c r="M1333" s="719"/>
      <c r="P1333" s="720"/>
    </row>
    <row r="1334" spans="1:16" s="709" customFormat="1">
      <c r="A1334" s="722"/>
      <c r="C1334" s="720"/>
      <c r="E1334" s="716"/>
      <c r="J1334" s="723"/>
      <c r="L1334" s="724"/>
      <c r="M1334" s="719"/>
      <c r="P1334" s="720"/>
    </row>
    <row r="1335" spans="1:16" s="709" customFormat="1">
      <c r="A1335" s="722"/>
      <c r="C1335" s="720"/>
      <c r="E1335" s="716"/>
      <c r="J1335" s="723"/>
      <c r="L1335" s="724"/>
      <c r="M1335" s="719"/>
      <c r="P1335" s="720"/>
    </row>
    <row r="1336" spans="1:16" s="709" customFormat="1">
      <c r="A1336" s="722"/>
      <c r="C1336" s="720"/>
      <c r="E1336" s="716"/>
      <c r="J1336" s="723"/>
      <c r="L1336" s="724"/>
      <c r="M1336" s="719"/>
      <c r="P1336" s="720"/>
    </row>
    <row r="1337" spans="1:16" s="709" customFormat="1">
      <c r="A1337" s="722"/>
      <c r="C1337" s="720"/>
      <c r="E1337" s="716"/>
      <c r="J1337" s="723"/>
      <c r="L1337" s="724"/>
      <c r="M1337" s="719"/>
      <c r="P1337" s="720"/>
    </row>
    <row r="1338" spans="1:16" s="709" customFormat="1">
      <c r="A1338" s="722"/>
      <c r="C1338" s="720"/>
      <c r="E1338" s="716"/>
      <c r="J1338" s="723"/>
      <c r="L1338" s="724"/>
      <c r="M1338" s="719"/>
      <c r="P1338" s="720"/>
    </row>
    <row r="1339" spans="1:16" s="709" customFormat="1">
      <c r="A1339" s="722"/>
      <c r="C1339" s="720"/>
      <c r="E1339" s="716"/>
      <c r="J1339" s="723"/>
      <c r="L1339" s="724"/>
      <c r="M1339" s="719"/>
      <c r="P1339" s="720"/>
    </row>
    <row r="1340" spans="1:16" s="709" customFormat="1">
      <c r="A1340" s="722"/>
      <c r="C1340" s="720"/>
      <c r="E1340" s="716"/>
      <c r="J1340" s="723"/>
      <c r="L1340" s="724"/>
      <c r="M1340" s="719"/>
      <c r="P1340" s="720"/>
    </row>
    <row r="1341" spans="1:16" s="709" customFormat="1">
      <c r="A1341" s="722"/>
      <c r="C1341" s="720"/>
      <c r="E1341" s="716"/>
      <c r="J1341" s="723"/>
      <c r="L1341" s="724"/>
      <c r="M1341" s="719"/>
      <c r="P1341" s="720"/>
    </row>
    <row r="1342" spans="1:16" s="709" customFormat="1">
      <c r="A1342" s="722"/>
      <c r="C1342" s="720"/>
      <c r="E1342" s="716"/>
      <c r="J1342" s="723"/>
      <c r="L1342" s="724"/>
      <c r="M1342" s="719"/>
      <c r="P1342" s="720"/>
    </row>
    <row r="1343" spans="1:16" s="709" customFormat="1">
      <c r="A1343" s="722"/>
      <c r="C1343" s="720"/>
      <c r="E1343" s="716"/>
      <c r="J1343" s="723"/>
      <c r="L1343" s="724"/>
      <c r="M1343" s="719"/>
      <c r="P1343" s="720"/>
    </row>
    <row r="1344" spans="1:16" s="709" customFormat="1">
      <c r="A1344" s="722"/>
      <c r="C1344" s="720"/>
      <c r="E1344" s="716"/>
      <c r="J1344" s="723"/>
      <c r="L1344" s="724"/>
      <c r="M1344" s="719"/>
      <c r="P1344" s="720"/>
    </row>
    <row r="1345" spans="1:16" s="709" customFormat="1">
      <c r="A1345" s="722"/>
      <c r="C1345" s="720"/>
      <c r="E1345" s="716"/>
      <c r="J1345" s="723"/>
      <c r="L1345" s="724"/>
      <c r="M1345" s="719"/>
      <c r="P1345" s="720"/>
    </row>
    <row r="1346" spans="1:16" s="709" customFormat="1">
      <c r="A1346" s="722"/>
      <c r="C1346" s="720"/>
      <c r="E1346" s="716"/>
      <c r="J1346" s="723"/>
      <c r="L1346" s="724"/>
      <c r="M1346" s="719"/>
      <c r="P1346" s="720"/>
    </row>
    <row r="1347" spans="1:16" s="709" customFormat="1">
      <c r="A1347" s="722"/>
      <c r="C1347" s="720"/>
      <c r="E1347" s="716"/>
      <c r="J1347" s="723"/>
      <c r="L1347" s="724"/>
      <c r="M1347" s="719"/>
      <c r="P1347" s="720"/>
    </row>
    <row r="1348" spans="1:16" s="709" customFormat="1">
      <c r="A1348" s="722"/>
      <c r="C1348" s="720"/>
      <c r="E1348" s="716"/>
      <c r="J1348" s="723"/>
      <c r="L1348" s="724"/>
      <c r="M1348" s="719"/>
      <c r="P1348" s="720"/>
    </row>
    <row r="1349" spans="1:16" s="709" customFormat="1">
      <c r="A1349" s="722"/>
      <c r="C1349" s="720"/>
      <c r="E1349" s="716"/>
      <c r="J1349" s="723"/>
      <c r="L1349" s="724"/>
      <c r="M1349" s="719"/>
      <c r="P1349" s="720"/>
    </row>
    <row r="1350" spans="1:16" s="709" customFormat="1">
      <c r="A1350" s="722"/>
      <c r="C1350" s="720"/>
      <c r="E1350" s="716"/>
      <c r="J1350" s="723"/>
      <c r="L1350" s="724"/>
      <c r="M1350" s="719"/>
      <c r="P1350" s="720"/>
    </row>
    <row r="1351" spans="1:16" s="709" customFormat="1">
      <c r="A1351" s="722"/>
      <c r="C1351" s="720"/>
      <c r="E1351" s="716"/>
      <c r="J1351" s="723"/>
      <c r="L1351" s="724"/>
      <c r="M1351" s="719"/>
      <c r="P1351" s="720"/>
    </row>
    <row r="1352" spans="1:16" s="709" customFormat="1">
      <c r="A1352" s="722"/>
      <c r="C1352" s="720"/>
      <c r="E1352" s="716"/>
      <c r="J1352" s="723"/>
      <c r="L1352" s="724"/>
      <c r="M1352" s="719"/>
      <c r="P1352" s="720"/>
    </row>
    <row r="1353" spans="1:16" s="709" customFormat="1">
      <c r="A1353" s="722"/>
      <c r="C1353" s="720"/>
      <c r="E1353" s="716"/>
      <c r="J1353" s="723"/>
      <c r="L1353" s="724"/>
      <c r="M1353" s="719"/>
      <c r="P1353" s="720"/>
    </row>
    <row r="1354" spans="1:16" s="709" customFormat="1">
      <c r="A1354" s="722"/>
      <c r="C1354" s="720"/>
      <c r="E1354" s="716"/>
      <c r="J1354" s="723"/>
      <c r="L1354" s="724"/>
      <c r="M1354" s="719"/>
      <c r="P1354" s="720"/>
    </row>
    <row r="1355" spans="1:16" s="709" customFormat="1">
      <c r="A1355" s="722"/>
      <c r="C1355" s="720"/>
      <c r="E1355" s="716"/>
      <c r="J1355" s="723"/>
      <c r="L1355" s="724"/>
      <c r="M1355" s="719"/>
      <c r="P1355" s="720"/>
    </row>
    <row r="1356" spans="1:16" s="709" customFormat="1">
      <c r="A1356" s="722"/>
      <c r="C1356" s="720"/>
      <c r="E1356" s="716"/>
      <c r="J1356" s="723"/>
      <c r="L1356" s="724"/>
      <c r="M1356" s="719"/>
      <c r="P1356" s="720"/>
    </row>
    <row r="1357" spans="1:16" s="709" customFormat="1">
      <c r="A1357" s="722"/>
      <c r="C1357" s="720"/>
      <c r="E1357" s="716"/>
      <c r="J1357" s="723"/>
      <c r="L1357" s="724"/>
      <c r="M1357" s="719"/>
      <c r="P1357" s="720"/>
    </row>
    <row r="1358" spans="1:16" s="709" customFormat="1">
      <c r="A1358" s="722"/>
      <c r="C1358" s="720"/>
      <c r="E1358" s="716"/>
      <c r="J1358" s="723"/>
      <c r="L1358" s="724"/>
      <c r="M1358" s="719"/>
      <c r="P1358" s="720"/>
    </row>
    <row r="1359" spans="1:16" s="709" customFormat="1">
      <c r="A1359" s="722"/>
      <c r="C1359" s="720"/>
      <c r="E1359" s="716"/>
      <c r="J1359" s="723"/>
      <c r="L1359" s="724"/>
      <c r="M1359" s="719"/>
      <c r="P1359" s="720"/>
    </row>
    <row r="1360" spans="1:16" s="709" customFormat="1">
      <c r="A1360" s="722"/>
      <c r="C1360" s="720"/>
      <c r="E1360" s="716"/>
      <c r="J1360" s="723"/>
      <c r="L1360" s="724"/>
      <c r="M1360" s="719"/>
      <c r="P1360" s="720"/>
    </row>
    <row r="1361" spans="1:16" s="709" customFormat="1">
      <c r="A1361" s="722"/>
      <c r="C1361" s="720"/>
      <c r="E1361" s="716"/>
      <c r="J1361" s="723"/>
      <c r="L1361" s="724"/>
      <c r="M1361" s="719"/>
      <c r="P1361" s="720"/>
    </row>
    <row r="1362" spans="1:16" s="709" customFormat="1">
      <c r="A1362" s="722"/>
      <c r="C1362" s="720"/>
      <c r="E1362" s="716"/>
      <c r="J1362" s="723"/>
      <c r="L1362" s="724"/>
      <c r="M1362" s="719"/>
      <c r="P1362" s="720"/>
    </row>
    <row r="1363" spans="1:16" s="709" customFormat="1">
      <c r="A1363" s="722"/>
      <c r="C1363" s="720"/>
      <c r="E1363" s="716"/>
      <c r="J1363" s="723"/>
      <c r="L1363" s="724"/>
      <c r="M1363" s="719"/>
      <c r="P1363" s="720"/>
    </row>
    <row r="1364" spans="1:16" s="709" customFormat="1">
      <c r="A1364" s="722"/>
      <c r="C1364" s="720"/>
      <c r="E1364" s="716"/>
      <c r="J1364" s="723"/>
      <c r="L1364" s="724"/>
      <c r="M1364" s="719"/>
      <c r="P1364" s="720"/>
    </row>
    <row r="1365" spans="1:16" s="709" customFormat="1">
      <c r="A1365" s="722"/>
      <c r="C1365" s="720"/>
      <c r="E1365" s="716"/>
      <c r="J1365" s="723"/>
      <c r="L1365" s="724"/>
      <c r="M1365" s="719"/>
      <c r="P1365" s="720"/>
    </row>
    <row r="1366" spans="1:16" s="709" customFormat="1">
      <c r="A1366" s="722"/>
      <c r="C1366" s="720"/>
      <c r="E1366" s="716"/>
      <c r="J1366" s="723"/>
      <c r="L1366" s="724"/>
      <c r="M1366" s="719"/>
      <c r="P1366" s="720"/>
    </row>
    <row r="1367" spans="1:16" s="709" customFormat="1">
      <c r="A1367" s="722"/>
      <c r="C1367" s="720"/>
      <c r="E1367" s="716"/>
      <c r="J1367" s="723"/>
      <c r="L1367" s="724"/>
      <c r="M1367" s="719"/>
      <c r="P1367" s="720"/>
    </row>
    <row r="1368" spans="1:16" s="709" customFormat="1">
      <c r="A1368" s="722"/>
      <c r="C1368" s="720"/>
      <c r="E1368" s="716"/>
      <c r="J1368" s="723"/>
      <c r="L1368" s="724"/>
      <c r="M1368" s="719"/>
      <c r="P1368" s="720"/>
    </row>
    <row r="1369" spans="1:16" s="709" customFormat="1">
      <c r="A1369" s="722"/>
      <c r="C1369" s="720"/>
      <c r="E1369" s="716"/>
      <c r="J1369" s="723"/>
      <c r="L1369" s="724"/>
      <c r="M1369" s="719"/>
      <c r="P1369" s="720"/>
    </row>
    <row r="1370" spans="1:16" s="709" customFormat="1">
      <c r="A1370" s="722"/>
      <c r="C1370" s="720"/>
      <c r="E1370" s="716"/>
      <c r="J1370" s="723"/>
      <c r="L1370" s="724"/>
      <c r="M1370" s="719"/>
      <c r="P1370" s="720"/>
    </row>
    <row r="1371" spans="1:16" s="709" customFormat="1">
      <c r="A1371" s="722"/>
      <c r="C1371" s="720"/>
      <c r="E1371" s="716"/>
      <c r="J1371" s="723"/>
      <c r="L1371" s="724"/>
      <c r="M1371" s="719"/>
      <c r="P1371" s="720"/>
    </row>
    <row r="1372" spans="1:16" s="709" customFormat="1">
      <c r="A1372" s="722"/>
      <c r="C1372" s="720"/>
      <c r="E1372" s="716"/>
      <c r="J1372" s="723"/>
      <c r="L1372" s="724"/>
      <c r="M1372" s="719"/>
      <c r="P1372" s="720"/>
    </row>
    <row r="1373" spans="1:16" s="709" customFormat="1">
      <c r="A1373" s="722"/>
      <c r="C1373" s="720"/>
      <c r="E1373" s="716"/>
      <c r="J1373" s="723"/>
      <c r="L1373" s="724"/>
      <c r="M1373" s="719"/>
      <c r="P1373" s="720"/>
    </row>
    <row r="1374" spans="1:16" s="709" customFormat="1">
      <c r="A1374" s="722"/>
      <c r="C1374" s="720"/>
      <c r="E1374" s="716"/>
      <c r="J1374" s="723"/>
      <c r="L1374" s="724"/>
      <c r="M1374" s="719"/>
      <c r="P1374" s="720"/>
    </row>
    <row r="1375" spans="1:16" s="709" customFormat="1">
      <c r="A1375" s="722"/>
      <c r="C1375" s="720"/>
      <c r="E1375" s="716"/>
      <c r="J1375" s="723"/>
      <c r="L1375" s="724"/>
      <c r="M1375" s="719"/>
      <c r="P1375" s="720"/>
    </row>
    <row r="1376" spans="1:16" s="709" customFormat="1">
      <c r="A1376" s="722"/>
      <c r="C1376" s="720"/>
      <c r="E1376" s="716"/>
      <c r="J1376" s="723"/>
      <c r="L1376" s="724"/>
      <c r="M1376" s="719"/>
      <c r="P1376" s="720"/>
    </row>
    <row r="1377" spans="1:16" s="709" customFormat="1">
      <c r="A1377" s="722"/>
      <c r="C1377" s="720"/>
      <c r="E1377" s="716"/>
      <c r="J1377" s="723"/>
      <c r="L1377" s="724"/>
      <c r="M1377" s="719"/>
      <c r="P1377" s="720"/>
    </row>
    <row r="1378" spans="1:16" s="709" customFormat="1">
      <c r="A1378" s="722"/>
      <c r="C1378" s="720"/>
      <c r="E1378" s="716"/>
      <c r="J1378" s="723"/>
      <c r="L1378" s="724"/>
      <c r="M1378" s="719"/>
      <c r="P1378" s="720"/>
    </row>
    <row r="1379" spans="1:16" s="709" customFormat="1">
      <c r="A1379" s="722"/>
      <c r="C1379" s="720"/>
      <c r="E1379" s="716"/>
      <c r="J1379" s="723"/>
      <c r="L1379" s="724"/>
      <c r="M1379" s="719"/>
      <c r="P1379" s="720"/>
    </row>
    <row r="1380" spans="1:16" s="709" customFormat="1">
      <c r="A1380" s="722"/>
      <c r="C1380" s="720"/>
      <c r="E1380" s="716"/>
      <c r="J1380" s="723"/>
      <c r="L1380" s="724"/>
      <c r="M1380" s="719"/>
      <c r="P1380" s="720"/>
    </row>
    <row r="1381" spans="1:16" s="709" customFormat="1">
      <c r="A1381" s="722"/>
      <c r="C1381" s="720"/>
      <c r="E1381" s="716"/>
      <c r="J1381" s="723"/>
      <c r="L1381" s="724"/>
      <c r="M1381" s="719"/>
      <c r="P1381" s="720"/>
    </row>
    <row r="1382" spans="1:16" s="709" customFormat="1">
      <c r="A1382" s="722"/>
      <c r="C1382" s="720"/>
      <c r="E1382" s="716"/>
      <c r="J1382" s="723"/>
      <c r="L1382" s="724"/>
      <c r="M1382" s="719"/>
      <c r="P1382" s="720"/>
    </row>
    <row r="1383" spans="1:16" s="709" customFormat="1">
      <c r="A1383" s="722"/>
      <c r="C1383" s="720"/>
      <c r="E1383" s="716"/>
      <c r="J1383" s="723"/>
      <c r="L1383" s="724"/>
      <c r="M1383" s="719"/>
      <c r="P1383" s="720"/>
    </row>
    <row r="1384" spans="1:16" s="709" customFormat="1">
      <c r="A1384" s="722"/>
      <c r="C1384" s="720"/>
      <c r="E1384" s="716"/>
      <c r="J1384" s="723"/>
      <c r="L1384" s="724"/>
      <c r="M1384" s="719"/>
      <c r="P1384" s="720"/>
    </row>
    <row r="1385" spans="1:16" s="709" customFormat="1">
      <c r="A1385" s="722"/>
      <c r="C1385" s="720"/>
      <c r="E1385" s="716"/>
      <c r="J1385" s="723"/>
      <c r="L1385" s="724"/>
      <c r="M1385" s="719"/>
      <c r="P1385" s="720"/>
    </row>
    <row r="1386" spans="1:16" s="709" customFormat="1">
      <c r="A1386" s="722"/>
      <c r="C1386" s="720"/>
      <c r="E1386" s="716"/>
      <c r="J1386" s="723"/>
      <c r="L1386" s="724"/>
      <c r="M1386" s="719"/>
      <c r="P1386" s="720"/>
    </row>
    <row r="1387" spans="1:16" s="709" customFormat="1">
      <c r="A1387" s="722"/>
      <c r="C1387" s="720"/>
      <c r="E1387" s="716"/>
      <c r="J1387" s="723"/>
      <c r="L1387" s="724"/>
      <c r="M1387" s="719"/>
      <c r="P1387" s="720"/>
    </row>
    <row r="1388" spans="1:16" s="709" customFormat="1">
      <c r="A1388" s="722"/>
      <c r="C1388" s="720"/>
      <c r="E1388" s="716"/>
      <c r="J1388" s="723"/>
      <c r="L1388" s="724"/>
      <c r="M1388" s="719"/>
      <c r="P1388" s="720"/>
    </row>
    <row r="1389" spans="1:16" s="709" customFormat="1">
      <c r="A1389" s="722"/>
      <c r="C1389" s="720"/>
      <c r="E1389" s="716"/>
      <c r="J1389" s="723"/>
      <c r="L1389" s="724"/>
      <c r="M1389" s="719"/>
      <c r="P1389" s="720"/>
    </row>
    <row r="1390" spans="1:16" s="709" customFormat="1">
      <c r="A1390" s="722"/>
      <c r="C1390" s="720"/>
      <c r="E1390" s="716"/>
      <c r="J1390" s="723"/>
      <c r="L1390" s="724"/>
      <c r="M1390" s="719"/>
      <c r="P1390" s="720"/>
    </row>
    <row r="1391" spans="1:16" s="709" customFormat="1">
      <c r="A1391" s="722"/>
      <c r="C1391" s="720"/>
      <c r="E1391" s="716"/>
      <c r="J1391" s="723"/>
      <c r="L1391" s="724"/>
      <c r="M1391" s="719"/>
      <c r="P1391" s="720"/>
    </row>
    <row r="1392" spans="1:16" s="709" customFormat="1">
      <c r="A1392" s="722"/>
      <c r="C1392" s="720"/>
      <c r="E1392" s="716"/>
      <c r="J1392" s="723"/>
      <c r="L1392" s="724"/>
      <c r="M1392" s="719"/>
      <c r="P1392" s="720"/>
    </row>
    <row r="1393" spans="1:16" s="709" customFormat="1">
      <c r="A1393" s="722"/>
      <c r="C1393" s="720"/>
      <c r="E1393" s="716"/>
      <c r="J1393" s="723"/>
      <c r="L1393" s="724"/>
      <c r="M1393" s="719"/>
      <c r="P1393" s="720"/>
    </row>
    <row r="1394" spans="1:16" s="709" customFormat="1">
      <c r="A1394" s="722"/>
      <c r="C1394" s="720"/>
      <c r="E1394" s="716"/>
      <c r="J1394" s="723"/>
      <c r="L1394" s="724"/>
      <c r="M1394" s="719"/>
      <c r="P1394" s="720"/>
    </row>
    <row r="1395" spans="1:16" s="709" customFormat="1">
      <c r="A1395" s="722"/>
      <c r="C1395" s="720"/>
      <c r="E1395" s="716"/>
      <c r="J1395" s="723"/>
      <c r="L1395" s="724"/>
      <c r="M1395" s="719"/>
      <c r="P1395" s="720"/>
    </row>
    <row r="1396" spans="1:16" s="709" customFormat="1">
      <c r="A1396" s="722"/>
      <c r="C1396" s="720"/>
      <c r="E1396" s="716"/>
      <c r="J1396" s="723"/>
      <c r="L1396" s="724"/>
      <c r="M1396" s="719"/>
      <c r="P1396" s="720"/>
    </row>
    <row r="1397" spans="1:16" s="709" customFormat="1">
      <c r="A1397" s="722"/>
      <c r="C1397" s="720"/>
      <c r="E1397" s="716"/>
      <c r="J1397" s="723"/>
      <c r="L1397" s="724"/>
      <c r="M1397" s="719"/>
      <c r="P1397" s="720"/>
    </row>
    <row r="1398" spans="1:16" s="709" customFormat="1">
      <c r="A1398" s="722"/>
      <c r="C1398" s="720"/>
      <c r="E1398" s="716"/>
      <c r="J1398" s="723"/>
      <c r="L1398" s="724"/>
      <c r="M1398" s="719"/>
      <c r="P1398" s="720"/>
    </row>
    <row r="1399" spans="1:16" s="709" customFormat="1">
      <c r="A1399" s="722"/>
      <c r="C1399" s="720"/>
      <c r="E1399" s="716"/>
      <c r="J1399" s="723"/>
      <c r="L1399" s="724"/>
      <c r="M1399" s="719"/>
      <c r="P1399" s="720"/>
    </row>
    <row r="1400" spans="1:16" s="709" customFormat="1">
      <c r="A1400" s="722"/>
      <c r="C1400" s="720"/>
      <c r="E1400" s="716"/>
      <c r="J1400" s="723"/>
      <c r="L1400" s="724"/>
      <c r="M1400" s="719"/>
      <c r="P1400" s="720"/>
    </row>
    <row r="1401" spans="1:16" s="709" customFormat="1">
      <c r="A1401" s="722"/>
      <c r="C1401" s="720"/>
      <c r="E1401" s="716"/>
      <c r="J1401" s="723"/>
      <c r="L1401" s="724"/>
      <c r="M1401" s="719"/>
      <c r="P1401" s="720"/>
    </row>
    <row r="1402" spans="1:16" s="709" customFormat="1">
      <c r="A1402" s="722"/>
      <c r="C1402" s="720"/>
      <c r="E1402" s="716"/>
      <c r="J1402" s="723"/>
      <c r="L1402" s="724"/>
      <c r="M1402" s="719"/>
      <c r="P1402" s="720"/>
    </row>
    <row r="1403" spans="1:16" s="709" customFormat="1">
      <c r="A1403" s="722"/>
      <c r="C1403" s="720"/>
      <c r="E1403" s="716"/>
      <c r="J1403" s="723"/>
      <c r="L1403" s="724"/>
      <c r="M1403" s="719"/>
      <c r="P1403" s="720"/>
    </row>
    <row r="1404" spans="1:16" s="709" customFormat="1">
      <c r="A1404" s="722"/>
      <c r="C1404" s="720"/>
      <c r="E1404" s="716"/>
      <c r="J1404" s="723"/>
      <c r="L1404" s="724"/>
      <c r="M1404" s="719"/>
      <c r="P1404" s="720"/>
    </row>
    <row r="1405" spans="1:16" s="709" customFormat="1">
      <c r="A1405" s="722"/>
      <c r="C1405" s="720"/>
      <c r="E1405" s="716"/>
      <c r="J1405" s="723"/>
      <c r="L1405" s="724"/>
      <c r="M1405" s="719"/>
      <c r="P1405" s="720"/>
    </row>
    <row r="1406" spans="1:16" s="709" customFormat="1">
      <c r="A1406" s="722"/>
      <c r="C1406" s="720"/>
      <c r="E1406" s="716"/>
      <c r="J1406" s="723"/>
      <c r="L1406" s="724"/>
      <c r="M1406" s="719"/>
      <c r="P1406" s="720"/>
    </row>
    <row r="1407" spans="1:16" s="709" customFormat="1">
      <c r="A1407" s="722"/>
      <c r="C1407" s="720"/>
      <c r="E1407" s="716"/>
      <c r="J1407" s="723"/>
      <c r="L1407" s="724"/>
      <c r="M1407" s="719"/>
      <c r="P1407" s="720"/>
    </row>
    <row r="1408" spans="1:16" s="709" customFormat="1">
      <c r="A1408" s="722"/>
      <c r="C1408" s="720"/>
      <c r="E1408" s="716"/>
      <c r="J1408" s="723"/>
      <c r="L1408" s="724"/>
      <c r="M1408" s="719"/>
      <c r="P1408" s="720"/>
    </row>
    <row r="1409" spans="1:16" s="709" customFormat="1">
      <c r="A1409" s="722"/>
      <c r="C1409" s="720"/>
      <c r="E1409" s="716"/>
      <c r="J1409" s="723"/>
      <c r="L1409" s="724"/>
      <c r="M1409" s="719"/>
      <c r="P1409" s="720"/>
    </row>
    <row r="1410" spans="1:16" s="709" customFormat="1">
      <c r="A1410" s="722"/>
      <c r="C1410" s="720"/>
      <c r="E1410" s="716"/>
      <c r="J1410" s="723"/>
      <c r="L1410" s="724"/>
      <c r="M1410" s="719"/>
      <c r="P1410" s="720"/>
    </row>
    <row r="1411" spans="1:16" s="709" customFormat="1">
      <c r="A1411" s="722"/>
      <c r="C1411" s="720"/>
      <c r="E1411" s="716"/>
      <c r="J1411" s="723"/>
      <c r="L1411" s="724"/>
      <c r="M1411" s="719"/>
      <c r="P1411" s="720"/>
    </row>
    <row r="1412" spans="1:16" s="709" customFormat="1">
      <c r="A1412" s="722"/>
      <c r="C1412" s="720"/>
      <c r="E1412" s="716"/>
      <c r="J1412" s="723"/>
      <c r="L1412" s="724"/>
      <c r="M1412" s="719"/>
      <c r="P1412" s="720"/>
    </row>
    <row r="1413" spans="1:16" s="709" customFormat="1">
      <c r="A1413" s="722"/>
      <c r="C1413" s="720"/>
      <c r="E1413" s="716"/>
      <c r="J1413" s="723"/>
      <c r="L1413" s="724"/>
      <c r="M1413" s="719"/>
      <c r="P1413" s="720"/>
    </row>
    <row r="1414" spans="1:16" s="709" customFormat="1">
      <c r="A1414" s="722"/>
      <c r="C1414" s="720"/>
      <c r="E1414" s="716"/>
      <c r="J1414" s="723"/>
      <c r="L1414" s="724"/>
      <c r="M1414" s="719"/>
      <c r="P1414" s="720"/>
    </row>
    <row r="1415" spans="1:16" s="709" customFormat="1">
      <c r="A1415" s="722"/>
      <c r="C1415" s="720"/>
      <c r="E1415" s="716"/>
      <c r="J1415" s="723"/>
      <c r="L1415" s="724"/>
      <c r="M1415" s="719"/>
      <c r="P1415" s="720"/>
    </row>
    <row r="1416" spans="1:16" s="709" customFormat="1">
      <c r="A1416" s="722"/>
      <c r="C1416" s="720"/>
      <c r="E1416" s="716"/>
      <c r="J1416" s="723"/>
      <c r="L1416" s="724"/>
      <c r="M1416" s="719"/>
      <c r="P1416" s="720"/>
    </row>
    <row r="1417" spans="1:16" s="709" customFormat="1">
      <c r="A1417" s="722"/>
      <c r="C1417" s="720"/>
      <c r="E1417" s="716"/>
      <c r="J1417" s="723"/>
      <c r="L1417" s="724"/>
      <c r="M1417" s="719"/>
      <c r="P1417" s="720"/>
    </row>
    <row r="1418" spans="1:16" s="709" customFormat="1">
      <c r="A1418" s="722"/>
      <c r="C1418" s="720"/>
      <c r="E1418" s="716"/>
      <c r="J1418" s="723"/>
      <c r="L1418" s="724"/>
      <c r="M1418" s="719"/>
      <c r="P1418" s="720"/>
    </row>
    <row r="1419" spans="1:16" s="709" customFormat="1">
      <c r="A1419" s="722"/>
      <c r="C1419" s="720"/>
      <c r="E1419" s="716"/>
      <c r="J1419" s="723"/>
      <c r="L1419" s="724"/>
      <c r="M1419" s="719"/>
      <c r="P1419" s="720"/>
    </row>
    <row r="1420" spans="1:16" s="709" customFormat="1">
      <c r="A1420" s="722"/>
      <c r="C1420" s="720"/>
      <c r="E1420" s="716"/>
      <c r="J1420" s="723"/>
      <c r="L1420" s="724"/>
      <c r="M1420" s="719"/>
      <c r="P1420" s="720"/>
    </row>
    <row r="1421" spans="1:16" s="709" customFormat="1">
      <c r="A1421" s="722"/>
      <c r="C1421" s="720"/>
      <c r="E1421" s="716"/>
      <c r="J1421" s="723"/>
      <c r="L1421" s="724"/>
      <c r="M1421" s="719"/>
      <c r="P1421" s="720"/>
    </row>
    <row r="1422" spans="1:16" s="709" customFormat="1">
      <c r="A1422" s="722"/>
      <c r="C1422" s="720"/>
      <c r="E1422" s="716"/>
      <c r="J1422" s="723"/>
      <c r="L1422" s="724"/>
      <c r="M1422" s="719"/>
      <c r="P1422" s="720"/>
    </row>
    <row r="1423" spans="1:16" s="709" customFormat="1">
      <c r="A1423" s="722"/>
      <c r="C1423" s="720"/>
      <c r="E1423" s="716"/>
      <c r="J1423" s="723"/>
      <c r="L1423" s="724"/>
      <c r="M1423" s="719"/>
      <c r="P1423" s="720"/>
    </row>
    <row r="1424" spans="1:16" s="709" customFormat="1">
      <c r="A1424" s="722"/>
      <c r="C1424" s="720"/>
      <c r="E1424" s="716"/>
      <c r="J1424" s="723"/>
      <c r="L1424" s="724"/>
      <c r="M1424" s="719"/>
      <c r="P1424" s="720"/>
    </row>
    <row r="1425" spans="1:16" s="709" customFormat="1">
      <c r="A1425" s="722"/>
      <c r="C1425" s="720"/>
      <c r="E1425" s="716"/>
      <c r="J1425" s="723"/>
      <c r="L1425" s="724"/>
      <c r="M1425" s="719"/>
      <c r="P1425" s="720"/>
    </row>
    <row r="1426" spans="1:16" s="709" customFormat="1">
      <c r="A1426" s="722"/>
      <c r="C1426" s="720"/>
      <c r="E1426" s="716"/>
      <c r="J1426" s="723"/>
      <c r="L1426" s="724"/>
      <c r="M1426" s="719"/>
      <c r="P1426" s="720"/>
    </row>
    <row r="1427" spans="1:16" s="709" customFormat="1">
      <c r="A1427" s="722"/>
      <c r="C1427" s="720"/>
      <c r="E1427" s="716"/>
      <c r="J1427" s="723"/>
      <c r="L1427" s="724"/>
      <c r="M1427" s="719"/>
      <c r="P1427" s="720"/>
    </row>
    <row r="1428" spans="1:16" s="709" customFormat="1">
      <c r="A1428" s="722"/>
      <c r="C1428" s="720"/>
      <c r="E1428" s="716"/>
      <c r="J1428" s="723"/>
      <c r="L1428" s="724"/>
      <c r="M1428" s="719"/>
      <c r="P1428" s="720"/>
    </row>
    <row r="1429" spans="1:16" s="709" customFormat="1">
      <c r="A1429" s="722"/>
      <c r="C1429" s="720"/>
      <c r="E1429" s="716"/>
      <c r="J1429" s="723"/>
      <c r="L1429" s="724"/>
      <c r="M1429" s="719"/>
      <c r="P1429" s="720"/>
    </row>
    <row r="1430" spans="1:16" s="709" customFormat="1">
      <c r="A1430" s="722"/>
      <c r="C1430" s="720"/>
      <c r="E1430" s="716"/>
      <c r="J1430" s="723"/>
      <c r="L1430" s="724"/>
      <c r="M1430" s="719"/>
      <c r="P1430" s="720"/>
    </row>
    <row r="1431" spans="1:16" s="709" customFormat="1">
      <c r="A1431" s="722"/>
      <c r="C1431" s="720"/>
      <c r="E1431" s="716"/>
      <c r="J1431" s="723"/>
      <c r="L1431" s="724"/>
      <c r="M1431" s="719"/>
      <c r="P1431" s="720"/>
    </row>
    <row r="1432" spans="1:16" s="709" customFormat="1">
      <c r="A1432" s="722"/>
      <c r="C1432" s="720"/>
      <c r="E1432" s="716"/>
      <c r="J1432" s="723"/>
      <c r="L1432" s="724"/>
      <c r="M1432" s="719"/>
      <c r="P1432" s="720"/>
    </row>
    <row r="1433" spans="1:16" s="709" customFormat="1">
      <c r="A1433" s="722"/>
      <c r="C1433" s="720"/>
      <c r="E1433" s="716"/>
      <c r="J1433" s="723"/>
      <c r="L1433" s="724"/>
      <c r="M1433" s="719"/>
      <c r="P1433" s="720"/>
    </row>
    <row r="1434" spans="1:16" s="709" customFormat="1">
      <c r="A1434" s="722"/>
      <c r="C1434" s="720"/>
      <c r="E1434" s="716"/>
      <c r="J1434" s="723"/>
      <c r="L1434" s="724"/>
      <c r="M1434" s="719"/>
      <c r="P1434" s="720"/>
    </row>
    <row r="1435" spans="1:16" s="709" customFormat="1">
      <c r="A1435" s="722"/>
      <c r="C1435" s="720"/>
      <c r="E1435" s="716"/>
      <c r="J1435" s="723"/>
      <c r="L1435" s="724"/>
      <c r="M1435" s="719"/>
      <c r="P1435" s="720"/>
    </row>
    <row r="1436" spans="1:16" s="709" customFormat="1">
      <c r="A1436" s="722"/>
      <c r="C1436" s="720"/>
      <c r="E1436" s="716"/>
      <c r="J1436" s="723"/>
      <c r="L1436" s="724"/>
      <c r="M1436" s="719"/>
      <c r="P1436" s="720"/>
    </row>
    <row r="1437" spans="1:16" s="709" customFormat="1">
      <c r="A1437" s="722"/>
      <c r="C1437" s="720"/>
      <c r="E1437" s="716"/>
      <c r="J1437" s="723"/>
      <c r="L1437" s="724"/>
      <c r="M1437" s="719"/>
      <c r="P1437" s="720"/>
    </row>
    <row r="1438" spans="1:16" s="709" customFormat="1">
      <c r="A1438" s="722"/>
      <c r="C1438" s="720"/>
      <c r="E1438" s="716"/>
      <c r="J1438" s="723"/>
      <c r="L1438" s="724"/>
      <c r="M1438" s="719"/>
      <c r="P1438" s="720"/>
    </row>
    <row r="1439" spans="1:16" s="709" customFormat="1">
      <c r="A1439" s="722"/>
      <c r="C1439" s="720"/>
      <c r="E1439" s="716"/>
      <c r="J1439" s="723"/>
      <c r="L1439" s="724"/>
      <c r="M1439" s="719"/>
      <c r="P1439" s="720"/>
    </row>
    <row r="1440" spans="1:16" s="709" customFormat="1">
      <c r="A1440" s="722"/>
      <c r="C1440" s="720"/>
      <c r="E1440" s="716"/>
      <c r="J1440" s="723"/>
      <c r="L1440" s="724"/>
      <c r="M1440" s="719"/>
      <c r="P1440" s="720"/>
    </row>
    <row r="1441" spans="1:16" s="709" customFormat="1">
      <c r="A1441" s="722"/>
      <c r="C1441" s="720"/>
      <c r="E1441" s="716"/>
      <c r="J1441" s="723"/>
      <c r="L1441" s="724"/>
      <c r="M1441" s="719"/>
      <c r="P1441" s="720"/>
    </row>
    <row r="1442" spans="1:16" s="709" customFormat="1">
      <c r="A1442" s="722"/>
      <c r="C1442" s="720"/>
      <c r="E1442" s="716"/>
      <c r="J1442" s="723"/>
      <c r="L1442" s="724"/>
      <c r="M1442" s="719"/>
      <c r="P1442" s="720"/>
    </row>
    <row r="1443" spans="1:16" s="709" customFormat="1">
      <c r="A1443" s="722"/>
      <c r="C1443" s="720"/>
      <c r="E1443" s="716"/>
      <c r="J1443" s="723"/>
      <c r="L1443" s="724"/>
      <c r="M1443" s="719"/>
      <c r="P1443" s="720"/>
    </row>
    <row r="1444" spans="1:16" s="709" customFormat="1">
      <c r="A1444" s="722"/>
      <c r="C1444" s="720"/>
      <c r="E1444" s="716"/>
      <c r="J1444" s="723"/>
      <c r="L1444" s="724"/>
      <c r="M1444" s="719"/>
      <c r="P1444" s="720"/>
    </row>
    <row r="1445" spans="1:16" s="709" customFormat="1">
      <c r="A1445" s="722"/>
      <c r="C1445" s="720"/>
      <c r="E1445" s="716"/>
      <c r="J1445" s="723"/>
      <c r="L1445" s="724"/>
      <c r="M1445" s="719"/>
      <c r="P1445" s="720"/>
    </row>
    <row r="1446" spans="1:16" s="709" customFormat="1">
      <c r="A1446" s="722"/>
      <c r="C1446" s="720"/>
      <c r="E1446" s="716"/>
      <c r="J1446" s="723"/>
      <c r="L1446" s="724"/>
      <c r="M1446" s="719"/>
      <c r="P1446" s="720"/>
    </row>
    <row r="1447" spans="1:16" s="709" customFormat="1">
      <c r="A1447" s="722"/>
      <c r="C1447" s="720"/>
      <c r="E1447" s="716"/>
      <c r="J1447" s="723"/>
      <c r="L1447" s="724"/>
      <c r="M1447" s="719"/>
      <c r="P1447" s="720"/>
    </row>
    <row r="1448" spans="1:16" s="709" customFormat="1">
      <c r="A1448" s="722"/>
      <c r="C1448" s="720"/>
      <c r="E1448" s="716"/>
      <c r="J1448" s="723"/>
      <c r="L1448" s="724"/>
      <c r="M1448" s="719"/>
      <c r="P1448" s="720"/>
    </row>
    <row r="1449" spans="1:16" s="709" customFormat="1">
      <c r="A1449" s="722"/>
      <c r="C1449" s="720"/>
      <c r="E1449" s="716"/>
      <c r="J1449" s="723"/>
      <c r="L1449" s="724"/>
      <c r="M1449" s="719"/>
      <c r="P1449" s="720"/>
    </row>
    <row r="1450" spans="1:16" s="709" customFormat="1">
      <c r="A1450" s="722"/>
      <c r="C1450" s="720"/>
      <c r="E1450" s="716"/>
      <c r="J1450" s="723"/>
      <c r="L1450" s="724"/>
      <c r="M1450" s="719"/>
      <c r="P1450" s="720"/>
    </row>
    <row r="1451" spans="1:16" s="709" customFormat="1">
      <c r="A1451" s="722"/>
      <c r="C1451" s="720"/>
      <c r="E1451" s="716"/>
      <c r="J1451" s="723"/>
      <c r="L1451" s="724"/>
      <c r="M1451" s="719"/>
      <c r="P1451" s="720"/>
    </row>
    <row r="1452" spans="1:16" s="709" customFormat="1">
      <c r="A1452" s="722"/>
      <c r="C1452" s="720"/>
      <c r="E1452" s="716"/>
      <c r="J1452" s="723"/>
      <c r="L1452" s="724"/>
      <c r="M1452" s="719"/>
      <c r="P1452" s="720"/>
    </row>
    <row r="1453" spans="1:16" s="709" customFormat="1">
      <c r="A1453" s="722"/>
      <c r="C1453" s="720"/>
      <c r="E1453" s="716"/>
      <c r="J1453" s="723"/>
      <c r="L1453" s="724"/>
      <c r="M1453" s="719"/>
      <c r="P1453" s="720"/>
    </row>
    <row r="1454" spans="1:16" s="709" customFormat="1">
      <c r="A1454" s="722"/>
      <c r="C1454" s="720"/>
      <c r="E1454" s="716"/>
      <c r="J1454" s="723"/>
      <c r="L1454" s="724"/>
      <c r="M1454" s="719"/>
      <c r="P1454" s="720"/>
    </row>
    <row r="1455" spans="1:16" s="709" customFormat="1">
      <c r="A1455" s="722"/>
      <c r="C1455" s="720"/>
      <c r="E1455" s="716"/>
      <c r="J1455" s="723"/>
      <c r="L1455" s="724"/>
      <c r="M1455" s="719"/>
      <c r="P1455" s="720"/>
    </row>
    <row r="1456" spans="1:16" s="709" customFormat="1">
      <c r="A1456" s="722"/>
      <c r="C1456" s="720"/>
      <c r="E1456" s="716"/>
      <c r="J1456" s="723"/>
      <c r="L1456" s="724"/>
      <c r="M1456" s="719"/>
      <c r="P1456" s="720"/>
    </row>
    <row r="1457" spans="1:16" s="709" customFormat="1">
      <c r="A1457" s="722"/>
      <c r="C1457" s="720"/>
      <c r="E1457" s="716"/>
      <c r="J1457" s="723"/>
      <c r="L1457" s="724"/>
      <c r="M1457" s="719"/>
      <c r="P1457" s="720"/>
    </row>
    <row r="1458" spans="1:16" s="709" customFormat="1">
      <c r="A1458" s="722"/>
      <c r="C1458" s="720"/>
      <c r="E1458" s="716"/>
      <c r="J1458" s="723"/>
      <c r="L1458" s="724"/>
      <c r="M1458" s="719"/>
      <c r="P1458" s="720"/>
    </row>
    <row r="1459" spans="1:16" s="709" customFormat="1">
      <c r="A1459" s="722"/>
      <c r="C1459" s="720"/>
      <c r="E1459" s="716"/>
      <c r="J1459" s="723"/>
      <c r="L1459" s="724"/>
      <c r="M1459" s="719"/>
      <c r="P1459" s="720"/>
    </row>
    <row r="1460" spans="1:16" s="709" customFormat="1">
      <c r="A1460" s="722"/>
      <c r="C1460" s="720"/>
      <c r="E1460" s="716"/>
      <c r="J1460" s="723"/>
      <c r="L1460" s="724"/>
      <c r="M1460" s="719"/>
      <c r="P1460" s="720"/>
    </row>
    <row r="1461" spans="1:16" s="709" customFormat="1">
      <c r="A1461" s="722"/>
      <c r="C1461" s="720"/>
      <c r="E1461" s="716"/>
      <c r="J1461" s="723"/>
      <c r="L1461" s="724"/>
      <c r="M1461" s="719"/>
      <c r="P1461" s="720"/>
    </row>
    <row r="1462" spans="1:16" s="709" customFormat="1">
      <c r="A1462" s="722"/>
      <c r="C1462" s="720"/>
      <c r="E1462" s="716"/>
      <c r="J1462" s="723"/>
      <c r="L1462" s="724"/>
      <c r="M1462" s="719"/>
      <c r="P1462" s="720"/>
    </row>
    <row r="1463" spans="1:16" s="709" customFormat="1">
      <c r="A1463" s="722"/>
      <c r="C1463" s="720"/>
      <c r="E1463" s="716"/>
      <c r="J1463" s="723"/>
      <c r="L1463" s="724"/>
      <c r="M1463" s="719"/>
      <c r="P1463" s="720"/>
    </row>
    <row r="1464" spans="1:16" s="709" customFormat="1">
      <c r="A1464" s="722"/>
      <c r="C1464" s="720"/>
      <c r="E1464" s="716"/>
      <c r="J1464" s="723"/>
      <c r="L1464" s="724"/>
      <c r="M1464" s="719"/>
      <c r="P1464" s="720"/>
    </row>
    <row r="1465" spans="1:16" s="709" customFormat="1">
      <c r="A1465" s="722"/>
      <c r="C1465" s="720"/>
      <c r="E1465" s="716"/>
      <c r="J1465" s="723"/>
      <c r="L1465" s="724"/>
      <c r="M1465" s="719"/>
      <c r="P1465" s="720"/>
    </row>
    <row r="1466" spans="1:16" s="709" customFormat="1">
      <c r="A1466" s="722"/>
      <c r="C1466" s="720"/>
      <c r="E1466" s="716"/>
      <c r="J1466" s="723"/>
      <c r="L1466" s="724"/>
      <c r="M1466" s="719"/>
      <c r="P1466" s="720"/>
    </row>
    <row r="1467" spans="1:16" s="709" customFormat="1">
      <c r="A1467" s="722"/>
      <c r="C1467" s="720"/>
      <c r="E1467" s="716"/>
      <c r="J1467" s="723"/>
      <c r="L1467" s="724"/>
      <c r="M1467" s="719"/>
      <c r="P1467" s="720"/>
    </row>
    <row r="1468" spans="1:16" s="709" customFormat="1">
      <c r="A1468" s="722"/>
      <c r="C1468" s="720"/>
      <c r="E1468" s="716"/>
      <c r="J1468" s="723"/>
      <c r="L1468" s="724"/>
      <c r="M1468" s="719"/>
      <c r="P1468" s="720"/>
    </row>
    <row r="1469" spans="1:16" s="709" customFormat="1">
      <c r="A1469" s="722"/>
      <c r="C1469" s="720"/>
      <c r="E1469" s="716"/>
      <c r="J1469" s="723"/>
      <c r="L1469" s="724"/>
      <c r="M1469" s="719"/>
      <c r="P1469" s="720"/>
    </row>
    <row r="1470" spans="1:16" s="709" customFormat="1">
      <c r="A1470" s="722"/>
      <c r="C1470" s="720"/>
      <c r="E1470" s="716"/>
      <c r="J1470" s="723"/>
      <c r="L1470" s="724"/>
      <c r="M1470" s="719"/>
      <c r="P1470" s="720"/>
    </row>
    <row r="1471" spans="1:16" s="709" customFormat="1">
      <c r="A1471" s="722"/>
      <c r="C1471" s="720"/>
      <c r="E1471" s="716"/>
      <c r="J1471" s="723"/>
      <c r="L1471" s="724"/>
      <c r="M1471" s="719"/>
      <c r="P1471" s="720"/>
    </row>
    <row r="1472" spans="1:16" s="709" customFormat="1">
      <c r="A1472" s="722"/>
      <c r="C1472" s="720"/>
      <c r="E1472" s="716"/>
      <c r="J1472" s="723"/>
      <c r="L1472" s="724"/>
      <c r="M1472" s="719"/>
      <c r="P1472" s="720"/>
    </row>
    <row r="1473" spans="1:16" s="709" customFormat="1">
      <c r="A1473" s="722"/>
      <c r="C1473" s="720"/>
      <c r="E1473" s="716"/>
      <c r="J1473" s="723"/>
      <c r="L1473" s="724"/>
      <c r="M1473" s="719"/>
      <c r="P1473" s="720"/>
    </row>
    <row r="1474" spans="1:16" s="709" customFormat="1">
      <c r="A1474" s="722"/>
      <c r="C1474" s="720"/>
      <c r="E1474" s="716"/>
      <c r="J1474" s="723"/>
      <c r="L1474" s="724"/>
      <c r="M1474" s="719"/>
      <c r="P1474" s="720"/>
    </row>
    <row r="1475" spans="1:16" s="709" customFormat="1">
      <c r="A1475" s="722"/>
      <c r="C1475" s="720"/>
      <c r="E1475" s="716"/>
      <c r="J1475" s="723"/>
      <c r="L1475" s="724"/>
      <c r="M1475" s="719"/>
      <c r="P1475" s="720"/>
    </row>
    <row r="1476" spans="1:16" s="709" customFormat="1">
      <c r="A1476" s="722"/>
      <c r="C1476" s="720"/>
      <c r="E1476" s="716"/>
      <c r="J1476" s="723"/>
      <c r="L1476" s="724"/>
      <c r="M1476" s="719"/>
      <c r="P1476" s="720"/>
    </row>
    <row r="1477" spans="1:16" s="709" customFormat="1">
      <c r="A1477" s="722"/>
      <c r="C1477" s="720"/>
      <c r="E1477" s="716"/>
      <c r="J1477" s="723"/>
      <c r="L1477" s="724"/>
      <c r="M1477" s="719"/>
      <c r="P1477" s="720"/>
    </row>
    <row r="1478" spans="1:16" s="709" customFormat="1">
      <c r="A1478" s="722"/>
      <c r="C1478" s="720"/>
      <c r="E1478" s="716"/>
      <c r="J1478" s="723"/>
      <c r="L1478" s="724"/>
      <c r="M1478" s="719"/>
      <c r="P1478" s="720"/>
    </row>
    <row r="1479" spans="1:16" s="709" customFormat="1">
      <c r="A1479" s="722"/>
      <c r="C1479" s="720"/>
      <c r="E1479" s="716"/>
      <c r="J1479" s="723"/>
      <c r="L1479" s="724"/>
      <c r="M1479" s="719"/>
      <c r="P1479" s="720"/>
    </row>
    <row r="1480" spans="1:16" s="709" customFormat="1">
      <c r="A1480" s="722"/>
      <c r="C1480" s="720"/>
      <c r="E1480" s="716"/>
      <c r="J1480" s="723"/>
      <c r="L1480" s="724"/>
      <c r="M1480" s="719"/>
      <c r="P1480" s="720"/>
    </row>
    <row r="1481" spans="1:16" s="709" customFormat="1">
      <c r="A1481" s="722"/>
      <c r="C1481" s="720"/>
      <c r="E1481" s="716"/>
      <c r="J1481" s="723"/>
      <c r="L1481" s="724"/>
      <c r="M1481" s="719"/>
      <c r="P1481" s="720"/>
    </row>
    <row r="1482" spans="1:16" s="709" customFormat="1">
      <c r="A1482" s="722"/>
      <c r="C1482" s="720"/>
      <c r="E1482" s="716"/>
      <c r="J1482" s="723"/>
      <c r="L1482" s="724"/>
      <c r="M1482" s="719"/>
      <c r="P1482" s="720"/>
    </row>
    <row r="1483" spans="1:16" s="709" customFormat="1">
      <c r="A1483" s="722"/>
      <c r="C1483" s="720"/>
      <c r="E1483" s="716"/>
      <c r="J1483" s="723"/>
      <c r="L1483" s="724"/>
      <c r="M1483" s="719"/>
      <c r="P1483" s="720"/>
    </row>
    <row r="1484" spans="1:16" s="709" customFormat="1">
      <c r="A1484" s="722"/>
      <c r="C1484" s="720"/>
      <c r="E1484" s="716"/>
      <c r="J1484" s="723"/>
      <c r="L1484" s="724"/>
      <c r="M1484" s="719"/>
      <c r="P1484" s="720"/>
    </row>
    <row r="1485" spans="1:16" s="709" customFormat="1">
      <c r="A1485" s="722"/>
      <c r="C1485" s="720"/>
      <c r="E1485" s="716"/>
      <c r="J1485" s="723"/>
      <c r="L1485" s="724"/>
      <c r="M1485" s="719"/>
      <c r="P1485" s="720"/>
    </row>
    <row r="1486" spans="1:16" s="725" customFormat="1">
      <c r="A1486" s="726"/>
      <c r="C1486" s="727"/>
      <c r="E1486" s="728"/>
      <c r="J1486" s="729"/>
      <c r="L1486" s="730"/>
      <c r="M1486" s="731"/>
      <c r="P1486" s="727"/>
    </row>
  </sheetData>
  <mergeCells count="945">
    <mergeCell ref="P1244:P1269"/>
    <mergeCell ref="C1251:C1255"/>
    <mergeCell ref="A1256:A1257"/>
    <mergeCell ref="B1256:B1257"/>
    <mergeCell ref="C1256:C1269"/>
    <mergeCell ref="A1258:A1269"/>
    <mergeCell ref="B1258:B1264"/>
    <mergeCell ref="A1270:A1274"/>
    <mergeCell ref="B1270:B1274"/>
    <mergeCell ref="C1270:C1274"/>
    <mergeCell ref="I1275:J1275"/>
    <mergeCell ref="A1244:A1255"/>
    <mergeCell ref="B1244:B1255"/>
    <mergeCell ref="C1244:C1250"/>
    <mergeCell ref="A1208:A1215"/>
    <mergeCell ref="B1208:B1215"/>
    <mergeCell ref="A1216:A1228"/>
    <mergeCell ref="B1216:B1228"/>
    <mergeCell ref="C1216:C1228"/>
    <mergeCell ref="P1229:P1240"/>
    <mergeCell ref="C1230:C1235"/>
    <mergeCell ref="C1236:C1240"/>
    <mergeCell ref="P1241:P1243"/>
    <mergeCell ref="A1242:A1243"/>
    <mergeCell ref="B1242:B1243"/>
    <mergeCell ref="A1229:A1240"/>
    <mergeCell ref="B1229:B1240"/>
    <mergeCell ref="B1150:B1151"/>
    <mergeCell ref="A1152:A1153"/>
    <mergeCell ref="B1152:B1153"/>
    <mergeCell ref="C1170:C1177"/>
    <mergeCell ref="P1170:P1207"/>
    <mergeCell ref="A1178:A1185"/>
    <mergeCell ref="B1178:B1185"/>
    <mergeCell ref="A1193:A1200"/>
    <mergeCell ref="B1193:B1200"/>
    <mergeCell ref="M1193:M1200"/>
    <mergeCell ref="A1162:A1163"/>
    <mergeCell ref="B1162:B1163"/>
    <mergeCell ref="A1164:A1169"/>
    <mergeCell ref="B1164:B1169"/>
    <mergeCell ref="A1170:A1177"/>
    <mergeCell ref="B1170:B1177"/>
    <mergeCell ref="A1154:A1155"/>
    <mergeCell ref="B1154:B1155"/>
    <mergeCell ref="C1154:C1161"/>
    <mergeCell ref="P1154:P1161"/>
    <mergeCell ref="A1156:A1161"/>
    <mergeCell ref="B1156:B1161"/>
    <mergeCell ref="A1121:A1124"/>
    <mergeCell ref="B1121:B1124"/>
    <mergeCell ref="C1121:C1127"/>
    <mergeCell ref="P1121:P1153"/>
    <mergeCell ref="A1128:A1135"/>
    <mergeCell ref="B1128:B1135"/>
    <mergeCell ref="C1128:C1135"/>
    <mergeCell ref="C1136:C1140"/>
    <mergeCell ref="A1141:A1145"/>
    <mergeCell ref="B1141:B1145"/>
    <mergeCell ref="C1141:C1153"/>
    <mergeCell ref="A1146:A1147"/>
    <mergeCell ref="B1146:B1147"/>
    <mergeCell ref="A1148:A1149"/>
    <mergeCell ref="B1148:B1149"/>
    <mergeCell ref="A1150:A1151"/>
    <mergeCell ref="A1108:A1120"/>
    <mergeCell ref="B1108:B1120"/>
    <mergeCell ref="C1117:C1120"/>
    <mergeCell ref="A1083:A1086"/>
    <mergeCell ref="B1083:B1094"/>
    <mergeCell ref="C1084:C1089"/>
    <mergeCell ref="C1090:C1094"/>
    <mergeCell ref="A1095:A1096"/>
    <mergeCell ref="B1095:B1096"/>
    <mergeCell ref="P1044:P1056"/>
    <mergeCell ref="P1095:P1107"/>
    <mergeCell ref="B1097:B1107"/>
    <mergeCell ref="C1097:C1102"/>
    <mergeCell ref="C1103:C1107"/>
    <mergeCell ref="P1018:P1030"/>
    <mergeCell ref="C1020:C1025"/>
    <mergeCell ref="C1026:C1030"/>
    <mergeCell ref="A1031:A1043"/>
    <mergeCell ref="B1031:B1043"/>
    <mergeCell ref="A1070:A1082"/>
    <mergeCell ref="B1070:B1082"/>
    <mergeCell ref="C1070:C1071"/>
    <mergeCell ref="P1070:P1082"/>
    <mergeCell ref="C1072:C1077"/>
    <mergeCell ref="C1078:C1082"/>
    <mergeCell ref="A1057:A1069"/>
    <mergeCell ref="B1057:B1069"/>
    <mergeCell ref="A1044:A1056"/>
    <mergeCell ref="B1044:B1056"/>
    <mergeCell ref="C1044:C1056"/>
    <mergeCell ref="A1005:A1017"/>
    <mergeCell ref="B1005:B1017"/>
    <mergeCell ref="C1007:C1012"/>
    <mergeCell ref="C1014:C1017"/>
    <mergeCell ref="A1018:A1030"/>
    <mergeCell ref="B1018:B1030"/>
    <mergeCell ref="A940:A952"/>
    <mergeCell ref="B940:B952"/>
    <mergeCell ref="C940:C952"/>
    <mergeCell ref="P940:P952"/>
    <mergeCell ref="P992:P1004"/>
    <mergeCell ref="C994:C999"/>
    <mergeCell ref="C1000:C1004"/>
    <mergeCell ref="A953:A965"/>
    <mergeCell ref="B953:B965"/>
    <mergeCell ref="C953:C965"/>
    <mergeCell ref="A966:A978"/>
    <mergeCell ref="B966:B978"/>
    <mergeCell ref="P966:P978"/>
    <mergeCell ref="C968:C973"/>
    <mergeCell ref="C974:C978"/>
    <mergeCell ref="A979:A991"/>
    <mergeCell ref="B979:B991"/>
    <mergeCell ref="C979:C991"/>
    <mergeCell ref="A992:A1004"/>
    <mergeCell ref="B992:B1004"/>
    <mergeCell ref="A927:A939"/>
    <mergeCell ref="B927:B939"/>
    <mergeCell ref="P927:P939"/>
    <mergeCell ref="C929:C934"/>
    <mergeCell ref="C935:C939"/>
    <mergeCell ref="P922:P923"/>
    <mergeCell ref="A916:A921"/>
    <mergeCell ref="B916:B921"/>
    <mergeCell ref="C916:C921"/>
    <mergeCell ref="M916:M920"/>
    <mergeCell ref="O916:O920"/>
    <mergeCell ref="P916:P920"/>
    <mergeCell ref="A922:A923"/>
    <mergeCell ref="B922:B923"/>
    <mergeCell ref="C922:C923"/>
    <mergeCell ref="M922:M926"/>
    <mergeCell ref="O922:O926"/>
    <mergeCell ref="A890:A902"/>
    <mergeCell ref="B890:B902"/>
    <mergeCell ref="C890:C902"/>
    <mergeCell ref="A903:A915"/>
    <mergeCell ref="B903:B915"/>
    <mergeCell ref="C903:C915"/>
    <mergeCell ref="A877:A880"/>
    <mergeCell ref="B877:B880"/>
    <mergeCell ref="P877:P879"/>
    <mergeCell ref="A881:A883"/>
    <mergeCell ref="B881:B883"/>
    <mergeCell ref="C881:C883"/>
    <mergeCell ref="P881:P883"/>
    <mergeCell ref="P884:P886"/>
    <mergeCell ref="A887:A889"/>
    <mergeCell ref="B887:B889"/>
    <mergeCell ref="C887:C889"/>
    <mergeCell ref="P887:P889"/>
    <mergeCell ref="A884:A886"/>
    <mergeCell ref="B884:B886"/>
    <mergeCell ref="C884:C886"/>
    <mergeCell ref="A869:A870"/>
    <mergeCell ref="B869:B870"/>
    <mergeCell ref="P869:P870"/>
    <mergeCell ref="A861:A862"/>
    <mergeCell ref="B861:B862"/>
    <mergeCell ref="C861:C880"/>
    <mergeCell ref="P861:P862"/>
    <mergeCell ref="A863:A864"/>
    <mergeCell ref="B863:B864"/>
    <mergeCell ref="P863:P864"/>
    <mergeCell ref="A865:A866"/>
    <mergeCell ref="B865:B866"/>
    <mergeCell ref="P865:P866"/>
    <mergeCell ref="A871:A872"/>
    <mergeCell ref="B871:B872"/>
    <mergeCell ref="P871:P872"/>
    <mergeCell ref="A873:A876"/>
    <mergeCell ref="B873:B876"/>
    <mergeCell ref="P873:P876"/>
    <mergeCell ref="B847:B850"/>
    <mergeCell ref="P847:P848"/>
    <mergeCell ref="A839:A840"/>
    <mergeCell ref="B839:B840"/>
    <mergeCell ref="C839:C848"/>
    <mergeCell ref="M839:M840"/>
    <mergeCell ref="N839:N840"/>
    <mergeCell ref="O839:O840"/>
    <mergeCell ref="A867:A868"/>
    <mergeCell ref="B867:B868"/>
    <mergeCell ref="P867:P868"/>
    <mergeCell ref="A775:A776"/>
    <mergeCell ref="B775:B776"/>
    <mergeCell ref="C775:C776"/>
    <mergeCell ref="P775:P776"/>
    <mergeCell ref="A851:A855"/>
    <mergeCell ref="B851:B855"/>
    <mergeCell ref="C851:C855"/>
    <mergeCell ref="P851:P853"/>
    <mergeCell ref="A856:A860"/>
    <mergeCell ref="B856:B860"/>
    <mergeCell ref="C856:C860"/>
    <mergeCell ref="P856:P858"/>
    <mergeCell ref="A818:A828"/>
    <mergeCell ref="B818:B828"/>
    <mergeCell ref="C818:C823"/>
    <mergeCell ref="C824:C828"/>
    <mergeCell ref="A829:A838"/>
    <mergeCell ref="B829:B838"/>
    <mergeCell ref="C829:C838"/>
    <mergeCell ref="P839:P841"/>
    <mergeCell ref="A842:A846"/>
    <mergeCell ref="B842:B846"/>
    <mergeCell ref="P842:P844"/>
    <mergeCell ref="A847:A848"/>
    <mergeCell ref="A777:A789"/>
    <mergeCell ref="B777:B789"/>
    <mergeCell ref="A790:A802"/>
    <mergeCell ref="B790:B802"/>
    <mergeCell ref="P791:P802"/>
    <mergeCell ref="C792:C802"/>
    <mergeCell ref="P803:P804"/>
    <mergeCell ref="P805:P817"/>
    <mergeCell ref="A806:A817"/>
    <mergeCell ref="B806:B817"/>
    <mergeCell ref="C806:C812"/>
    <mergeCell ref="C813:C817"/>
    <mergeCell ref="A803:A804"/>
    <mergeCell ref="B803:B804"/>
    <mergeCell ref="B766:B768"/>
    <mergeCell ref="C766:C768"/>
    <mergeCell ref="P766:P768"/>
    <mergeCell ref="P753:P754"/>
    <mergeCell ref="A755:A756"/>
    <mergeCell ref="B755:B756"/>
    <mergeCell ref="P755:P760"/>
    <mergeCell ref="A757:A760"/>
    <mergeCell ref="B757:B760"/>
    <mergeCell ref="A769:A770"/>
    <mergeCell ref="B769:B770"/>
    <mergeCell ref="C769:C770"/>
    <mergeCell ref="P769:P770"/>
    <mergeCell ref="A771:A772"/>
    <mergeCell ref="B771:B772"/>
    <mergeCell ref="C771:C772"/>
    <mergeCell ref="P771:P772"/>
    <mergeCell ref="A773:A774"/>
    <mergeCell ref="B773:B774"/>
    <mergeCell ref="C773:C774"/>
    <mergeCell ref="P773:P774"/>
    <mergeCell ref="A745:A749"/>
    <mergeCell ref="B745:B749"/>
    <mergeCell ref="C745:C765"/>
    <mergeCell ref="P745:P749"/>
    <mergeCell ref="A750:A752"/>
    <mergeCell ref="B750:B752"/>
    <mergeCell ref="P750:P752"/>
    <mergeCell ref="A753:A754"/>
    <mergeCell ref="B753:B754"/>
    <mergeCell ref="A761:A765"/>
    <mergeCell ref="B761:B765"/>
    <mergeCell ref="P761:P763"/>
    <mergeCell ref="P730:P733"/>
    <mergeCell ref="A732:A733"/>
    <mergeCell ref="B732:B733"/>
    <mergeCell ref="A734:A735"/>
    <mergeCell ref="B734:B735"/>
    <mergeCell ref="C734:C735"/>
    <mergeCell ref="P734:P735"/>
    <mergeCell ref="P742:P744"/>
    <mergeCell ref="A736:A741"/>
    <mergeCell ref="B736:B741"/>
    <mergeCell ref="C736:C741"/>
    <mergeCell ref="A742:A744"/>
    <mergeCell ref="B742:B744"/>
    <mergeCell ref="C742:C744"/>
    <mergeCell ref="A728:A729"/>
    <mergeCell ref="B728:B729"/>
    <mergeCell ref="C728:C729"/>
    <mergeCell ref="A730:A731"/>
    <mergeCell ref="B730:B731"/>
    <mergeCell ref="C730:C733"/>
    <mergeCell ref="A722:A725"/>
    <mergeCell ref="B722:B725"/>
    <mergeCell ref="C722:C725"/>
    <mergeCell ref="A716:A719"/>
    <mergeCell ref="B716:B719"/>
    <mergeCell ref="A720:A721"/>
    <mergeCell ref="B720:B721"/>
    <mergeCell ref="C720:C721"/>
    <mergeCell ref="P722:P725"/>
    <mergeCell ref="A726:A727"/>
    <mergeCell ref="B726:B727"/>
    <mergeCell ref="C726:C727"/>
    <mergeCell ref="P726:P727"/>
    <mergeCell ref="P720:P721"/>
    <mergeCell ref="P711:P715"/>
    <mergeCell ref="A703:A704"/>
    <mergeCell ref="B703:B704"/>
    <mergeCell ref="C703:C704"/>
    <mergeCell ref="P703:P710"/>
    <mergeCell ref="A705:A706"/>
    <mergeCell ref="C705:C706"/>
    <mergeCell ref="A707:A708"/>
    <mergeCell ref="B707:B708"/>
    <mergeCell ref="C707:C708"/>
    <mergeCell ref="A709:A710"/>
    <mergeCell ref="B709:B710"/>
    <mergeCell ref="C709:C710"/>
    <mergeCell ref="A711:A715"/>
    <mergeCell ref="B711:B715"/>
    <mergeCell ref="C711:C715"/>
    <mergeCell ref="A692:A698"/>
    <mergeCell ref="B692:B698"/>
    <mergeCell ref="C692:C698"/>
    <mergeCell ref="P692:P698"/>
    <mergeCell ref="A699:A700"/>
    <mergeCell ref="B699:B700"/>
    <mergeCell ref="C699:C702"/>
    <mergeCell ref="P699:P702"/>
    <mergeCell ref="A701:A702"/>
    <mergeCell ref="B701:B702"/>
    <mergeCell ref="C682:C683"/>
    <mergeCell ref="P682:P683"/>
    <mergeCell ref="A684:A689"/>
    <mergeCell ref="B684:B689"/>
    <mergeCell ref="C684:C691"/>
    <mergeCell ref="P684:P689"/>
    <mergeCell ref="A690:A691"/>
    <mergeCell ref="B690:B691"/>
    <mergeCell ref="A682:A683"/>
    <mergeCell ref="B682:B683"/>
    <mergeCell ref="P664:P681"/>
    <mergeCell ref="A667:A668"/>
    <mergeCell ref="B667:B668"/>
    <mergeCell ref="A671:A672"/>
    <mergeCell ref="B671:B672"/>
    <mergeCell ref="A674:A675"/>
    <mergeCell ref="B674:B675"/>
    <mergeCell ref="A677:A678"/>
    <mergeCell ref="B677:B678"/>
    <mergeCell ref="A664:A666"/>
    <mergeCell ref="B664:B666"/>
    <mergeCell ref="C664:C666"/>
    <mergeCell ref="N664:N681"/>
    <mergeCell ref="O664:O666"/>
    <mergeCell ref="A639:A640"/>
    <mergeCell ref="B639:B641"/>
    <mergeCell ref="C639:C650"/>
    <mergeCell ref="P639:P650"/>
    <mergeCell ref="A655:A663"/>
    <mergeCell ref="B655:B663"/>
    <mergeCell ref="C655:C663"/>
    <mergeCell ref="N655:N663"/>
    <mergeCell ref="O655:O663"/>
    <mergeCell ref="P655:P663"/>
    <mergeCell ref="O637:O638"/>
    <mergeCell ref="A633:A634"/>
    <mergeCell ref="B633:B634"/>
    <mergeCell ref="C633:C634"/>
    <mergeCell ref="M633:M634"/>
    <mergeCell ref="A637:A638"/>
    <mergeCell ref="B637:B638"/>
    <mergeCell ref="C637:C638"/>
    <mergeCell ref="M637:M638"/>
    <mergeCell ref="N637:N638"/>
    <mergeCell ref="P633:P634"/>
    <mergeCell ref="A635:A636"/>
    <mergeCell ref="B635:B636"/>
    <mergeCell ref="C635:C636"/>
    <mergeCell ref="N635:N636"/>
    <mergeCell ref="O635:O636"/>
    <mergeCell ref="A627:A628"/>
    <mergeCell ref="B627:B628"/>
    <mergeCell ref="C627:C628"/>
    <mergeCell ref="M627:M628"/>
    <mergeCell ref="P627:P628"/>
    <mergeCell ref="A631:A632"/>
    <mergeCell ref="B631:B632"/>
    <mergeCell ref="C631:C632"/>
    <mergeCell ref="M631:M632"/>
    <mergeCell ref="P631:P632"/>
    <mergeCell ref="A629:A630"/>
    <mergeCell ref="B629:B630"/>
    <mergeCell ref="C629:C630"/>
    <mergeCell ref="M629:M630"/>
    <mergeCell ref="P629:P630"/>
    <mergeCell ref="A625:A626"/>
    <mergeCell ref="B625:B626"/>
    <mergeCell ref="C625:C626"/>
    <mergeCell ref="M625:M626"/>
    <mergeCell ref="P625:P626"/>
    <mergeCell ref="P621:P622"/>
    <mergeCell ref="A623:A624"/>
    <mergeCell ref="B623:B624"/>
    <mergeCell ref="C623:C624"/>
    <mergeCell ref="M623:M624"/>
    <mergeCell ref="P623:P624"/>
    <mergeCell ref="A621:A622"/>
    <mergeCell ref="B621:B622"/>
    <mergeCell ref="C621:C622"/>
    <mergeCell ref="M621:M622"/>
    <mergeCell ref="N621:N622"/>
    <mergeCell ref="O621:O622"/>
    <mergeCell ref="A608:A612"/>
    <mergeCell ref="B608:B612"/>
    <mergeCell ref="C608:C612"/>
    <mergeCell ref="P608:P612"/>
    <mergeCell ref="P617:P618"/>
    <mergeCell ref="A619:A620"/>
    <mergeCell ref="B619:B620"/>
    <mergeCell ref="C619:C620"/>
    <mergeCell ref="M619:M620"/>
    <mergeCell ref="N619:N620"/>
    <mergeCell ref="O619:O620"/>
    <mergeCell ref="P619:P620"/>
    <mergeCell ref="A617:A618"/>
    <mergeCell ref="B617:B618"/>
    <mergeCell ref="C617:C618"/>
    <mergeCell ref="M617:M618"/>
    <mergeCell ref="N617:N618"/>
    <mergeCell ref="O617:O618"/>
    <mergeCell ref="P613:P614"/>
    <mergeCell ref="A615:A616"/>
    <mergeCell ref="B615:B616"/>
    <mergeCell ref="C615:C616"/>
    <mergeCell ref="M615:M616"/>
    <mergeCell ref="N615:N616"/>
    <mergeCell ref="O615:O616"/>
    <mergeCell ref="P615:P616"/>
    <mergeCell ref="A613:A614"/>
    <mergeCell ref="B613:B614"/>
    <mergeCell ref="C613:C614"/>
    <mergeCell ref="M613:M614"/>
    <mergeCell ref="N613:N614"/>
    <mergeCell ref="O613:O614"/>
    <mergeCell ref="B555:B567"/>
    <mergeCell ref="C555:C567"/>
    <mergeCell ref="A568:A580"/>
    <mergeCell ref="B568:B580"/>
    <mergeCell ref="B588:B594"/>
    <mergeCell ref="C588:C594"/>
    <mergeCell ref="P589:P592"/>
    <mergeCell ref="A595:A607"/>
    <mergeCell ref="B595:B607"/>
    <mergeCell ref="C596:C607"/>
    <mergeCell ref="A581:A586"/>
    <mergeCell ref="B581:B586"/>
    <mergeCell ref="C581:C586"/>
    <mergeCell ref="A588:A594"/>
    <mergeCell ref="A543:A545"/>
    <mergeCell ref="B543:B545"/>
    <mergeCell ref="C543:C545"/>
    <mergeCell ref="P543:P545"/>
    <mergeCell ref="A546:A548"/>
    <mergeCell ref="B546:B548"/>
    <mergeCell ref="C546:C548"/>
    <mergeCell ref="P546:P548"/>
    <mergeCell ref="P568:P580"/>
    <mergeCell ref="C569:C575"/>
    <mergeCell ref="C576:C580"/>
    <mergeCell ref="A549:A550"/>
    <mergeCell ref="B549:B550"/>
    <mergeCell ref="C549:C550"/>
    <mergeCell ref="P549:P550"/>
    <mergeCell ref="A553:A554"/>
    <mergeCell ref="B553:B554"/>
    <mergeCell ref="C553:C554"/>
    <mergeCell ref="P553:P554"/>
    <mergeCell ref="A555:A567"/>
    <mergeCell ref="A534:A535"/>
    <mergeCell ref="B534:B535"/>
    <mergeCell ref="C534:C535"/>
    <mergeCell ref="P534:P542"/>
    <mergeCell ref="A536:A542"/>
    <mergeCell ref="B536:B542"/>
    <mergeCell ref="C536:C542"/>
    <mergeCell ref="M529:M531"/>
    <mergeCell ref="P529:P531"/>
    <mergeCell ref="A532:A533"/>
    <mergeCell ref="B532:B533"/>
    <mergeCell ref="C532:C533"/>
    <mergeCell ref="P532:P533"/>
    <mergeCell ref="A526:A528"/>
    <mergeCell ref="B526:B528"/>
    <mergeCell ref="C526:C528"/>
    <mergeCell ref="A529:A531"/>
    <mergeCell ref="B529:B531"/>
    <mergeCell ref="C529:C531"/>
    <mergeCell ref="A515:A518"/>
    <mergeCell ref="B515:B518"/>
    <mergeCell ref="C515:C518"/>
    <mergeCell ref="P515:P518"/>
    <mergeCell ref="A519:A525"/>
    <mergeCell ref="B519:B525"/>
    <mergeCell ref="C519:C520"/>
    <mergeCell ref="M519:M520"/>
    <mergeCell ref="N519:N520"/>
    <mergeCell ref="O519:O520"/>
    <mergeCell ref="P519:P525"/>
    <mergeCell ref="A486:A493"/>
    <mergeCell ref="B486:B493"/>
    <mergeCell ref="C486:C493"/>
    <mergeCell ref="A494:A500"/>
    <mergeCell ref="B494:B500"/>
    <mergeCell ref="C494:C514"/>
    <mergeCell ref="P494:P514"/>
    <mergeCell ref="A501:A507"/>
    <mergeCell ref="B501:B507"/>
    <mergeCell ref="M501:M507"/>
    <mergeCell ref="A508:A514"/>
    <mergeCell ref="B508:B514"/>
    <mergeCell ref="M508:M514"/>
    <mergeCell ref="P473:P485"/>
    <mergeCell ref="C475:C480"/>
    <mergeCell ref="C481:C485"/>
    <mergeCell ref="A448:A451"/>
    <mergeCell ref="B448:B450"/>
    <mergeCell ref="C448:C451"/>
    <mergeCell ref="P448:P451"/>
    <mergeCell ref="A452:A459"/>
    <mergeCell ref="B452:B459"/>
    <mergeCell ref="P452:P455"/>
    <mergeCell ref="C454:C459"/>
    <mergeCell ref="A460:A472"/>
    <mergeCell ref="B460:B472"/>
    <mergeCell ref="C460:C472"/>
    <mergeCell ref="A473:A485"/>
    <mergeCell ref="B473:B485"/>
    <mergeCell ref="A440:A446"/>
    <mergeCell ref="B440:B446"/>
    <mergeCell ref="C440:C446"/>
    <mergeCell ref="P440:P446"/>
    <mergeCell ref="A424:A426"/>
    <mergeCell ref="B424:B426"/>
    <mergeCell ref="C424:C426"/>
    <mergeCell ref="P424:P426"/>
    <mergeCell ref="A427:A429"/>
    <mergeCell ref="B427:B429"/>
    <mergeCell ref="C427:C429"/>
    <mergeCell ref="M427:M429"/>
    <mergeCell ref="P427:P431"/>
    <mergeCell ref="B430:B431"/>
    <mergeCell ref="C430:C431"/>
    <mergeCell ref="P420:P421"/>
    <mergeCell ref="A422:A423"/>
    <mergeCell ref="B422:B423"/>
    <mergeCell ref="C422:C423"/>
    <mergeCell ref="M422:M423"/>
    <mergeCell ref="P422:P423"/>
    <mergeCell ref="A432:A438"/>
    <mergeCell ref="B432:B438"/>
    <mergeCell ref="C432:C438"/>
    <mergeCell ref="P432:P438"/>
    <mergeCell ref="B416:B417"/>
    <mergeCell ref="C416:C417"/>
    <mergeCell ref="M416:M417"/>
    <mergeCell ref="N416:N417"/>
    <mergeCell ref="A414:A415"/>
    <mergeCell ref="B414:B415"/>
    <mergeCell ref="C414:C415"/>
    <mergeCell ref="O414:O415"/>
    <mergeCell ref="A420:A421"/>
    <mergeCell ref="B420:B421"/>
    <mergeCell ref="C420:C421"/>
    <mergeCell ref="P414:P415"/>
    <mergeCell ref="O416:O417"/>
    <mergeCell ref="P416:P417"/>
    <mergeCell ref="B418:B419"/>
    <mergeCell ref="C418:C419"/>
    <mergeCell ref="M418:M419"/>
    <mergeCell ref="P418:P419"/>
    <mergeCell ref="A406:A409"/>
    <mergeCell ref="B406:B409"/>
    <mergeCell ref="C406:C409"/>
    <mergeCell ref="M406:M409"/>
    <mergeCell ref="P406:P409"/>
    <mergeCell ref="P410:P413"/>
    <mergeCell ref="A412:A413"/>
    <mergeCell ref="B412:B413"/>
    <mergeCell ref="C412:C413"/>
    <mergeCell ref="M412:M413"/>
    <mergeCell ref="O412:O413"/>
    <mergeCell ref="A410:A411"/>
    <mergeCell ref="B410:B411"/>
    <mergeCell ref="C410:C411"/>
    <mergeCell ref="M410:M411"/>
    <mergeCell ref="O410:O411"/>
    <mergeCell ref="A416:A417"/>
    <mergeCell ref="A400:A401"/>
    <mergeCell ref="B400:B401"/>
    <mergeCell ref="C400:C401"/>
    <mergeCell ref="O400:O401"/>
    <mergeCell ref="P400:P401"/>
    <mergeCell ref="P402:P403"/>
    <mergeCell ref="A404:A405"/>
    <mergeCell ref="B404:B405"/>
    <mergeCell ref="C404:C405"/>
    <mergeCell ref="O404:O405"/>
    <mergeCell ref="P404:P405"/>
    <mergeCell ref="A402:A403"/>
    <mergeCell ref="B402:B403"/>
    <mergeCell ref="C402:C403"/>
    <mergeCell ref="M402:M403"/>
    <mergeCell ref="O402:O403"/>
    <mergeCell ref="A381:A382"/>
    <mergeCell ref="B381:B382"/>
    <mergeCell ref="C381:C382"/>
    <mergeCell ref="P381:P382"/>
    <mergeCell ref="B387:B389"/>
    <mergeCell ref="C387:C389"/>
    <mergeCell ref="P387:P390"/>
    <mergeCell ref="A390:A399"/>
    <mergeCell ref="B390:B399"/>
    <mergeCell ref="C390:C399"/>
    <mergeCell ref="A383:A384"/>
    <mergeCell ref="B383:B384"/>
    <mergeCell ref="C383:C386"/>
    <mergeCell ref="P383:P386"/>
    <mergeCell ref="A385:A386"/>
    <mergeCell ref="B385:B386"/>
    <mergeCell ref="P370:P371"/>
    <mergeCell ref="A377:A380"/>
    <mergeCell ref="B377:B380"/>
    <mergeCell ref="C377:C380"/>
    <mergeCell ref="M377:M379"/>
    <mergeCell ref="P377:P380"/>
    <mergeCell ref="A368:A369"/>
    <mergeCell ref="B368:B369"/>
    <mergeCell ref="C368:C369"/>
    <mergeCell ref="A370:A371"/>
    <mergeCell ref="B370:B371"/>
    <mergeCell ref="C370:C371"/>
    <mergeCell ref="A372:A374"/>
    <mergeCell ref="B372:B374"/>
    <mergeCell ref="C372:C374"/>
    <mergeCell ref="P373:P374"/>
    <mergeCell ref="A375:A376"/>
    <mergeCell ref="B375:B376"/>
    <mergeCell ref="C375:C376"/>
    <mergeCell ref="A366:A367"/>
    <mergeCell ref="B366:B367"/>
    <mergeCell ref="C366:C367"/>
    <mergeCell ref="P344:P355"/>
    <mergeCell ref="C351:C355"/>
    <mergeCell ref="B356:B357"/>
    <mergeCell ref="C356:C357"/>
    <mergeCell ref="A358:A359"/>
    <mergeCell ref="C358:C359"/>
    <mergeCell ref="P358:P365"/>
    <mergeCell ref="A360:A361"/>
    <mergeCell ref="B360:B361"/>
    <mergeCell ref="C360:C361"/>
    <mergeCell ref="P366:P367"/>
    <mergeCell ref="M360:M361"/>
    <mergeCell ref="O360:O361"/>
    <mergeCell ref="A362:A365"/>
    <mergeCell ref="B362:B365"/>
    <mergeCell ref="C362:C365"/>
    <mergeCell ref="A344:A355"/>
    <mergeCell ref="B344:B355"/>
    <mergeCell ref="C344:C350"/>
    <mergeCell ref="A329:A332"/>
    <mergeCell ref="B329:B332"/>
    <mergeCell ref="P327:P328"/>
    <mergeCell ref="A336:A337"/>
    <mergeCell ref="B336:B337"/>
    <mergeCell ref="C336:C337"/>
    <mergeCell ref="B338:B343"/>
    <mergeCell ref="C340:C342"/>
    <mergeCell ref="A327:A328"/>
    <mergeCell ref="B327:B328"/>
    <mergeCell ref="C327:C328"/>
    <mergeCell ref="M327:M328"/>
    <mergeCell ref="O327:O328"/>
    <mergeCell ref="M329:M334"/>
    <mergeCell ref="O329:O334"/>
    <mergeCell ref="P329:P334"/>
    <mergeCell ref="C331:C332"/>
    <mergeCell ref="A333:A335"/>
    <mergeCell ref="B333:B335"/>
    <mergeCell ref="C333:C335"/>
    <mergeCell ref="A323:A324"/>
    <mergeCell ref="B323:B324"/>
    <mergeCell ref="C323:C324"/>
    <mergeCell ref="M323:M324"/>
    <mergeCell ref="P323:P326"/>
    <mergeCell ref="A325:A326"/>
    <mergeCell ref="B325:B326"/>
    <mergeCell ref="C325:C326"/>
    <mergeCell ref="M325:M326"/>
    <mergeCell ref="P320:P322"/>
    <mergeCell ref="A318:A319"/>
    <mergeCell ref="B318:B319"/>
    <mergeCell ref="C318:C319"/>
    <mergeCell ref="M318:M319"/>
    <mergeCell ref="O318:O319"/>
    <mergeCell ref="P318:P319"/>
    <mergeCell ref="A320:A322"/>
    <mergeCell ref="B320:B322"/>
    <mergeCell ref="C320:C322"/>
    <mergeCell ref="M320:M321"/>
    <mergeCell ref="O320:O321"/>
    <mergeCell ref="P312:P313"/>
    <mergeCell ref="A314:A315"/>
    <mergeCell ref="B314:B315"/>
    <mergeCell ref="C314:C315"/>
    <mergeCell ref="P314:P317"/>
    <mergeCell ref="A316:A317"/>
    <mergeCell ref="B316:B317"/>
    <mergeCell ref="C316:C317"/>
    <mergeCell ref="M316:M317"/>
    <mergeCell ref="O316:O317"/>
    <mergeCell ref="A312:A313"/>
    <mergeCell ref="B312:B313"/>
    <mergeCell ref="C312:C313"/>
    <mergeCell ref="C285:C288"/>
    <mergeCell ref="P285:P290"/>
    <mergeCell ref="A291:A298"/>
    <mergeCell ref="B291:B298"/>
    <mergeCell ref="C291:C298"/>
    <mergeCell ref="P292:P294"/>
    <mergeCell ref="A299:A311"/>
    <mergeCell ref="B299:B311"/>
    <mergeCell ref="C299:C311"/>
    <mergeCell ref="A276:A283"/>
    <mergeCell ref="B276:B283"/>
    <mergeCell ref="C276:C279"/>
    <mergeCell ref="C264:C265"/>
    <mergeCell ref="A266:A267"/>
    <mergeCell ref="B266:B267"/>
    <mergeCell ref="C266:C267"/>
    <mergeCell ref="A268:A270"/>
    <mergeCell ref="C268:C270"/>
    <mergeCell ref="P257:P272"/>
    <mergeCell ref="A258:A259"/>
    <mergeCell ref="B258:B259"/>
    <mergeCell ref="C258:C259"/>
    <mergeCell ref="C260:C261"/>
    <mergeCell ref="A262:A263"/>
    <mergeCell ref="B262:B263"/>
    <mergeCell ref="C262:C263"/>
    <mergeCell ref="A264:A265"/>
    <mergeCell ref="B264:B265"/>
    <mergeCell ref="A271:A275"/>
    <mergeCell ref="B271:B275"/>
    <mergeCell ref="C271:C275"/>
    <mergeCell ref="A256:A257"/>
    <mergeCell ref="B256:B257"/>
    <mergeCell ref="C256:C257"/>
    <mergeCell ref="A250:A251"/>
    <mergeCell ref="B250:B251"/>
    <mergeCell ref="C250:C251"/>
    <mergeCell ref="A252:A253"/>
    <mergeCell ref="B252:B253"/>
    <mergeCell ref="C252:C253"/>
    <mergeCell ref="A254:A255"/>
    <mergeCell ref="B254:B255"/>
    <mergeCell ref="C254:C255"/>
    <mergeCell ref="A248:A249"/>
    <mergeCell ref="B248:B249"/>
    <mergeCell ref="C248:C249"/>
    <mergeCell ref="A234:A237"/>
    <mergeCell ref="B234:B237"/>
    <mergeCell ref="C234:C237"/>
    <mergeCell ref="M236:M237"/>
    <mergeCell ref="A238:A241"/>
    <mergeCell ref="B238:B241"/>
    <mergeCell ref="C238:C239"/>
    <mergeCell ref="M238:M240"/>
    <mergeCell ref="C240:C241"/>
    <mergeCell ref="A242:A243"/>
    <mergeCell ref="B242:B243"/>
    <mergeCell ref="C242:C243"/>
    <mergeCell ref="A244:A245"/>
    <mergeCell ref="B244:B245"/>
    <mergeCell ref="C244:C245"/>
    <mergeCell ref="A246:A247"/>
    <mergeCell ref="B246:B247"/>
    <mergeCell ref="C246:C247"/>
    <mergeCell ref="A231:A232"/>
    <mergeCell ref="B231:B232"/>
    <mergeCell ref="A217:A219"/>
    <mergeCell ref="B217:B219"/>
    <mergeCell ref="A220:A222"/>
    <mergeCell ref="B220:B222"/>
    <mergeCell ref="A223:A225"/>
    <mergeCell ref="B223:B225"/>
    <mergeCell ref="A226:A228"/>
    <mergeCell ref="B226:B228"/>
    <mergeCell ref="A229:A230"/>
    <mergeCell ref="B229:B230"/>
    <mergeCell ref="C229:C230"/>
    <mergeCell ref="A214:A215"/>
    <mergeCell ref="B214:B215"/>
    <mergeCell ref="A202:A203"/>
    <mergeCell ref="B202:B203"/>
    <mergeCell ref="C202:C203"/>
    <mergeCell ref="A205:A207"/>
    <mergeCell ref="B205:B206"/>
    <mergeCell ref="C205:C207"/>
    <mergeCell ref="A208:A209"/>
    <mergeCell ref="B208:B209"/>
    <mergeCell ref="C208:C210"/>
    <mergeCell ref="A210:A213"/>
    <mergeCell ref="B211:B213"/>
    <mergeCell ref="O197:O198"/>
    <mergeCell ref="A200:A201"/>
    <mergeCell ref="B200:B201"/>
    <mergeCell ref="C200:C201"/>
    <mergeCell ref="M200:M201"/>
    <mergeCell ref="M187:M189"/>
    <mergeCell ref="A197:A199"/>
    <mergeCell ref="B197:B199"/>
    <mergeCell ref="C197:C199"/>
    <mergeCell ref="M197:M198"/>
    <mergeCell ref="A194:A195"/>
    <mergeCell ref="B194:B195"/>
    <mergeCell ref="C194:C196"/>
    <mergeCell ref="M194:M195"/>
    <mergeCell ref="B185:B186"/>
    <mergeCell ref="C185:C186"/>
    <mergeCell ref="A187:A189"/>
    <mergeCell ref="B187:B189"/>
    <mergeCell ref="C187:C189"/>
    <mergeCell ref="A190:A193"/>
    <mergeCell ref="B190:B193"/>
    <mergeCell ref="M190:M193"/>
    <mergeCell ref="O190:O193"/>
    <mergeCell ref="A181:A182"/>
    <mergeCell ref="B181:B182"/>
    <mergeCell ref="C181:C182"/>
    <mergeCell ref="P181:P182"/>
    <mergeCell ref="B183:B184"/>
    <mergeCell ref="C183:C184"/>
    <mergeCell ref="P160:P180"/>
    <mergeCell ref="A163:A165"/>
    <mergeCell ref="B163:B165"/>
    <mergeCell ref="C163:C164"/>
    <mergeCell ref="M163:M165"/>
    <mergeCell ref="A166:A169"/>
    <mergeCell ref="B166:B169"/>
    <mergeCell ref="C166:C180"/>
    <mergeCell ref="M166:M169"/>
    <mergeCell ref="A170:A173"/>
    <mergeCell ref="B170:B173"/>
    <mergeCell ref="M171:M173"/>
    <mergeCell ref="A174:A177"/>
    <mergeCell ref="A178:A180"/>
    <mergeCell ref="B178:B180"/>
    <mergeCell ref="A160:A162"/>
    <mergeCell ref="B160:B162"/>
    <mergeCell ref="C160:C162"/>
    <mergeCell ref="M160:M162"/>
    <mergeCell ref="O160:O162"/>
    <mergeCell ref="O151:O155"/>
    <mergeCell ref="C153:C155"/>
    <mergeCell ref="A156:A159"/>
    <mergeCell ref="B156:B159"/>
    <mergeCell ref="M156:M159"/>
    <mergeCell ref="O156:O159"/>
    <mergeCell ref="B147:B150"/>
    <mergeCell ref="C147:C150"/>
    <mergeCell ref="M147:M150"/>
    <mergeCell ref="A151:A155"/>
    <mergeCell ref="B151:B155"/>
    <mergeCell ref="M151:M155"/>
    <mergeCell ref="A131:A136"/>
    <mergeCell ref="B131:B136"/>
    <mergeCell ref="P131:P155"/>
    <mergeCell ref="C133:C135"/>
    <mergeCell ref="C136:C138"/>
    <mergeCell ref="A139:A142"/>
    <mergeCell ref="B139:B142"/>
    <mergeCell ref="C139:C142"/>
    <mergeCell ref="M139:M140"/>
    <mergeCell ref="O139:O140"/>
    <mergeCell ref="A143:A146"/>
    <mergeCell ref="B143:B146"/>
    <mergeCell ref="C143:C146"/>
    <mergeCell ref="M143:M146"/>
    <mergeCell ref="O143:O146"/>
    <mergeCell ref="A147:A150"/>
    <mergeCell ref="A123:A126"/>
    <mergeCell ref="B123:B126"/>
    <mergeCell ref="C123:C126"/>
    <mergeCell ref="C108:C109"/>
    <mergeCell ref="A87:A89"/>
    <mergeCell ref="B87:B89"/>
    <mergeCell ref="A90:A98"/>
    <mergeCell ref="B90:B98"/>
    <mergeCell ref="P123:P130"/>
    <mergeCell ref="A127:A130"/>
    <mergeCell ref="C127:C130"/>
    <mergeCell ref="C110:C111"/>
    <mergeCell ref="C112:C113"/>
    <mergeCell ref="A114:A118"/>
    <mergeCell ref="B114:B118"/>
    <mergeCell ref="C114:C116"/>
    <mergeCell ref="C117:C118"/>
    <mergeCell ref="P87:P122"/>
    <mergeCell ref="A102:A104"/>
    <mergeCell ref="B102:B104"/>
    <mergeCell ref="C102:C104"/>
    <mergeCell ref="A105:A109"/>
    <mergeCell ref="B105:B109"/>
    <mergeCell ref="C105:C107"/>
    <mergeCell ref="A61:A73"/>
    <mergeCell ref="P61:P73"/>
    <mergeCell ref="B62:B73"/>
    <mergeCell ref="C63:C68"/>
    <mergeCell ref="C69:C73"/>
    <mergeCell ref="C92:C95"/>
    <mergeCell ref="C96:C98"/>
    <mergeCell ref="A99:A101"/>
    <mergeCell ref="B99:B101"/>
    <mergeCell ref="C100:C101"/>
    <mergeCell ref="A74:A86"/>
    <mergeCell ref="B74:B86"/>
    <mergeCell ref="C74:C86"/>
    <mergeCell ref="A35:A47"/>
    <mergeCell ref="B35:B47"/>
    <mergeCell ref="P36:P60"/>
    <mergeCell ref="C37:C42"/>
    <mergeCell ref="C43:C47"/>
    <mergeCell ref="A48:A60"/>
    <mergeCell ref="B48:B60"/>
    <mergeCell ref="C50:C55"/>
    <mergeCell ref="C56:C60"/>
    <mergeCell ref="A9:A21"/>
    <mergeCell ref="B9:B21"/>
    <mergeCell ref="C9:C21"/>
    <mergeCell ref="N1:P1"/>
    <mergeCell ref="N2:P2"/>
    <mergeCell ref="A3:J3"/>
    <mergeCell ref="H4:J4"/>
    <mergeCell ref="A5:A8"/>
    <mergeCell ref="B5:B8"/>
    <mergeCell ref="C5:C8"/>
    <mergeCell ref="D5:D8"/>
    <mergeCell ref="E5:E8"/>
    <mergeCell ref="F5:K6"/>
    <mergeCell ref="M5:M8"/>
    <mergeCell ref="N5:N8"/>
    <mergeCell ref="O5:O8"/>
    <mergeCell ref="P5:P8"/>
    <mergeCell ref="F7:K7"/>
  </mergeCells>
  <pageMargins left="0.25" right="0.25" top="0.75" bottom="0.75" header="0.30000001192092901" footer="0.30000001192092901"/>
  <pageSetup paperSize="9" scale="54" fitToHeight="0" orientation="landscape"/>
  <headerFooter alignWithMargins="0"/>
  <rowBreaks count="27" manualBreakCount="27">
    <brk id="60" max="1485" man="1"/>
    <brk id="101" max="1485" man="1"/>
    <brk id="150" max="1485" man="1"/>
    <brk id="193" max="1485" man="1"/>
    <brk id="240" max="1485" man="1"/>
    <brk id="287" max="1485" man="1"/>
    <brk id="328" max="1485" man="1"/>
    <brk id="371" max="1485" man="1"/>
    <brk id="411" max="1485" man="1"/>
    <brk id="450" max="1485" man="1"/>
    <brk id="507" max="1485" man="1"/>
    <brk id="548" max="1485" man="1"/>
    <brk id="597" max="1485" man="1"/>
    <brk id="632" max="1485" man="1"/>
    <brk id="646" max="1485" man="1"/>
    <brk id="657" max="1485" man="1"/>
    <brk id="703" max="1485" man="1"/>
    <brk id="733" max="1485" man="1"/>
    <brk id="772" max="1485" man="1"/>
    <brk id="805" max="1485" man="1"/>
    <brk id="851" max="1485" man="1"/>
    <brk id="902" max="1485" man="1"/>
    <brk id="1019" max="1485" man="1"/>
    <brk id="1129" max="1485" man="1"/>
    <brk id="1185" max="1485" man="1"/>
    <brk id="1197" max="1485" man="1"/>
    <brk id="1241" max="1485" man="1"/>
  </rowBreaks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План меропр. 2015-2017</vt:lpstr>
      <vt:lpstr>План меропр. 2018-2030 г. изм. </vt:lpstr>
      <vt:lpstr>на печать</vt:lpstr>
      <vt:lpstr>Лист1</vt:lpstr>
      <vt:lpstr>крупно</vt:lpstr>
      <vt:lpstr>крупно!Заголовки_для_печати</vt:lpstr>
      <vt:lpstr>'на печать'!Заголовки_для_печати</vt:lpstr>
      <vt:lpstr>'План меропр. 2015-2017'!Заголовки_для_печати</vt:lpstr>
      <vt:lpstr>'План меропр. 2018-2030 г. изм. '!Заголовки_для_печати</vt:lpstr>
      <vt:lpstr>крупно!Область_печати</vt:lpstr>
      <vt:lpstr>'на печать'!Область_печати</vt:lpstr>
      <vt:lpstr>'План меропр. 2015-2017'!Область_печати</vt:lpstr>
      <vt:lpstr>'План меропр. 2018-2030 г. изм.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Мельник Н.А.</dc:creator>
  <cp:lastModifiedBy>Мельник Н.А.</cp:lastModifiedBy>
  <cp:lastPrinted>2021-03-17T01:37:43Z</cp:lastPrinted>
  <dcterms:created xsi:type="dcterms:W3CDTF">2021-03-09T01:42:07Z</dcterms:created>
  <dcterms:modified xsi:type="dcterms:W3CDTF">2021-03-17T01:41:57Z</dcterms:modified>
</cp:coreProperties>
</file>